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5.a_14.05.24" sheetId="7" r:id="rId7"/>
    <sheet name="5.a_14.06.28" sheetId="8" r:id="rId8"/>
    <sheet name="6" sheetId="9" r:id="rId9"/>
    <sheet name="6.a" sheetId="10" r:id="rId10"/>
    <sheet name="6.a_14.05.24" sheetId="11" r:id="rId11"/>
    <sheet name="6.a_14.06.28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.a" sheetId="21" r:id="rId21"/>
    <sheet name="15.b" sheetId="22" r:id="rId22"/>
    <sheet name="16" sheetId="23" r:id="rId23"/>
    <sheet name="17" sheetId="24" r:id="rId24"/>
  </sheets>
  <externalReferences>
    <externalReference r:id="rId27"/>
    <externalReference r:id="rId28"/>
  </externalReferences>
  <definedNames>
    <definedName name="_xlnm.Print_Titles" localSheetId="18">'13'!$1:$3</definedName>
    <definedName name="_xlnm.Print_Titles" localSheetId="20">'15.a'!$1:$1</definedName>
    <definedName name="_xlnm.Print_Titles" localSheetId="21">'15.b'!$1:$1</definedName>
    <definedName name="_xlnm.Print_Titles" localSheetId="2">'3'!$1:$2</definedName>
    <definedName name="_xlnm.Print_Titles" localSheetId="5">'5.a'!$2:$2</definedName>
    <definedName name="_xlnm.Print_Titles" localSheetId="6">'5.a_14.05.24'!$1:$2</definedName>
    <definedName name="_xlnm.Print_Titles" localSheetId="7">'5.a_14.06.28'!$1:$2</definedName>
    <definedName name="_xlnm.Print_Titles" localSheetId="9">'6.a'!$1:$2</definedName>
    <definedName name="_xlnm.Print_Titles" localSheetId="10">'6.a_14.05.24'!$1:$2</definedName>
    <definedName name="_xlnm.Print_Titles" localSheetId="11">'6.a_14.06.28'!$1:$2</definedName>
    <definedName name="_xlnm.Print_Titles" localSheetId="12">'7'!$1:$2</definedName>
    <definedName name="_xlnm.Print_Titles" localSheetId="13">'8'!$1:$2</definedName>
    <definedName name="_xlnm.Print_Area" localSheetId="5">'5.a'!$A$1:$N$121</definedName>
    <definedName name="_xlnm.Print_Area" localSheetId="9">'6.a'!$A$1:$P$377</definedName>
    <definedName name="_xlnm.Print_Area" localSheetId="10">'6.a_14.05.24'!$A$1:$Q$206</definedName>
    <definedName name="_xlnm.Print_Area" localSheetId="11">'6.a_14.06.28'!$A$1:$Q$142</definedName>
  </definedNames>
  <calcPr fullCalcOnLoad="1"/>
</workbook>
</file>

<file path=xl/sharedStrings.xml><?xml version="1.0" encoding="utf-8"?>
<sst xmlns="http://schemas.openxmlformats.org/spreadsheetml/2006/main" count="2948" uniqueCount="1726">
  <si>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</si>
  <si>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</si>
  <si>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</si>
  <si>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</si>
  <si>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</si>
  <si>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</si>
  <si>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Egészségügyi Alapellátási Intézmény:</t>
    </r>
    <r>
      <rPr>
        <sz val="10"/>
        <rFont val="Times New Roman"/>
        <family val="1"/>
      </rPr>
      <t xml:space="preserve"> Szociális városrehabilitáció Zalaegerszegen (NYDOP-3.1.1/B2-12-k1-2013-0001)</t>
    </r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</si>
  <si>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</si>
  <si>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</si>
  <si>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</si>
  <si>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r>
      <t xml:space="preserve">Keresztury Dezső VMK: </t>
    </r>
    <r>
      <rPr>
        <sz val="10"/>
        <rFont val="Times New Roman"/>
        <family val="1"/>
      </rPr>
      <t>Almárium 2012-2014 (TÁMOP-3.4.4/B-11/2-2012-0036)</t>
    </r>
  </si>
  <si>
    <r>
      <t>Keresztury Dezső VMK:</t>
    </r>
    <r>
      <rPr>
        <sz val="10"/>
        <rFont val="Times New Roman"/>
        <family val="1"/>
      </rPr>
      <t xml:space="preserve"> KREA-TEAM 2012-2014 (TÁMOP-3.2.3/A-11/1-2012-0020)</t>
    </r>
  </si>
  <si>
    <r>
      <t xml:space="preserve">Keresztury Dezső VMK: </t>
    </r>
    <r>
      <rPr>
        <sz val="10"/>
        <rFont val="Times New Roman"/>
        <family val="1"/>
      </rPr>
      <t>Játék-Szín-Tér 2012-2014 (TÁMOP-3.2.13-12/1-2012-0129)</t>
    </r>
  </si>
  <si>
    <r>
      <t>Keresztury Dezső VMK</t>
    </r>
    <r>
      <rPr>
        <sz val="10"/>
        <rFont val="Times New Roman"/>
        <family val="1"/>
      </rPr>
      <t>: MESH-terség felsőfokon 2012-2014 (TÁMOP-3.2.12-12/1-2012-0036)</t>
    </r>
  </si>
  <si>
    <r>
      <t xml:space="preserve">Keresztury Dezső VMK: </t>
    </r>
    <r>
      <rPr>
        <sz val="10"/>
        <rFont val="Times New Roman"/>
        <family val="1"/>
      </rPr>
      <t>Pannon Közművelődési Tudásbázis 2009-2012 (TÁMOP-3.2.3-08/2-2009-0023)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</si>
  <si>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</si>
  <si>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</si>
  <si>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</si>
  <si>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</si>
  <si>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</si>
  <si>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</si>
  <si>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</si>
  <si>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</si>
  <si>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</si>
  <si>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</si>
  <si>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</si>
  <si>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</si>
  <si>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</si>
  <si>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 xml:space="preserve"> - VERSO projekt pályázat önrész</t>
  </si>
  <si>
    <t>Idősek Otthona lízingdíj</t>
  </si>
  <si>
    <t>Hitelező</t>
  </si>
  <si>
    <t>Lejárat éve</t>
  </si>
  <si>
    <t>II. Felhalmozási célú kiadások</t>
  </si>
  <si>
    <t xml:space="preserve">          ebből:    - felújítás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</si>
  <si>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</si>
  <si>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</si>
  <si>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</si>
  <si>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</si>
  <si>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</si>
  <si>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</si>
  <si>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</si>
  <si>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</si>
  <si>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</si>
  <si>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</si>
  <si>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</si>
  <si>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</si>
  <si>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területfejlesztési feladatok</t>
  </si>
  <si>
    <t xml:space="preserve">Közgyűlés által létrehozott alapítványok támogatása 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</si>
  <si>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</si>
  <si>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</si>
  <si>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</si>
  <si>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</si>
  <si>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</si>
  <si>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</si>
  <si>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>Közvetett támogatás jogcíme</t>
  </si>
  <si>
    <t>1. Ellátottak térítési díjának illetve kártérítésének méltányossági alapon történő elengedése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</si>
  <si>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</si>
  <si>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</si>
  <si>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</si>
  <si>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</si>
  <si>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2015. évi kötelezettség</t>
  </si>
  <si>
    <t>2016. évi kötelezettség</t>
  </si>
  <si>
    <t>Megjegyzés</t>
  </si>
  <si>
    <t>I. Hitelek törlesztése és kamatai, lízingdíj</t>
  </si>
  <si>
    <t>II. Fejlesztési kiadás kötelezettsége</t>
  </si>
  <si>
    <t>ZTE FC Zrt.</t>
  </si>
  <si>
    <t>ZTE Kosárlabda Klub Sportszolgáltató Kft.</t>
  </si>
  <si>
    <t>IV. Kézfizető kezességvállalások</t>
  </si>
  <si>
    <t>ZTE Futball Club</t>
  </si>
  <si>
    <t>Városgazdálkodási Kft. ( Parkológazda)</t>
  </si>
  <si>
    <t>Városgazdálkodási Kft.</t>
  </si>
  <si>
    <t xml:space="preserve"> Kézfizető kezességek összesen:</t>
  </si>
  <si>
    <t>Összes kötelezettség:</t>
  </si>
  <si>
    <t>2017. évi kötelezettség</t>
  </si>
  <si>
    <t>Részletesen a 7. mellékletben</t>
  </si>
  <si>
    <t>Részletesen a 11. mellékletben</t>
  </si>
  <si>
    <t xml:space="preserve"> Támogatási és egyéb megállapodások összesen:</t>
  </si>
  <si>
    <t>III. Támogatási és egyéb megállapodások</t>
  </si>
  <si>
    <t>Zalavolán Zrt. veszteség finanszírozás</t>
  </si>
  <si>
    <t>Edelmann Hungary Packaging Zrt. Bérleti díj</t>
  </si>
  <si>
    <t>2022.</t>
  </si>
  <si>
    <t>2025.</t>
  </si>
  <si>
    <t>Az adókedvezmények és mentességek esetében a 2012. évi adat állt rendelkezésre</t>
  </si>
  <si>
    <t xml:space="preserve"> - TISZK megszüntetésével kapcsolatos elszámolás</t>
  </si>
  <si>
    <t xml:space="preserve"> - Zeg-i Súlyemelő Klub támogatása</t>
  </si>
  <si>
    <t xml:space="preserve"> - ZG 3 termálkút üzemeltetése</t>
  </si>
  <si>
    <t>Felújítási cél megnevezése</t>
  </si>
  <si>
    <t>Felújítási célú kiad.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</si>
  <si>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</si>
  <si>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</si>
  <si>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</si>
  <si>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Jogi Igazgatási feladatok összesen:</t>
  </si>
  <si>
    <t>Szennyvízberuházások és csapadékcsatornák</t>
  </si>
  <si>
    <t>1./4</t>
  </si>
  <si>
    <t>1./5</t>
  </si>
  <si>
    <t xml:space="preserve"> - operatív program (2014-2020.) előkészítése</t>
  </si>
  <si>
    <t xml:space="preserve"> - hatósági, szakhatósági eljárásokkal kapcs.kiadások</t>
  </si>
  <si>
    <t xml:space="preserve"> - ingatlanok jogi helyzetének rendezése, művelési ág változtatása</t>
  </si>
  <si>
    <t xml:space="preserve"> - egyéb városépítészeti feladatok</t>
  </si>
  <si>
    <t xml:space="preserve"> - új projektjavaslatok előkészítésével kapcs.kiadások</t>
  </si>
  <si>
    <t>Fizikai dolgozó</t>
  </si>
  <si>
    <t xml:space="preserve">   Költségvetési műk. kiadásai összesen: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</si>
  <si>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</si>
  <si>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</si>
  <si>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</si>
  <si>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</si>
  <si>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</si>
  <si>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</si>
  <si>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</si>
  <si>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 összesen</t>
  </si>
  <si>
    <t xml:space="preserve"> - alapfokú versenyek rendezése és  támogatása</t>
  </si>
  <si>
    <t xml:space="preserve"> - szabadidősport klubok támogatása</t>
  </si>
  <si>
    <t xml:space="preserve"> - futófolyosó üzemeltetése</t>
  </si>
  <si>
    <t xml:space="preserve">  - Andráshidai LSC sportlétesítmény üzemeltetés tám.</t>
  </si>
  <si>
    <t>Lakásalap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</si>
  <si>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</si>
  <si>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</si>
  <si>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</si>
  <si>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</si>
  <si>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6./5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</si>
  <si>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</si>
  <si>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</si>
  <si>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</si>
  <si>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</si>
  <si>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</si>
  <si>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</si>
  <si>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</si>
  <si>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épületek energiatanusítványának elkészítése</t>
  </si>
  <si>
    <t xml:space="preserve"> - önk. ingatlanok állagmegóvása,vagyonvédelme</t>
  </si>
  <si>
    <t xml:space="preserve"> - Hadkieg Parancsnokság ingatlan fenntartási költségei</t>
  </si>
  <si>
    <t xml:space="preserve"> - volt vasúti ingatlanok működési kiadásai</t>
  </si>
  <si>
    <t xml:space="preserve"> - egyéb állami ingatlanok igénylésével kapcsolatos kiadások</t>
  </si>
  <si>
    <t>1.a/5</t>
  </si>
  <si>
    <t>1.a/6</t>
  </si>
  <si>
    <t>4.a./4</t>
  </si>
  <si>
    <t>4.a./5</t>
  </si>
  <si>
    <t>4.a./6</t>
  </si>
  <si>
    <t>Botfy L. u. Vizslaparki u. - Mártírok u. közötti szakaszon csapadékcsatorna felúj.</t>
  </si>
  <si>
    <t xml:space="preserve">  - jégidő</t>
  </si>
  <si>
    <t xml:space="preserve"> - Vorhotai LSC sportlétesítmény üzemeltetés támogatása</t>
  </si>
  <si>
    <t xml:space="preserve"> - Mányoki Attila Ocean's Seven sorozat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</si>
  <si>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</si>
  <si>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</si>
  <si>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</si>
  <si>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 xml:space="preserve"> - 2013. évi normatív hozzájárulás elszámolása </t>
  </si>
  <si>
    <t>4.a./7</t>
  </si>
  <si>
    <t>4.a./8</t>
  </si>
  <si>
    <t>4.a./9</t>
  </si>
  <si>
    <t>4.a./10</t>
  </si>
  <si>
    <t>4.a./11</t>
  </si>
  <si>
    <t>4.a./12</t>
  </si>
  <si>
    <t>Magánerős útépítések támogatása</t>
  </si>
  <si>
    <t>4.a/4</t>
  </si>
  <si>
    <t>4.a/5</t>
  </si>
  <si>
    <t>4.a/6</t>
  </si>
  <si>
    <t>4.a/7</t>
  </si>
  <si>
    <t xml:space="preserve">Vorhotán Újhegyi u. járdaépítés és kapcsolódó árok zárttá tétele </t>
  </si>
  <si>
    <t>Csácsi hegy nyomásövezetek összekötése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</si>
  <si>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</si>
  <si>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</si>
  <si>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</si>
  <si>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</si>
  <si>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</si>
  <si>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084031 Civil szervezetek műk. Támogatása</t>
  </si>
  <si>
    <t>074054 Komplex egészségfejl., prevenciós programok</t>
  </si>
  <si>
    <t>101211 Fogyatékosággal élők tartós bentlakásos ellátása</t>
  </si>
  <si>
    <t>102021 Időskorúak, demens betegek tartós bentlak. ellát.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</si>
  <si>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</si>
  <si>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</si>
  <si>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</si>
  <si>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</si>
  <si>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</si>
  <si>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</si>
  <si>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O66010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</si>
  <si>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</si>
  <si>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</si>
  <si>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</si>
  <si>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</si>
  <si>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Állomány 2014.12.31</t>
  </si>
  <si>
    <t>5.) Működési bevételek (áfa visszaigénylés)</t>
  </si>
  <si>
    <t>3.Egyéb működési célú kiadások (költségvetési szervek és tartalék nélkül)</t>
  </si>
  <si>
    <t>6.) Hitel felvétel</t>
  </si>
  <si>
    <t>7.) Előző év költségvetési maradványának igénybevétele</t>
  </si>
  <si>
    <t>Kertváros  út-, járdaburkolat felújítási munkák</t>
  </si>
  <si>
    <t>Radnóti u. óvoda kerítés felújítása</t>
  </si>
  <si>
    <t xml:space="preserve"> - Zalaegerszegi Honvédklub támogatása</t>
  </si>
  <si>
    <t>5./1.</t>
  </si>
  <si>
    <t xml:space="preserve">Bekeháza temető környezetének rendezése, temetőt megközelítő út kialakítása </t>
  </si>
  <si>
    <t>8./3</t>
  </si>
  <si>
    <t>8./4</t>
  </si>
  <si>
    <t>Hegybíró u. aszfaltozása</t>
  </si>
  <si>
    <t>Belvárosi járdák felújítása</t>
  </si>
  <si>
    <t>Járdafelújítások Páterdombon</t>
  </si>
  <si>
    <t>Zárda u. - Alsójánkahegyi u. közötti tereplécső felújítása</t>
  </si>
  <si>
    <t>Beszerzésekhez szükséges egyszerű műszaki tervdokumentációk elkészítése, műszaki ellenőrzések és egyéb hatósági díjak</t>
  </si>
  <si>
    <t>Információs táblák pótlása, kihelyezése</t>
  </si>
  <si>
    <t>*</t>
  </si>
  <si>
    <t>Épületenergetikai korszerűsítések a zalaegerszegi közintézményekben (KEOP-5.5.0/A) - önrész, előkészítés</t>
  </si>
  <si>
    <t xml:space="preserve">            Óvodák</t>
  </si>
  <si>
    <t>1./1/1.</t>
  </si>
  <si>
    <t>1./1/2.</t>
  </si>
  <si>
    <t>1./1/3.</t>
  </si>
  <si>
    <t>1./1/4.</t>
  </si>
  <si>
    <t>1./1/5.</t>
  </si>
  <si>
    <t>1./1/6.</t>
  </si>
  <si>
    <t>1./1/7.</t>
  </si>
  <si>
    <t>1./1/8.</t>
  </si>
  <si>
    <t>1./1/9.</t>
  </si>
  <si>
    <t>1./2.</t>
  </si>
  <si>
    <t xml:space="preserve">             Általános iskolák</t>
  </si>
  <si>
    <t>1./2/1..</t>
  </si>
  <si>
    <t>1./2/2..</t>
  </si>
  <si>
    <t>1./2/3..</t>
  </si>
  <si>
    <t>1./2/4.</t>
  </si>
  <si>
    <t>1./2/5..</t>
  </si>
  <si>
    <t>1./2/6.</t>
  </si>
  <si>
    <t>1./3/1.</t>
  </si>
  <si>
    <t>1./3/2.</t>
  </si>
  <si>
    <t xml:space="preserve">2. </t>
  </si>
  <si>
    <t>2./1.</t>
  </si>
  <si>
    <t>2./2.</t>
  </si>
  <si>
    <t xml:space="preserve">Hevesi Sándor Színház ponthúzó hajtásrendszerének felújítása  </t>
  </si>
  <si>
    <t>3./1.</t>
  </si>
  <si>
    <t>3./1/1.</t>
  </si>
  <si>
    <t>3./2.</t>
  </si>
  <si>
    <t>3./2/1.</t>
  </si>
  <si>
    <t>3./2/2.</t>
  </si>
  <si>
    <t>3./2/3.</t>
  </si>
  <si>
    <t>3./2/4.</t>
  </si>
  <si>
    <t>3./3.</t>
  </si>
  <si>
    <t>3./3/1.</t>
  </si>
  <si>
    <t xml:space="preserve">5. </t>
  </si>
  <si>
    <t>Sportcsarnokban ZTE KK Kft. TAO-s pályázatához kapcsolódó felújítási feladatokhoz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</si>
  <si>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</si>
  <si>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</si>
  <si>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</si>
  <si>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Kovács Károly térről buszállomás felé az átkötő járda szélesítése és felújítása</t>
  </si>
  <si>
    <t>Bozsok Hegy út felújítása</t>
  </si>
  <si>
    <t>Mozgássérültek Zm.Egyesülete részére pe. átad. a Gébárti faház felúj.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</si>
  <si>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</si>
  <si>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</si>
  <si>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</si>
  <si>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</si>
  <si>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t>Önkormányzat által nyújtott lakástámogatás első lakáshoz jutók részére  (Lakásalapból)</t>
  </si>
  <si>
    <t>1./2/1.</t>
  </si>
  <si>
    <t xml:space="preserve">4. </t>
  </si>
  <si>
    <t>Sportfeladatok</t>
  </si>
  <si>
    <t>4./1.</t>
  </si>
  <si>
    <t>4./2.</t>
  </si>
  <si>
    <t>4./3.</t>
  </si>
  <si>
    <t>4./4.</t>
  </si>
  <si>
    <t>4./5.</t>
  </si>
  <si>
    <t>5.a/4</t>
  </si>
  <si>
    <t>5.a/5</t>
  </si>
  <si>
    <t>Ivóvízminőség javítása KEOP pályázathoz önrész Önerőalapból (KEOP-7.1.3.0/09-201-0017 )</t>
  </si>
  <si>
    <t>Szent L. u.-i közösségi ház közműhálózat leválasztása</t>
  </si>
  <si>
    <t>Becsali u. gyalogos átkelőhely létesítése</t>
  </si>
  <si>
    <t>Bozsoki horhos partfal stabilizációk</t>
  </si>
  <si>
    <t>Petőfi S. Iskola mögötti tömbbelsőben parkolóépítés</t>
  </si>
  <si>
    <t>Buslakpuszta hulladékdepó bővítéséhez területszerzés, kisajátítás</t>
  </si>
  <si>
    <t>6.b/14</t>
  </si>
  <si>
    <t>Épületenergetikai korszerűsítések megújuló energiaforrás hasznosításával a zalaegerszegi közintézményekben (KEOP-5.5.0/B) - önrész, előkészítés</t>
  </si>
  <si>
    <t>Vízjogi engedélyezési eljárások díja</t>
  </si>
  <si>
    <t>Beruházásokhoz kapcsolódó csatornadiagnosztikák költsége</t>
  </si>
  <si>
    <t>Ivóvízvezeték építési munkák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</si>
  <si>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</si>
  <si>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</si>
  <si>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</si>
  <si>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</si>
  <si>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>Egyéb területrendezések, bontások</t>
  </si>
  <si>
    <t xml:space="preserve">Vasútfejlesztés </t>
  </si>
  <si>
    <t>6./8</t>
  </si>
  <si>
    <t>6./9</t>
  </si>
  <si>
    <t>6./10</t>
  </si>
  <si>
    <t>6./12</t>
  </si>
  <si>
    <t>6./14</t>
  </si>
  <si>
    <t>6./15</t>
  </si>
  <si>
    <t>6./16</t>
  </si>
  <si>
    <t>6./17</t>
  </si>
  <si>
    <t>6./18</t>
  </si>
  <si>
    <t>Raiffeisen Bank Zrt.</t>
  </si>
  <si>
    <t>2035.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</si>
  <si>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</si>
  <si>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</si>
  <si>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</si>
  <si>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</si>
  <si>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</si>
  <si>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</si>
  <si>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</si>
  <si>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</si>
  <si>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</si>
  <si>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</si>
  <si>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</si>
  <si>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</si>
  <si>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</si>
  <si>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Felhalmozás</t>
  </si>
  <si>
    <t>Sport feladatok</t>
  </si>
  <si>
    <t xml:space="preserve"> - verseny-és élsport</t>
  </si>
  <si>
    <t xml:space="preserve"> - Zeg. Jégsportjáért Alapítvány támogatása</t>
  </si>
  <si>
    <t xml:space="preserve"> - DO rendezvények lebonyolítása</t>
  </si>
  <si>
    <t>Polgármesteri Iroda működési kiadásai összesen:</t>
  </si>
  <si>
    <t>Polgármesteri iroda kiadásai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</si>
  <si>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</si>
  <si>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</si>
  <si>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</si>
  <si>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</si>
  <si>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</si>
  <si>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</si>
  <si>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045120 Út, autópálya építés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</si>
  <si>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</si>
  <si>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</si>
  <si>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</si>
  <si>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</si>
  <si>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>A *-gal jelzett fejlesztési feladatok megvalósításához hitelfelvétel szükséges</t>
  </si>
  <si>
    <t xml:space="preserve"> - Deák F. Megyei és Városi Könyvtár részére  megelőlegezett ált.forgalmi adó visszafizetése</t>
  </si>
  <si>
    <t xml:space="preserve"> - ZG3 kút üzemeltetése</t>
  </si>
  <si>
    <t xml:space="preserve"> - önk.múködésének általános támogatása</t>
  </si>
  <si>
    <t xml:space="preserve"> - közterületfelügyeleti bírság</t>
  </si>
  <si>
    <t xml:space="preserve"> - ZALAVÍZ Zrt.előző évről áthúzódó befizetése</t>
  </si>
  <si>
    <t xml:space="preserve">      - ingatlanértékesítés Zalaco Zrt. 130/2013. kgy.hat.</t>
  </si>
  <si>
    <t xml:space="preserve"> -Ingatlan értékesítés bev. É-i ipari park és áfa visszaigénylés</t>
  </si>
  <si>
    <t xml:space="preserve"> - 2013. évi pénzmaradvány igénybevétele áthúzódó feladatokhoz</t>
  </si>
  <si>
    <t xml:space="preserve"> - Fejlesztési célú hitel felvétel  2014. évi célokhoz</t>
  </si>
  <si>
    <t xml:space="preserve"> -  Vis maior pályázat</t>
  </si>
  <si>
    <t>Közvilágítás energiatakarékos átalakítása Zalaegerszegen I. ütem KEOP-5.5.0/A/12-2013-0191 pályázati pe.</t>
  </si>
  <si>
    <t>Közvilágítás energiatakarékos átalakítása Zalaegerszegen II. ütem KEOP-5.5.0/A/12-2013-0182 pályázati pe.</t>
  </si>
  <si>
    <t>Landorhegyi óvoda ( Űrhajós u. 2. ) gyermek vizesblokk felújítás II. ütem</t>
  </si>
  <si>
    <t>2013. évről áthúzódó feladatok</t>
  </si>
  <si>
    <t>Páterdombi LSC sportpálya igényének megoldása</t>
  </si>
  <si>
    <t>Zalaegerszeg, 4815/6 hrsz-ú ingatlan vízbekötésének és szennyvízelvezetésének, valamint az Alkotmány utca 2, 4 és 6. sz. ingatlanok szennyvízelvezetésének megvalósítása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</si>
  <si>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</si>
  <si>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</si>
  <si>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</si>
  <si>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 xml:space="preserve">Posta út csatornázása </t>
  </si>
  <si>
    <t>Csapadékvíz-elvezetések, vízrendezések tervezése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</si>
  <si>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</si>
  <si>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</si>
  <si>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</si>
  <si>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</si>
  <si>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</si>
  <si>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</si>
  <si>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</si>
  <si>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</si>
  <si>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</si>
  <si>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</si>
  <si>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</si>
  <si>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</si>
  <si>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</si>
  <si>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</si>
  <si>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</si>
  <si>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</si>
  <si>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</si>
  <si>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</si>
  <si>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</si>
  <si>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</si>
  <si>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</si>
  <si>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</si>
  <si>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</si>
  <si>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</si>
  <si>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</si>
  <si>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</si>
  <si>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</si>
  <si>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>Zalaegerszeg, Déryné utcai gyalogátkelőhely létesítése</t>
  </si>
  <si>
    <t xml:space="preserve">Újtemető parkoló bővítés </t>
  </si>
  <si>
    <t>Göcseji u.- Závoczki I.u. jobbra kanyarodó sáv kialakítási munkái pályázati önrész</t>
  </si>
  <si>
    <t>Öveges ÁMK területén gázvezeték kiváltása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</si>
  <si>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</si>
  <si>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</si>
  <si>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</si>
  <si>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Tehermentesítő út II. ütem építéséhez kapcsolódó közműépítések</t>
  </si>
  <si>
    <t>Kosztolányi u. kétirányúsítása</t>
  </si>
  <si>
    <t>Városrehab. II. ütem kapcsolódó közműépítések</t>
  </si>
  <si>
    <t>Landorhegyi u. 8. sz. alatti orvosi rendelő parkoló kialakítási munkái</t>
  </si>
  <si>
    <t>Béke utca felújításának előkészítése, tervezése</t>
  </si>
  <si>
    <t>Rákóczi u. felújításához kapcsolódó vízi-közmű kiváltások előkészítése, tervezése</t>
  </si>
  <si>
    <t>Vizslapark funkcióbővítés és fejlesztés előkészítése, tervezése</t>
  </si>
  <si>
    <t>Gébárti fürdőlétesítmények (Aquacity) fejlesztési koncepció terv készítés</t>
  </si>
  <si>
    <t>6.1.a/3</t>
  </si>
  <si>
    <t>6.1.a/4</t>
  </si>
  <si>
    <t>Előtervezésekből 2013. évről áthúzódó feladatok</t>
  </si>
  <si>
    <t>6.1.a/5</t>
  </si>
  <si>
    <t>Fenyő u. korszerűsítése</t>
  </si>
  <si>
    <t>Egyéb 2014. évi pályázatok területszerzés, -rendezés</t>
  </si>
  <si>
    <t>Barnamezős területek rehabilitációja</t>
  </si>
  <si>
    <t>Ingatlanvásárlások</t>
  </si>
  <si>
    <t>AGORA-program - Ady mozi területszerzés (pince), jogi rendezés</t>
  </si>
  <si>
    <t>Belvárosi területrendezések, nem felújítható épületek bontása</t>
  </si>
  <si>
    <t xml:space="preserve">Kossuth u. 50. udvari épület bontása </t>
  </si>
  <si>
    <t>7./1.</t>
  </si>
  <si>
    <t>Buslakpuszta bezárt szilárd hulladék-lerakó szennyezés lokalizációja</t>
  </si>
  <si>
    <t>Bánya utca aszfaltozása, csapadék víz elvezetéssel</t>
  </si>
  <si>
    <t>Takarék köz közműcsere utáni helyreállítás</t>
  </si>
  <si>
    <t>Petőfi iskola parkoló építés</t>
  </si>
  <si>
    <t xml:space="preserve">Babits u. 5. szám előtti parkoló bővítése </t>
  </si>
  <si>
    <t>Kertvárosi templom alsó parkoló építése</t>
  </si>
  <si>
    <t>Biológuspark útcsatlakozás kialakítása</t>
  </si>
  <si>
    <t>Mártírok úton autóbuszváró létesítése</t>
  </si>
  <si>
    <t>Andráshidán járdaburkolat építés</t>
  </si>
  <si>
    <t>Csány - Zrínyi iskolák közötti belső sétány építése</t>
  </si>
  <si>
    <t>Tervek készítése, műszaki ellenőrzések és egyéb hatósági díjak</t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</si>
  <si>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</si>
  <si>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</si>
  <si>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</si>
  <si>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</si>
  <si>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</si>
  <si>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</si>
  <si>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</si>
  <si>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</si>
  <si>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Tőke-törlesz- tés</t>
  </si>
  <si>
    <t>Tőke-törlesz-tés</t>
  </si>
  <si>
    <t>Tőketör-lesztés</t>
  </si>
  <si>
    <t xml:space="preserve">1. Fejlesztési célú hitelfelvétel "Panel Plusz"  progr. </t>
  </si>
  <si>
    <t>2. Fejlesztési célú hitelfelvétel "Panel Plusz" progr.</t>
  </si>
  <si>
    <t xml:space="preserve">3. MFB Fejlesztési célú hitel felvétel 2006. évi  beruházásokhoz </t>
  </si>
  <si>
    <t xml:space="preserve">4. MFB  Fejlesztési célú hitel felvétel 74-es út körforgalom építéshez 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</si>
  <si>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</si>
  <si>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</si>
  <si>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</si>
  <si>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</si>
  <si>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</si>
  <si>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</si>
  <si>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</si>
  <si>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</si>
  <si>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5. MFB  Fejlesztési célú hitel felvétel   2008. évi beruházásokhoz és Kosztolányi u.</t>
  </si>
  <si>
    <t>6. MFB  Fejlesztési célú hitel felvétel   2008. évi kerékpárút pályázat önrészéhez</t>
  </si>
  <si>
    <t>7. MFB Fejlesztési célú hitel felvétel   2009. évi intézményi felújításokhoz</t>
  </si>
  <si>
    <t>8.Új Magyarország Fejl.Terv  Operatív Programra benyújtott pályázatok önrészéhez  hit.</t>
  </si>
  <si>
    <t>9. MFB  Fejlesztési célú hitelfelvétel 2010. évben elnyert pályázatok önrészéhez ( Önkorm. Infratrukturális Hitelprogram)</t>
  </si>
  <si>
    <t>10. MFB  Fejlesztési célú hitelfelvétel 2011. évi fejlesztési célokhoz</t>
  </si>
  <si>
    <t>11. MFB  Fejlesztési célú hitelfelvétel 2012. évi fejlesztési célokhoz</t>
  </si>
  <si>
    <t>12. MFB Fejlesztési célő hitelfelvétel belváros közlekedési rendszerének komplett átalakítása I. üt.</t>
  </si>
  <si>
    <t xml:space="preserve">13. MFB Fejlesztési célú hitelfelvétel  közvilágítás energiatakarékos átalakit. </t>
  </si>
  <si>
    <t>14. 2014. évi új feladatokhoz tervezett fejlesztési célú hitelfelvétel</t>
  </si>
  <si>
    <t>Bruttó lízingdíj  állom. eFt 2013.XII.31.</t>
  </si>
  <si>
    <t>2014.évi                                           eFt-ban</t>
  </si>
  <si>
    <t>Adósságk.</t>
  </si>
  <si>
    <t>2016. évi                              eFt-ban</t>
  </si>
  <si>
    <t>Későbbi évek terhe eFt-ban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</si>
  <si>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</si>
  <si>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</si>
  <si>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</si>
  <si>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</si>
  <si>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</si>
  <si>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</si>
  <si>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</si>
  <si>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</si>
  <si>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</si>
  <si>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Landorhegyi u. 24. parkoló felújítás</t>
  </si>
  <si>
    <t>Madách I. u. lépcsőfelújítás</t>
  </si>
  <si>
    <t>Mártírok u. burkolatfelújítás I. ütem, ivóvízvezeték rekonstrukció</t>
  </si>
  <si>
    <t>Széchenyi tér buszmegálló felújítása szigeteléssel együtt, nyilvános WC felúj.</t>
  </si>
  <si>
    <t>Belvárosi járdák felújítása (Kazinczy tér É-i oldal)</t>
  </si>
  <si>
    <t>Kovács K. tér buszmegálló járdaburkolat felújítás</t>
  </si>
  <si>
    <t>Kertvárosban járdák, lépcsők felújítása</t>
  </si>
  <si>
    <t>Ola utcai és Rákóczi utcai járda felújítása, zöldfelület rendezése</t>
  </si>
  <si>
    <t>Göcseji Pataki u. páros oldal parkoló aszfaltozása</t>
  </si>
  <si>
    <t>5.a/1</t>
  </si>
  <si>
    <t>Vorhota Közösségi Ház felújítása</t>
  </si>
  <si>
    <t>Ebergényi sport park</t>
  </si>
  <si>
    <t>Helyi építészeti értékek védelme</t>
  </si>
  <si>
    <t>Petőfi Óvoda udvar felújítás</t>
  </si>
  <si>
    <t>Landorhegyi Óvoda energetikai beruházáshoz kapcsolódó kiegészítő építések</t>
  </si>
  <si>
    <t>Mikes Óvoda energetikai beruházáshoz kapcsolódó kiegészítő építések</t>
  </si>
  <si>
    <t>Zalaegerszeg szennyvíz-elvezetés és tisztítás fejlesztése</t>
  </si>
  <si>
    <t xml:space="preserve">Közvilágítás fejlesztése </t>
  </si>
  <si>
    <t>Buszváró létesítése Kaszaházán</t>
  </si>
  <si>
    <t>Kinizsi u. tömbbelsőben játszótér eszközbővítés</t>
  </si>
  <si>
    <t>9.a/3</t>
  </si>
  <si>
    <t>9.a/4</t>
  </si>
  <si>
    <t>Erzsébethegy Közösségi tér kialakítás</t>
  </si>
  <si>
    <t>5.a/2</t>
  </si>
  <si>
    <t>5.a/3</t>
  </si>
  <si>
    <t>Kerékpárút építésekhez kapcsolódó fásítások és területrendezések</t>
  </si>
  <si>
    <t>Inkubátorház villamos energia ellátásának bővítése</t>
  </si>
  <si>
    <t>"Zalaegerszeg 2020-Integrált településfejlesztési startégia megalkotása" projekt pályázati támogatással  NYDOP-3.1.1/F-13-2013-0001</t>
  </si>
  <si>
    <t xml:space="preserve">"Komplex belváros rehabilitációs program Zalaegerszegn" projekt pályázati támogatással NYDOP-3.1.1/B1-13-k-2013-0005 </t>
  </si>
  <si>
    <t>Barnamezős vásárlás/fejlesztés</t>
  </si>
  <si>
    <t>6.b/7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</si>
  <si>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</si>
  <si>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</si>
  <si>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</si>
  <si>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</si>
  <si>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</si>
  <si>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</si>
  <si>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</si>
  <si>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</si>
  <si>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</si>
  <si>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</si>
  <si>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</si>
  <si>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>Ökováros projekt</t>
  </si>
  <si>
    <t>Zalavíz Zrt. részvény vásárlás</t>
  </si>
  <si>
    <t xml:space="preserve">Stúdió Rádió fejlesztési célú támogatása </t>
  </si>
  <si>
    <t>4./50</t>
  </si>
  <si>
    <t>4./51</t>
  </si>
  <si>
    <t>4./52</t>
  </si>
  <si>
    <t>4./53</t>
  </si>
  <si>
    <t>4./54</t>
  </si>
  <si>
    <t>4./55</t>
  </si>
  <si>
    <t>4./56</t>
  </si>
  <si>
    <t>4./57</t>
  </si>
  <si>
    <t>4./58</t>
  </si>
  <si>
    <t>4./59</t>
  </si>
  <si>
    <t>4./60</t>
  </si>
  <si>
    <t xml:space="preserve"> a) a finanszírozás szempontjából elismert szakmai dolgozók bértámogatása</t>
  </si>
  <si>
    <t>b) Gyermekétkeztetés-üzemeltetési támogatás</t>
  </si>
  <si>
    <t>Központosított előirányzatok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</si>
  <si>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</si>
  <si>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</si>
  <si>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</si>
  <si>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</si>
  <si>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</si>
  <si>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</si>
  <si>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>Szociális, Egészségügyi  és Esélyegyenlőségi Bizottság átruházott hatáskörében felosztható keret</t>
  </si>
  <si>
    <t>Oktatási, Kulturális és Sport Bizottság átruházott hatáskörében felosztható keret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</si>
  <si>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</si>
  <si>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</si>
  <si>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</si>
  <si>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</si>
  <si>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</si>
  <si>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</si>
  <si>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</si>
  <si>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</si>
  <si>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</si>
  <si>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>Ügyvi-teli dolgo-zó</t>
  </si>
  <si>
    <t xml:space="preserve"> Zalaegerszegi Egészségügyi Alapellátás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</si>
  <si>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</si>
  <si>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</si>
  <si>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</si>
  <si>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</si>
  <si>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</si>
  <si>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Ferences Plébánia részére felújításhoz pénzeszköz átadás</t>
  </si>
  <si>
    <t xml:space="preserve"> - ipari parkban területértékesítés  254/2013..kgy.hat.alapján</t>
  </si>
  <si>
    <t>Területcsere É-i és D-i ipari parkban 254/2013. kgy.hat.alapján</t>
  </si>
  <si>
    <t>III.2. Hozzájárulás a pénzbeli szociális ellátásokhoz ( egyösszegű) beszámítás után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</si>
  <si>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</si>
  <si>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</si>
  <si>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</si>
  <si>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>1.a/1.</t>
  </si>
  <si>
    <t xml:space="preserve"> -köztemető fenntartás és temetői létesítmények  használati díja</t>
  </si>
  <si>
    <t>B53</t>
  </si>
  <si>
    <t>Egyéb tárgyi eszközök értékesítése</t>
  </si>
  <si>
    <t>Jövedelempótló támogatások</t>
  </si>
  <si>
    <t>Óvodáztatási támogatás</t>
  </si>
  <si>
    <t>Könyvtári érdekeltségnövelő támogatás</t>
  </si>
  <si>
    <t>Közművelődési érdekeltségnövelő támogatás</t>
  </si>
  <si>
    <t>Nyári gyermekétkeztetés</t>
  </si>
  <si>
    <t xml:space="preserve">3. Szociális ágazati pótlék </t>
  </si>
  <si>
    <t>2014. évi módosított ei. az I. negyedévi módosítás után</t>
  </si>
  <si>
    <t>2014. évi II. negyedévi módosítás</t>
  </si>
  <si>
    <t>4./8.</t>
  </si>
  <si>
    <t>ZTE Kosárlabda Klub Kft. tőketartalék</t>
  </si>
  <si>
    <t>Havasi gyopár u. magánerős útépítés</t>
  </si>
  <si>
    <t>Intézményi fejlesztések előkészítési munkái (tervezési, bonyolítási,  műszaki ellenőrzési díjak és kivitelezés)</t>
  </si>
  <si>
    <t>Platán sor 18.szám mögötti parkoló építés</t>
  </si>
  <si>
    <t xml:space="preserve">Idősek Otthona kialakítása </t>
  </si>
  <si>
    <t>6.b/16</t>
  </si>
  <si>
    <t>Szociális városrehabilitáció területszerzés, -rendezés, bontás</t>
  </si>
  <si>
    <t>Cserével vegyes ingatlanszerződések</t>
  </si>
  <si>
    <t>Zalaegerszegi Televízió Kft.felhalmozási célú pénzeszköz átadás</t>
  </si>
  <si>
    <t>Kosztolányi téri Óvoda felújítása</t>
  </si>
  <si>
    <t>1./1/10.</t>
  </si>
  <si>
    <t xml:space="preserve"> Kis utca óvoda vizesblokk felújítás</t>
  </si>
  <si>
    <t>1./1/11.</t>
  </si>
  <si>
    <t xml:space="preserve"> Napsugár úti óvoda felújítása</t>
  </si>
  <si>
    <t xml:space="preserve">Eötvös Iskola főépület déli és keleti oldalán nyílászárók cseréje és homlokzati  hőszigetelés </t>
  </si>
  <si>
    <t>1./2/7.</t>
  </si>
  <si>
    <t>1./2/8.</t>
  </si>
  <si>
    <t xml:space="preserve"> Ady iskolában nagytornatermi 2 db vizesblokk felújítása</t>
  </si>
  <si>
    <t>1./2/9.</t>
  </si>
  <si>
    <t xml:space="preserve"> Petőfi Iskolában vizesblokk felújítás II. üteme</t>
  </si>
  <si>
    <t xml:space="preserve"> - Idősügyi feladatok</t>
  </si>
  <si>
    <t>Havasi gyopár u. magánerős útépítéshez lakossági befizetés</t>
  </si>
  <si>
    <t xml:space="preserve"> - térítésmentes közmű átadás-átvétellel kapcsolatos elszámolások</t>
  </si>
  <si>
    <t xml:space="preserve"> 042220 Erdőgazdálkodás</t>
  </si>
  <si>
    <t xml:space="preserve"> - önkormányzati erdők ápolási és felújítási munkák</t>
  </si>
  <si>
    <t xml:space="preserve"> - Cserével vegyes ingatlanszerződések</t>
  </si>
  <si>
    <t xml:space="preserve"> - lakásalap előző évek tartalékának hasznosításából</t>
  </si>
  <si>
    <t xml:space="preserve"> - lakásalappal kapcsolatos bevételek</t>
  </si>
  <si>
    <t xml:space="preserve"> - előző évek pénzmaradványának igénybevétele</t>
  </si>
  <si>
    <t xml:space="preserve"> - előző évek tartalékának hasznosításából</t>
  </si>
  <si>
    <t xml:space="preserve"> - Nemzetközi kapcsolatok</t>
  </si>
  <si>
    <t>104051 Gyermekvédelmi pénzbeli és természetbeni ellátások</t>
  </si>
  <si>
    <t xml:space="preserve"> - óvodáztatási támogatás</t>
  </si>
  <si>
    <t>107060 Egyéb szociális pénzbeli és természetbeni ellátások, támogatások</t>
  </si>
  <si>
    <t xml:space="preserve"> - egyéb szociális szolgáltatás</t>
  </si>
  <si>
    <t xml:space="preserve"> - egészségügyi és szociális ágazat pályázati kerete</t>
  </si>
  <si>
    <t>- Természettudományos oktatás eszközrendszerének és módszertanának fejlesztése a Kölcsey F. Gimnáziumban TÁMOP 3.1.3.-11/2-2012-0023</t>
  </si>
  <si>
    <t>013350 Az önkorm. vagyonnal való gazd. kapcs. feladatok</t>
  </si>
  <si>
    <t xml:space="preserve"> - nyári étkeztetés</t>
  </si>
  <si>
    <t xml:space="preserve"> - Idősek Otthona lízingdíj kamata és árfolyamveszteség</t>
  </si>
  <si>
    <t xml:space="preserve"> - Zalaegerszeg Jégsportjáért Alapítvány támogatása</t>
  </si>
  <si>
    <t xml:space="preserve"> - jégidő</t>
  </si>
  <si>
    <t xml:space="preserve">pm </t>
  </si>
  <si>
    <t>062020 Területfejlesztési projektek és támogatásuk</t>
  </si>
  <si>
    <t xml:space="preserve"> - lakásalappal kapcsolatos kiadások</t>
  </si>
  <si>
    <t xml:space="preserve"> - előző évek tartalékának hasznosítása</t>
  </si>
  <si>
    <t xml:space="preserve"> - lízingfizetési kötelezettség</t>
  </si>
  <si>
    <t xml:space="preserve">  - Zenica testvérváros támogatása árvízkárok enyhítésére</t>
  </si>
  <si>
    <t>biz</t>
  </si>
  <si>
    <t>Napsugár úti bölcsőde udvari létesítmények és belső vizesblokk felújítás</t>
  </si>
  <si>
    <t>Űrhajós úti bölcsőde udvari létesítmények és belső vizesblokk felújítás</t>
  </si>
  <si>
    <t>Kis utcai Tipegő Bölcsődében nyílászáró csere</t>
  </si>
  <si>
    <t>Kis utcai Óvodában udvarfelújítás</t>
  </si>
  <si>
    <t>Napsugár úti óvoda udvari létesítmények és belső vizesblokk felújítás</t>
  </si>
  <si>
    <t>Óvodák felújítása</t>
  </si>
  <si>
    <t>Általános iskolákban felújítási munkák</t>
  </si>
  <si>
    <t xml:space="preserve">Dózsa Gy. tagiskola felújítás </t>
  </si>
  <si>
    <t xml:space="preserve">Ady Iskola felújítás                 </t>
  </si>
  <si>
    <t xml:space="preserve">Petőfi Iskola felújítás </t>
  </si>
  <si>
    <t>Zrínyi Gimnázium felújítás</t>
  </si>
  <si>
    <t>Beruházási célú pénzeszk. átadás és egyéb felhalmozási kiadás</t>
  </si>
  <si>
    <t>Felúj. célú pénzeszk. átad.és egyéb felújítási célú kiadás</t>
  </si>
  <si>
    <t xml:space="preserve"> - Zalaegerszegi Szociális és Gyermekjóléti Alapszolgáltatási Társulás működési hozzájárulás</t>
  </si>
  <si>
    <t>Térfigyelő kamera felszerelése Botfán</t>
  </si>
  <si>
    <t xml:space="preserve"> - Andráshida története könyv </t>
  </si>
  <si>
    <t xml:space="preserve"> - Andráshida civil összefogás napja</t>
  </si>
  <si>
    <t>6./11</t>
  </si>
  <si>
    <t>6./13</t>
  </si>
  <si>
    <t>6./19</t>
  </si>
  <si>
    <t>6./20</t>
  </si>
  <si>
    <t>Harasztifalu területszerzés</t>
  </si>
  <si>
    <t>Ipari parkban internet kapcsolat kiépítése</t>
  </si>
  <si>
    <t>082091 Közművelődés – közösségi és társadalmi részvétel fejlesztése</t>
  </si>
  <si>
    <t>107060 Egyéb szociális pénzbeli ellátások, támogatások</t>
  </si>
  <si>
    <t>Andráshidai LSC sportfejlesztési program támogatása</t>
  </si>
  <si>
    <t xml:space="preserve"> - parkolómegváltás bevételből visszafizetés</t>
  </si>
  <si>
    <t>Ipari környezet fejlesztése</t>
  </si>
  <si>
    <t>"Art" mozihálózat digitális fejlesztése pályázati támogatással</t>
  </si>
  <si>
    <t xml:space="preserve"> - Lízingdíj törlesztés</t>
  </si>
  <si>
    <t>3./7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</si>
  <si>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</si>
  <si>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</si>
  <si>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</si>
  <si>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Köztemető fenntartási feladatok ellátásához anyageszközigény biztosítása</t>
  </si>
  <si>
    <t>Gyepmesteri feladatok ellátásához anyag -eszközigény biztosítása</t>
  </si>
  <si>
    <t>5./5</t>
  </si>
  <si>
    <t>5./6</t>
  </si>
  <si>
    <t>5./7</t>
  </si>
  <si>
    <t>5./8</t>
  </si>
  <si>
    <t>5./9</t>
  </si>
  <si>
    <t>5./10</t>
  </si>
  <si>
    <t>5./11</t>
  </si>
  <si>
    <t>5./12</t>
  </si>
  <si>
    <t>5./13</t>
  </si>
  <si>
    <t>5./14</t>
  </si>
  <si>
    <t>5./15</t>
  </si>
  <si>
    <t>5./16</t>
  </si>
  <si>
    <t>5./17</t>
  </si>
  <si>
    <t>5./18</t>
  </si>
  <si>
    <t>5./19</t>
  </si>
  <si>
    <t>5./20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</si>
  <si>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</si>
  <si>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</si>
  <si>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</si>
  <si>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</si>
  <si>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</si>
  <si>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</si>
  <si>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egyéb ingatlanhasznosítás</t>
  </si>
  <si>
    <t>(nem lakás célú hely bérl. díj)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</si>
  <si>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</si>
  <si>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</si>
  <si>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</si>
  <si>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</si>
  <si>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</si>
  <si>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</si>
  <si>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Németh János állandó kiállítás működtetéséhez</t>
  </si>
  <si>
    <t xml:space="preserve"> - Zalai Civil Életért Közhasznú Egy.támogatása (Civil ház működtetése)</t>
  </si>
  <si>
    <t xml:space="preserve"> - Pannon Tükör kulturális folyóirat támogatása</t>
  </si>
  <si>
    <t>3./2</t>
  </si>
  <si>
    <t>8./1</t>
  </si>
  <si>
    <t>8./2</t>
  </si>
  <si>
    <t>2./3</t>
  </si>
  <si>
    <t>4./18</t>
  </si>
  <si>
    <t>4./19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</si>
  <si>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</si>
  <si>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</si>
  <si>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</si>
  <si>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</si>
  <si>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</si>
  <si>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</si>
  <si>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</si>
  <si>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</si>
  <si>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1./1</t>
  </si>
  <si>
    <t>1./2</t>
  </si>
  <si>
    <t>1./3</t>
  </si>
  <si>
    <t>1.</t>
  </si>
  <si>
    <t>3.</t>
  </si>
  <si>
    <t>3./1</t>
  </si>
  <si>
    <t>4.</t>
  </si>
  <si>
    <t>Út-járda parkoló beruházások</t>
  </si>
  <si>
    <t>4./1</t>
  </si>
  <si>
    <t xml:space="preserve"> - Csácsbozsok-Alsónemesapáti LSC sportlét.bérleti díj</t>
  </si>
  <si>
    <t>6.1.a/1</t>
  </si>
  <si>
    <t xml:space="preserve"> - országos DO. zalaegerszegi rendezvényei</t>
  </si>
  <si>
    <t xml:space="preserve"> - sportfeladatok</t>
  </si>
  <si>
    <t>Zöldterület kezelés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</si>
  <si>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</si>
  <si>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</si>
  <si>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</si>
  <si>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</si>
  <si>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"Zalaegerszeg 2020-Integrált településfejlesztési stratégia megalkotása" projekt pályázati támogatással  NYDOP-3.1.1/F-13-2013-0001</t>
  </si>
  <si>
    <t>Központi, irányító szervi támogatás</t>
  </si>
  <si>
    <t xml:space="preserve"> - városi újság támogatása</t>
  </si>
  <si>
    <t xml:space="preserve"> - Rendezvények, kommunikáció, reprezentáció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</si>
  <si>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</si>
  <si>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</si>
  <si>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</si>
  <si>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</si>
  <si>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</si>
  <si>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</si>
  <si>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</si>
  <si>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>4./14</t>
  </si>
  <si>
    <t>4./15</t>
  </si>
  <si>
    <t>4./16</t>
  </si>
  <si>
    <t>4./17</t>
  </si>
  <si>
    <t>2.a/1</t>
  </si>
  <si>
    <t xml:space="preserve"> - önkormányzati utak szakági nyilvántartása</t>
  </si>
  <si>
    <t>2./2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</si>
  <si>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</si>
  <si>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</si>
  <si>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</si>
  <si>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</si>
  <si>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</si>
  <si>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</si>
  <si>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</si>
  <si>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Millecentenáriumi Közalapítvány támogatása</t>
  </si>
  <si>
    <t xml:space="preserve"> - Nemzetközi kapcsolatokra</t>
  </si>
  <si>
    <t xml:space="preserve"> - Hajléktalanok szállása (Vöröskereszt) műk. támog.</t>
  </si>
  <si>
    <t xml:space="preserve"> -  Megyei Jogú Városok Szövetsége tagdíja</t>
  </si>
  <si>
    <t xml:space="preserve"> - Városi TV működési támogatása</t>
  </si>
  <si>
    <t xml:space="preserve"> - Városi Hírportál szerkesztése</t>
  </si>
  <si>
    <t xml:space="preserve"> - Zalavolán Rt. működési támogatása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</si>
  <si>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</si>
  <si>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</si>
  <si>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</si>
  <si>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3./3</t>
  </si>
  <si>
    <t>3./4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</si>
  <si>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</si>
  <si>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</si>
  <si>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</si>
  <si>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</si>
  <si>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</si>
  <si>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</si>
  <si>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</si>
  <si>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</si>
  <si>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</si>
  <si>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</si>
  <si>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</si>
  <si>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</si>
  <si>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</si>
  <si>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</si>
  <si>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>Költségvetési szervek mindösszesen:</t>
  </si>
  <si>
    <t xml:space="preserve"> - Városi Strandfürdő és Fedett uszoda műk.  támogatása</t>
  </si>
  <si>
    <t>Pénzügyi lebonyolítás és kp-i  összesen:</t>
  </si>
  <si>
    <t>22.</t>
  </si>
  <si>
    <t xml:space="preserve"> Polgármesteri iroda 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</si>
  <si>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</si>
  <si>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</si>
  <si>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</si>
  <si>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villamos energia vásárlás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</si>
  <si>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</si>
  <si>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</si>
  <si>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</si>
  <si>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</si>
  <si>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</si>
  <si>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</si>
  <si>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</si>
  <si>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 - Fejlesztési kiadások </t>
  </si>
  <si>
    <t xml:space="preserve"> - Felújítási kiadások</t>
  </si>
  <si>
    <t>Városépítészet összesen:</t>
  </si>
  <si>
    <t xml:space="preserve">Vagyonkezelési feladatok </t>
  </si>
  <si>
    <t xml:space="preserve"> - helyiséggazdálkodás kiadásai</t>
  </si>
  <si>
    <t xml:space="preserve"> - LÉSZ bérlemény üzemeltetés</t>
  </si>
  <si>
    <t>Finanszírozási bevételek</t>
  </si>
  <si>
    <t>Munkaadókat terhelő járulékok és szociális hj.adó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</si>
  <si>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</si>
  <si>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</si>
  <si>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</si>
  <si>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</si>
  <si>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</si>
  <si>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</si>
  <si>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</si>
  <si>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</si>
  <si>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</si>
  <si>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</si>
  <si>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2014. évi eredeti előirányzat</t>
  </si>
  <si>
    <t>Módosítás összege</t>
  </si>
  <si>
    <t>2014. évi  módosított előirányzat</t>
  </si>
  <si>
    <t>2014. évi módosított előirányzat</t>
  </si>
  <si>
    <t>B116</t>
  </si>
  <si>
    <t>Helyi önkormányzatok kiegészítő támogatásai</t>
  </si>
  <si>
    <t>2014. évi bevétel eredeti előirányzat</t>
  </si>
  <si>
    <t>2014. évi bevétel módosított előirányzat</t>
  </si>
  <si>
    <t xml:space="preserve"> Lakott külterülettel kapcsolatos feladatok</t>
  </si>
  <si>
    <t xml:space="preserve"> Üdülőhelyi feladatok</t>
  </si>
  <si>
    <t>Eútdíj bevezetésével kapcsolatos bevételkiesés ellentételezése</t>
  </si>
  <si>
    <t>2013.évről áthúzódó bérkompenzáció</t>
  </si>
  <si>
    <t>Lakossági közműfejlesztés támogatása</t>
  </si>
  <si>
    <t>EU Önerőalap támogatás</t>
  </si>
  <si>
    <t>Múzeális intézmények szakmai támoagatása</t>
  </si>
  <si>
    <t>Egyéb központi támogatás</t>
  </si>
  <si>
    <t>1. 2014. évi bérkompenzáció</t>
  </si>
  <si>
    <t>2. Adósságkonszolídáció</t>
  </si>
  <si>
    <t>Címszám</t>
  </si>
  <si>
    <t>Alcímszám</t>
  </si>
  <si>
    <t xml:space="preserve">Önkormányzat összesen költségvetési szervek nélkül </t>
  </si>
  <si>
    <t>Munkaadót terhelő járulékok és szociális hj.adó</t>
  </si>
  <si>
    <t>Hitel-, kölcsöntörlesztés áht-n kívülre</t>
  </si>
  <si>
    <t>Módosítás hatáskör szerint</t>
  </si>
  <si>
    <t>kgy</t>
  </si>
  <si>
    <t>Városi középiskolai Kollégium udvari pihenő kialakítása</t>
  </si>
  <si>
    <t>2./4.</t>
  </si>
  <si>
    <t>Keresztury ház Németh János dombormű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</si>
  <si>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</si>
  <si>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</si>
  <si>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4./6.</t>
  </si>
  <si>
    <t xml:space="preserve">ZTE-SPORTSZOLG Kft.törzstőke és tőketartalék </t>
  </si>
  <si>
    <t>4./7.</t>
  </si>
  <si>
    <t>Botfai sportöltöző szigetelése, fűtéskorszerűsítéspályázati önrész Botfai LSC részére</t>
  </si>
  <si>
    <t>1./10</t>
  </si>
  <si>
    <t>Szennyvíztársulástól átvett viziközmű vagyon működtetésére pénzeszköz átadás Zalavíz Zrt. részére</t>
  </si>
  <si>
    <t>1./11</t>
  </si>
  <si>
    <t>Ady utcai szennyvízbekötések</t>
  </si>
  <si>
    <t>"Ivóvízminőség javítása" KEOP pályázathoz Önerő alap támogatás átadása</t>
  </si>
  <si>
    <t>3./8.</t>
  </si>
  <si>
    <t>Botfai közvilágítás fejlesztés</t>
  </si>
  <si>
    <t>3./9.</t>
  </si>
  <si>
    <t>Lakossági közműfejlesztési hozzájárulá (állami)</t>
  </si>
  <si>
    <t>pm</t>
  </si>
  <si>
    <t>5./21</t>
  </si>
  <si>
    <t xml:space="preserve"> Mikes u.tagóvoda udvarára kültéri játékok beszerzése pe. Átadás "Játékvár Alapítvány a Mikes Kelemen Úti Óvodáért"részére</t>
  </si>
  <si>
    <t>5./22</t>
  </si>
  <si>
    <t>Erkel F.utcai régi rönk játszótér eszközbővítés</t>
  </si>
  <si>
    <t>Zalabesenyő közösségi ház fejlesztéséhez pe. átadás Besenyő a 2000-es években Alapítvány részére</t>
  </si>
  <si>
    <t>Egyéb város- és községgazdálkodás kisértékű tárgyi eszközök beszerzése</t>
  </si>
  <si>
    <t>9./7</t>
  </si>
  <si>
    <t>Környezetvédelmi Jeles napok kisértékű tárgyi eszköz beszerzés</t>
  </si>
  <si>
    <t>9./8</t>
  </si>
  <si>
    <t xml:space="preserve"> Közfoglalkoztatás anyag- és eszközigény biztosítása</t>
  </si>
  <si>
    <t>9./9</t>
  </si>
  <si>
    <t>Városüzemelteéssel kapcsolatos kisértékű eszköz beszerzése</t>
  </si>
  <si>
    <t>"Települési szilárdhulladék-gazdálkodási rendszerek eszközparkjának fejlesztése, informatikai korszerűsítése" pályázati támogatással KEOP-1.1.1/C/13.</t>
  </si>
  <si>
    <t xml:space="preserve"> Aquaparkba kisértékű eszközök beszerzése</t>
  </si>
  <si>
    <t>MÜLLEX Közszolgáltató Nonprofit Kft. üzletrészének megvásárlás</t>
  </si>
  <si>
    <t>Dolgozói lakásépítés és -vásárlás támogatása</t>
  </si>
  <si>
    <t>Településrészi önkorm. tárgyi eszköz beszerzés</t>
  </si>
  <si>
    <t>4./61</t>
  </si>
  <si>
    <t>Kutilapi u. aszfaltozása</t>
  </si>
  <si>
    <t>biz.</t>
  </si>
  <si>
    <t>4.a/1.</t>
  </si>
  <si>
    <t>Sas u. - Jánkahegy útcsatlakozás kiépítése</t>
  </si>
  <si>
    <t>6./1.</t>
  </si>
  <si>
    <t>Duális képzőközpont kialakítása</t>
  </si>
  <si>
    <t>LÉSZ Kft.részére önk-i tulajdonú ingatlanok utáni felújítási hozzájárulás</t>
  </si>
  <si>
    <t>Költségvetési szerv megnevezése</t>
  </si>
  <si>
    <t>2014. eredeti előirányzat</t>
  </si>
  <si>
    <t>Bevételek összesen</t>
  </si>
  <si>
    <t>Munkaadókat terhelő járulékok és szociális hozzájárulási adó</t>
  </si>
  <si>
    <t>2014. évi  előirányzat</t>
  </si>
  <si>
    <t>2014. évi módos. ei.</t>
  </si>
  <si>
    <t>Cím              szám</t>
  </si>
  <si>
    <t>Alcím                    szám</t>
  </si>
  <si>
    <t xml:space="preserve">  - Kiegészítő gyemekvédelmi támogatás</t>
  </si>
  <si>
    <t xml:space="preserve"> - Holokauszt Emlékév </t>
  </si>
  <si>
    <t>421100 Út, autópálya építés</t>
  </si>
  <si>
    <t xml:space="preserve"> - Bio és megújuló energiafelhasználás startmunka mintaprogram</t>
  </si>
  <si>
    <t xml:space="preserve"> - vizíközmű fejlesztési hozzájárulás Zalavíz Zrt-től</t>
  </si>
  <si>
    <t xml:space="preserve"> - Szennyvíztársulástól átvett viziközmű vagyon használati díja</t>
  </si>
  <si>
    <t>"Települési szilárdhulladék-gazdálkodási rendszerek eszközparkjának fejlesztése, informatikai korszerűsítése" pályázati támogatás KEOP-1.1.1/C/13.</t>
  </si>
  <si>
    <t xml:space="preserve"> - LÉSZ Kft. önkormányzati vagyon működtetési díj</t>
  </si>
  <si>
    <t xml:space="preserve"> -  osztalék bevétel</t>
  </si>
  <si>
    <t xml:space="preserve"> - lakásalap  2013. évi pénzmaradványának bevonása</t>
  </si>
  <si>
    <t xml:space="preserve"> - lakásalap előző évek maradványának igénybevétele</t>
  </si>
  <si>
    <t>Jogi igazgatási feladatok összesen:</t>
  </si>
  <si>
    <t xml:space="preserve"> - helyi önkormányzatok általános működésének és ágazati feladatainak támogatása</t>
  </si>
  <si>
    <t xml:space="preserve"> - központosított támogatások</t>
  </si>
  <si>
    <t xml:space="preserve"> - központi támogatások</t>
  </si>
  <si>
    <t xml:space="preserve"> - áfa visszaigénylés</t>
  </si>
  <si>
    <t xml:space="preserve"> - Pénzmaradvány terhére intézményi elvonás</t>
  </si>
  <si>
    <t xml:space="preserve"> - Többcélú Kistérségi Társulás befizetése 2013. évi állami támogatás elszámolása miatt</t>
  </si>
  <si>
    <t xml:space="preserve"> - Nyugdíjasházi adományok</t>
  </si>
  <si>
    <t xml:space="preserve"> - Járulékmegtakarításból eredő int-i befizetési kötelezettség</t>
  </si>
  <si>
    <t xml:space="preserve"> - előző évek tartalékának igénybevétele</t>
  </si>
  <si>
    <t>Építéshatósági feladatok összesen:</t>
  </si>
  <si>
    <t>Módosítás
döntési
hatáskör
szerint *</t>
  </si>
  <si>
    <t>Ellátottak pénzbeni juttatásai</t>
  </si>
  <si>
    <t>Egyéb felhalmozási kiadások</t>
  </si>
  <si>
    <t xml:space="preserve"> -  rendszeres szociális segély</t>
  </si>
  <si>
    <t xml:space="preserve"> - kiegészítő gyermekvédelmi támogatás</t>
  </si>
  <si>
    <t xml:space="preserve"> - adósságkezelési szolgáltatás </t>
  </si>
  <si>
    <t>107054  Családsegítés</t>
  </si>
  <si>
    <t>032020 Tűz- és katasztrófavéd. tevékenység</t>
  </si>
  <si>
    <t>Szociális és igazgatási fa. működési kiadás összesen:</t>
  </si>
  <si>
    <t>Beruházási kiadások:</t>
  </si>
  <si>
    <t xml:space="preserve"> - intézményi pályázatok és egyéb támogatások</t>
  </si>
  <si>
    <t xml:space="preserve"> - díszokleveles pedagógusok ünnepsége és jutalmazása</t>
  </si>
  <si>
    <t xml:space="preserve"> - Kábítószerügyi Egyeztető Fórum </t>
  </si>
  <si>
    <t xml:space="preserve"> - Kvártélyház Kft. támogatása</t>
  </si>
  <si>
    <t xml:space="preserve"> - 2014. évi közösségi, művészeti pályázatok</t>
  </si>
  <si>
    <t xml:space="preserve"> -  Idősek Otthona férőhely megváltás visszafizetés</t>
  </si>
  <si>
    <t xml:space="preserve"> - sport- és humánigazgatási feladatok</t>
  </si>
  <si>
    <t xml:space="preserve"> - Zalaegerszegi Futball utánpótlás és sport klub támogatása</t>
  </si>
  <si>
    <t xml:space="preserve"> -     rendezvények támogatása</t>
  </si>
  <si>
    <t>Beruházási kiadások</t>
  </si>
  <si>
    <t>Városüzemelési feladatok:</t>
  </si>
  <si>
    <t>kgy,pm</t>
  </si>
  <si>
    <t xml:space="preserve"> - Zöldterületi Stratégia feladatai</t>
  </si>
  <si>
    <t xml:space="preserve"> - Aqua jótékonysági nap bevételéből virágosítás</t>
  </si>
  <si>
    <t xml:space="preserve"> - Bio és megújuló energiafelhasználás startmunka mintaprogram  BM támogatással</t>
  </si>
  <si>
    <t xml:space="preserve"> - temetők fenntartása</t>
  </si>
  <si>
    <t xml:space="preserve"> - lakosssági, civil kezdeményezések támogatása</t>
  </si>
  <si>
    <t>Városüzemelési működési kiadások összesen:</t>
  </si>
  <si>
    <t>Beruházási  kiadások:</t>
  </si>
  <si>
    <t>Városépítészeti feladatok működési kiadásai:</t>
  </si>
  <si>
    <t>Beruházás kiadások</t>
  </si>
  <si>
    <t xml:space="preserve"> - stratégiai fejl. tervek, megvalósíthatósági tanulmányok</t>
  </si>
  <si>
    <t xml:space="preserve"> - Zalai Közszolgáltató Nonprofit Kft. részére tagi kölcsön </t>
  </si>
  <si>
    <t xml:space="preserve"> - főépítészi keret</t>
  </si>
  <si>
    <t>Vagyonkezelési feladatok működési kiadások</t>
  </si>
  <si>
    <t xml:space="preserve"> - közbiztonsági feladatok</t>
  </si>
  <si>
    <t>- Landorhegyi közbiztonsági feladatok</t>
  </si>
  <si>
    <t>Jogi és igazgatási feladatok működési kiadási:</t>
  </si>
  <si>
    <t xml:space="preserve"> - Járulékcsökkenésből eredő magtakarítás befizetési kötelezettség</t>
  </si>
  <si>
    <t xml:space="preserve"> - Többcélú Kistérségi Társulás részére állami támogatás továbbadása</t>
  </si>
  <si>
    <t xml:space="preserve"> - okmányirodai bevételek átadása a Kormányhivatal részére</t>
  </si>
  <si>
    <t xml:space="preserve"> - Egyéb szervezetek támogatása</t>
  </si>
  <si>
    <t xml:space="preserve"> - dolgozói lakásépítés és -vásárlás támogatása</t>
  </si>
  <si>
    <t xml:space="preserve"> - adósságkonszolídáció során teljesített kifizetés</t>
  </si>
  <si>
    <t>Pénzügyi lebonyolítás működési kiadásai  összesen:</t>
  </si>
  <si>
    <t xml:space="preserve"> - Andráshidán Szentivánéji rendezvények támogatása</t>
  </si>
  <si>
    <t>841908 Fejezeti és általános tartalékok elszámolása</t>
  </si>
  <si>
    <t xml:space="preserve">Céltartalék </t>
  </si>
  <si>
    <t>Év közben jelentkező feladatok</t>
  </si>
  <si>
    <t>Ügyrendi, Jogi és Vagyonnyilatkozatot  Ellenőrző Bizottság átruházott hatáskörben felosztható keret</t>
  </si>
  <si>
    <t>Támogatott lakások elkülönített lakbérbev.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</si>
  <si>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</si>
  <si>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</si>
  <si>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</si>
  <si>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</si>
  <si>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</si>
  <si>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</si>
  <si>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Balesetveszélyes tereplépcsők, járdák, volt Skála melletti lépcső  felújítása</t>
  </si>
  <si>
    <t>Balesetveszélyes tereplépcsők, járdák  felújítása</t>
  </si>
  <si>
    <t>6./21</t>
  </si>
  <si>
    <t>LÉSZ Kft. telephely útcsatlakozás és szervízút építés</t>
  </si>
  <si>
    <t xml:space="preserve">      Bölcsödei ellátás fogyatékos gyermek</t>
  </si>
  <si>
    <t>Köztársaság útja - Czobor M. u. csomópont (Szentcsalád Óvoda) korrekció és gyalogos átkelőhely létesítése</t>
  </si>
  <si>
    <t>Szociális városrehabilitáció Zalaegerszegen (NYDOP-3.1.1/B2-12-k1-2013-0001)</t>
  </si>
  <si>
    <t>Zalaegerszeg 2020-Integrált településfejlesztési stratégia megvalósítása (NYDOP-3.1.1/F-13-2013-0001)</t>
  </si>
  <si>
    <t>Természettudományos oktatás eszközrendszerének és módszertanának fejlesztése a Kölcsey Ferenc Gimnáziumban (TÁMOP 3.1.3.-11/2-2012-0023 )</t>
  </si>
  <si>
    <t>2012</t>
  </si>
  <si>
    <t>Egymásra hangolva (TÁMOP-5.4.9-11/1-2012-0043)</t>
  </si>
  <si>
    <t>Önkormányzat által irányított költségvetési szervek:</t>
  </si>
  <si>
    <t>2011</t>
  </si>
  <si>
    <t>19.</t>
  </si>
  <si>
    <t>20.</t>
  </si>
  <si>
    <t>21.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</si>
  <si>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</si>
  <si>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</si>
  <si>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</si>
  <si>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</si>
  <si>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</si>
  <si>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</si>
  <si>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>23.</t>
  </si>
  <si>
    <t>24.</t>
  </si>
  <si>
    <t>2014. évi kötelezettség</t>
  </si>
  <si>
    <t xml:space="preserve"> - közterületi reklám bevétel</t>
  </si>
  <si>
    <t xml:space="preserve"> - közterületi reklám </t>
  </si>
  <si>
    <t xml:space="preserve">2014. évben várható támogatás, kedvezmény összege             </t>
  </si>
  <si>
    <t>Városfejlesztő Zrt.</t>
  </si>
  <si>
    <t>Vis maior pályázat árvízvédelem és partfalomlás helyreállítás</t>
  </si>
  <si>
    <t>Lukahegyi horhos burkolatemelés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</si>
  <si>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</si>
  <si>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</si>
  <si>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</si>
  <si>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</si>
  <si>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</si>
  <si>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</si>
  <si>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</si>
  <si>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</si>
  <si>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</si>
  <si>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</si>
  <si>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</si>
  <si>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</si>
  <si>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</si>
  <si>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</si>
  <si>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</si>
  <si>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</si>
  <si>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</si>
  <si>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</si>
  <si>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</si>
  <si>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Gasparich út 11.-13. – út és parkolófelújítás</t>
  </si>
  <si>
    <t>Olajmunkás utca 4. szám mögött parkolóépítés</t>
  </si>
  <si>
    <t>Babits utca 2. szám előtti útszakasz burkolatfelújítás</t>
  </si>
  <si>
    <t xml:space="preserve">Zárda u. - Orsolya tér útfelújítás                         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</si>
  <si>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</si>
  <si>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</si>
  <si>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</si>
  <si>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</si>
  <si>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</si>
  <si>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4./42</t>
  </si>
  <si>
    <t>4./43</t>
  </si>
  <si>
    <t>4./44</t>
  </si>
  <si>
    <t>4./45</t>
  </si>
  <si>
    <t>4./46</t>
  </si>
  <si>
    <t>Alsóerdei u. balesetveszélyes fahíd felújítása</t>
  </si>
  <si>
    <t>Tüttőssy utca 6. szám előtti (Európa tér) járda felújítása</t>
  </si>
  <si>
    <t>Ady utca járda - Strand előtti szakasz felújítása</t>
  </si>
  <si>
    <t>Neszelében a Gébárti utcai járda felújítása</t>
  </si>
  <si>
    <t>Ságodi u. járdaburkolat felújítás</t>
  </si>
  <si>
    <t>Kaszaházi u. Thifim közötti járdaszakasz felújítás</t>
  </si>
  <si>
    <t>Ola utca járda felújítás és zöldfelület rendezés</t>
  </si>
  <si>
    <t>Járdafelújítások Zalabesenyőben</t>
  </si>
  <si>
    <t>Juhász Gy. u. útszűkület, vasúti átjáró burkolat javítás</t>
  </si>
  <si>
    <t>Felújítások</t>
  </si>
  <si>
    <t>Beruházások</t>
  </si>
  <si>
    <t xml:space="preserve"> - utánpótlás nevelés és támogatása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</si>
  <si>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</si>
  <si>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</si>
  <si>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</si>
  <si>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</si>
  <si>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</si>
  <si>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</si>
  <si>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</si>
  <si>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</si>
  <si>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</si>
  <si>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</si>
  <si>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</si>
  <si>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</si>
  <si>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</si>
  <si>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2015. évi                              eFt-ban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</si>
  <si>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</si>
  <si>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</si>
  <si>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</si>
  <si>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</si>
  <si>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</si>
  <si>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Vízelvezetési problémák megoldása Botfán</t>
  </si>
  <si>
    <t>Vízelvezetési problémák megoldása Zalabesenyőben</t>
  </si>
  <si>
    <t>Magánerős ivóvíz bekötések</t>
  </si>
  <si>
    <t>Köztársaság út 92.-102. sz t.ház K.-i oldalán lévő terület vízelvezetése</t>
  </si>
  <si>
    <t>Magánerős szennyvízcsatorna bekötések</t>
  </si>
  <si>
    <t>Humánigazgatási  feladatok összesen:</t>
  </si>
  <si>
    <t>Játszótér és park kialakítása Hatházán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</si>
  <si>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</si>
  <si>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</si>
  <si>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</si>
  <si>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</si>
  <si>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</si>
  <si>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</si>
  <si>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</si>
  <si>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3.a/2</t>
  </si>
  <si>
    <t>3./5</t>
  </si>
  <si>
    <t>3./6</t>
  </si>
  <si>
    <t>Zsinagóga önálló fűtési rendszer kialakítása</t>
  </si>
  <si>
    <t>Hevesi Sándor Színház tűzjelző rendszer</t>
  </si>
  <si>
    <t>Városi Sportcentrum atlétikai pálya kivilágítása</t>
  </si>
  <si>
    <t>103010, 104051, 107060 kormányzati funkciók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</si>
  <si>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</si>
  <si>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</si>
  <si>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</si>
  <si>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Göcseji úti köztemető közkútjának szennyvízhálózatra való rácsatlakozása</t>
  </si>
  <si>
    <t>Temetői fejlesztések</t>
  </si>
  <si>
    <t>Bazitai u. 80. sz. előtti terület csapadékvízelvezetése</t>
  </si>
  <si>
    <t>Vízelvezetési problémák megoldása Páterdombon</t>
  </si>
  <si>
    <t>Köztársaság u. 76-82. mögötti belső tér (Bóbita alatt) csapadékvízelvezetés megoldása, aszfaltozás</t>
  </si>
  <si>
    <t>Szent-István u. csapadékvízelvezetése</t>
  </si>
  <si>
    <t>Önkormányzati tulajdonú ingatlanok szennyvízbekötései</t>
  </si>
  <si>
    <t>1./6</t>
  </si>
  <si>
    <t>1./7</t>
  </si>
  <si>
    <t>1./8</t>
  </si>
  <si>
    <t>1./9</t>
  </si>
  <si>
    <t>Szenterzsébethegyi Közösségi tér fejlesztése</t>
  </si>
  <si>
    <t>Vorhotai közösségi tér fejlesztése</t>
  </si>
  <si>
    <t>Gébárti tó Ny-i oldal parkosítása</t>
  </si>
  <si>
    <t>Szenterzsébethegy virágosítási munkák</t>
  </si>
  <si>
    <t>Pózva játszótér fejlesztése</t>
  </si>
  <si>
    <t>Ságodi játszótér fejlesztése</t>
  </si>
  <si>
    <t>Idősek Otthona mögötti tömbbelső parkoló-zöldsáv megújítás</t>
  </si>
  <si>
    <t>Játszóterek, zöldfelületek fejlesztése Páterdombon</t>
  </si>
  <si>
    <t>Botfai sporpályához padok telepítése</t>
  </si>
  <si>
    <t>József Attila Játszótér felújítása (növényzettel, játszóeszközökkel és térbútorokkal)</t>
  </si>
  <si>
    <t>Landorhegyi köztéri padok beszerzése</t>
  </si>
  <si>
    <t>Kamatmentes kölcsön az ideiglenesen nehéz helyzetbe került zeg-i polgárok számára (Lakásalapból)</t>
  </si>
  <si>
    <t>Szociális és igazgatási feladatok össszesen:</t>
  </si>
  <si>
    <t>Városrehabilitációra, valamint lakóövezetbe sorolt építési telek kialakítása, lakásvásárlás Lakásalapból</t>
  </si>
  <si>
    <t>Elővásárlási jog gyakorlásával történő lakóingatlan vásárlása (Lakásalap)</t>
  </si>
  <si>
    <t>1.a./4</t>
  </si>
  <si>
    <t>1.a./5</t>
  </si>
  <si>
    <t xml:space="preserve"> -Keresztury Dezső emlékév rendezvényei</t>
  </si>
  <si>
    <t>KEOP vízvezeték építéshez pályázatban nem támogatott munkák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</si>
  <si>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</si>
  <si>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</si>
  <si>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</si>
  <si>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</si>
  <si>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</si>
  <si>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</si>
  <si>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</si>
  <si>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</si>
  <si>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</si>
  <si>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</si>
  <si>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</si>
  <si>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</si>
  <si>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</si>
  <si>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</si>
  <si>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</si>
  <si>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központosított előirányzatok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</si>
  <si>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</si>
  <si>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</si>
  <si>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</si>
  <si>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</si>
  <si>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</si>
  <si>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</si>
  <si>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</si>
  <si>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</si>
  <si>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</si>
  <si>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</si>
  <si>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</si>
  <si>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</si>
  <si>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>Értékesítési és forgalmi adók ( helyi iparűzési adó)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</si>
  <si>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</si>
  <si>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</si>
  <si>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</si>
  <si>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</si>
  <si>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</si>
  <si>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</si>
  <si>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</si>
  <si>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</si>
  <si>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</si>
  <si>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</si>
  <si>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</si>
  <si>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</si>
  <si>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</si>
  <si>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</si>
  <si>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</si>
  <si>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</si>
  <si>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</si>
  <si>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</si>
  <si>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</si>
  <si>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</si>
  <si>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</si>
  <si>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</si>
  <si>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</si>
  <si>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</si>
  <si>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</si>
  <si>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</si>
  <si>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</si>
  <si>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</si>
  <si>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</si>
  <si>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</si>
  <si>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</si>
  <si>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</si>
  <si>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</si>
  <si>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</si>
  <si>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</si>
  <si>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</si>
  <si>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</si>
  <si>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</si>
  <si>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</si>
  <si>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</si>
  <si>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</si>
  <si>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</si>
  <si>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</si>
  <si>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</si>
  <si>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</si>
  <si>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</si>
  <si>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Városi Középiskolai Kollégium Kaffka Margit Tagkollégium udvari pavilon építés és udvarrendezés</t>
  </si>
  <si>
    <t>Csillagközi óvoda udvar parkosítás, füvesítés</t>
  </si>
  <si>
    <t>Nemzetőr u. vége (Cinke park alatti) rendezetlen tér parkosítása</t>
  </si>
  <si>
    <t>Kis utcai óvoda kazánház ablakcsere</t>
  </si>
  <si>
    <t>Kodály úti tagóvodában vizesblokk felújítás</t>
  </si>
  <si>
    <t>4./7</t>
  </si>
  <si>
    <t>4./8</t>
  </si>
  <si>
    <t>4./9</t>
  </si>
  <si>
    <t>4./10</t>
  </si>
  <si>
    <t>4./11</t>
  </si>
  <si>
    <t>4./12</t>
  </si>
  <si>
    <t>4./13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</si>
  <si>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</si>
  <si>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</si>
  <si>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</si>
  <si>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</si>
  <si>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</si>
  <si>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</si>
  <si>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</si>
  <si>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</si>
  <si>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</si>
  <si>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</si>
  <si>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</si>
  <si>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</si>
  <si>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9./2</t>
  </si>
  <si>
    <t>9./3</t>
  </si>
  <si>
    <t>Fejlesztési kiadás</t>
  </si>
  <si>
    <t>Egyéb feladatok</t>
  </si>
  <si>
    <t>9./4</t>
  </si>
  <si>
    <t>A *-gal jelzett felújítási feladatok megvalósításához hitel felvétel szükséges</t>
  </si>
  <si>
    <t>Városépítészeti  feladatok</t>
  </si>
  <si>
    <t>6./4</t>
  </si>
  <si>
    <t xml:space="preserve"> - fa értékesítés bevétele</t>
  </si>
  <si>
    <t xml:space="preserve">Bazitai templom felújítása </t>
  </si>
  <si>
    <t>Landorhegyi Idősek Klubja tetőcsere</t>
  </si>
  <si>
    <t>Orvosi rendelők felújítása</t>
  </si>
  <si>
    <t>Bölcsődék felújítása</t>
  </si>
  <si>
    <t>Űrhajós úti óvoda udvari létesítmények és belső vizesblokk felújítás</t>
  </si>
  <si>
    <t>Béke ligeti Iskola felújítás</t>
  </si>
  <si>
    <t>Kölcsey Gimnázium TÁMOP pályázatához nem támogatott munkarész költsége (labor lapostető szigetelés munkái)</t>
  </si>
  <si>
    <t>Zalaegerszegi VMK DK-i szárny belső átalakítása (Családsegítő Szolgálat és Gyermekjóléti Központ)</t>
  </si>
  <si>
    <t>Landorhegyi u. 8. szám alatti gyermekorvosi rendelők felújítása</t>
  </si>
  <si>
    <t>Landorhegyi u. 20. mögötti parkoló felújítása</t>
  </si>
  <si>
    <t>Hegyalja u. 11. mögötti terület parkoló bővítés, parkosítás</t>
  </si>
  <si>
    <t>Hegyalja u. 11-13. parkoló burkolatfelújítás, Hegyalja  u. 9-11. között betonlapos gyalogjárda felújítás</t>
  </si>
  <si>
    <t>Izsák I. Általános Iskola eszközfejlesztés</t>
  </si>
  <si>
    <t>Gébárti kézművesház tűzivízellátása</t>
  </si>
  <si>
    <t>Labdarúgó Stadionban fejlesztési munkák</t>
  </si>
  <si>
    <t xml:space="preserve"> - Óvadékok és garanciális visszatartások elszámolása</t>
  </si>
  <si>
    <t>Elmaradt bevételek pótlására</t>
  </si>
  <si>
    <t xml:space="preserve"> -Ivóvízminőség javítása KEOP pályázathoz önrész (KEOP-7.1.3.0/09-201-0017 )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</si>
  <si>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</si>
  <si>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</si>
  <si>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</si>
  <si>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</si>
  <si>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</si>
  <si>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</si>
  <si>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</si>
  <si>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</si>
  <si>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</si>
  <si>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</si>
  <si>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</si>
  <si>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</si>
  <si>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</si>
  <si>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041140 Területfejlesztés igazgatása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</si>
  <si>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</si>
  <si>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</si>
  <si>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</si>
  <si>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</si>
  <si>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</si>
  <si>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</si>
  <si>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105020 Foglalkoztatást előlsegítő képz. és egyéb támog.</t>
  </si>
  <si>
    <t>900070 Fejezeti és általános tartalékok elszámolása</t>
  </si>
  <si>
    <t>Zalaegerszegi Gazdasági Ellátó Szervezet</t>
  </si>
  <si>
    <t>Ebergényben sportpálya és pihenőpark kialakítása</t>
  </si>
  <si>
    <t>6.1.a/2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</si>
  <si>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</si>
  <si>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</si>
  <si>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</si>
  <si>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</si>
  <si>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</si>
  <si>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</si>
  <si>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</si>
  <si>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</si>
  <si>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</si>
  <si>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</si>
  <si>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</si>
  <si>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</si>
  <si>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032020 Tűz- és katasztrófavéd. Tevékenység</t>
  </si>
  <si>
    <t>098010 Oktatás igazgatása</t>
  </si>
  <si>
    <t>013350 Az önkorm. vagyonnal való gazd. kapcs. Feladatok</t>
  </si>
  <si>
    <t>084070 A fiatalok társ. integrációját seg. struktúra, szakmai szolgált. fejlesztése, működtetése</t>
  </si>
  <si>
    <t>074052 Kábítószer megelőzés programja</t>
  </si>
  <si>
    <t>082091 Közművelődés - közösségi és társ. részvétel fejleszt.</t>
  </si>
  <si>
    <t>082030 Művészeti tevékenység</t>
  </si>
  <si>
    <t>074040 Fertőző megbetegedések megelőzése, járványügyi ellát.</t>
  </si>
  <si>
    <t>109010 Szociális szolgáltatás igazgatása</t>
  </si>
  <si>
    <t>045120 Út, autópálya építése</t>
  </si>
  <si>
    <t>045170 Parkoló, garázs üzemeltetése, fenntartása</t>
  </si>
  <si>
    <t>106010 Lakóing. szoc. célú bérbeadása, üzemeltetése</t>
  </si>
  <si>
    <t>013350 Önk-i vagyonnal való gazdálkodáshoz kapcs.fa.</t>
  </si>
  <si>
    <t>031060 Bűnmegelőzés</t>
  </si>
  <si>
    <t>011320 Nemzetközi szervezetekben való részvétel</t>
  </si>
  <si>
    <t>Építési telek kialakítása, közművesítése (Flórián u. , Andráshida ) Lakásalap</t>
  </si>
  <si>
    <t>Szociális rászorultság alapján és egyéb biztosítandó támogatások  a költségvetési szerveknél</t>
  </si>
  <si>
    <t xml:space="preserve"> - Gébárti Szabadidőközpont fejlesztésével kapcsolatos működési kiadások</t>
  </si>
  <si>
    <t xml:space="preserve"> - adósságkezelés lakásfenntartási támogatás</t>
  </si>
  <si>
    <t>2014. évi adósságszolg.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</si>
  <si>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</si>
  <si>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</si>
  <si>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</si>
  <si>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</si>
  <si>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</si>
  <si>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</si>
  <si>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>Polgármesteri Iroda</t>
  </si>
  <si>
    <t xml:space="preserve"> - Egerszeg kártya értékesítés</t>
  </si>
  <si>
    <t>Polgármesteri Iroda összesen:</t>
  </si>
  <si>
    <t>Hitelkeret</t>
  </si>
  <si>
    <t>2028.</t>
  </si>
  <si>
    <t>2029.</t>
  </si>
  <si>
    <t>2034.</t>
  </si>
  <si>
    <t xml:space="preserve">MŰKÖDÉSI CÉLÚ BEVÉTELEK ÖSSZ:                      </t>
  </si>
  <si>
    <t>Polgármesteri Iroda kiadásai</t>
  </si>
  <si>
    <t xml:space="preserve"> - Gébárti fürdő lét. üzemelt. (Termál és Tóstrand)</t>
  </si>
  <si>
    <t>890509 Egyéb m.n.s. közösségi, társadalmi tevékenységek támogatása</t>
  </si>
  <si>
    <t xml:space="preserve"> - Egészséges Városok Mozgalom</t>
  </si>
  <si>
    <t xml:space="preserve"> - Idősek Otthona lízingdíj kamata</t>
  </si>
  <si>
    <t xml:space="preserve"> - ügyeleti ellátás támogatása</t>
  </si>
  <si>
    <t>9./5</t>
  </si>
  <si>
    <t xml:space="preserve"> - saját fenntartású, illetve működtetésű intézmények karbantartása</t>
  </si>
  <si>
    <t xml:space="preserve"> - Zalaegerszegi Városi Diákönkormányzat </t>
  </si>
  <si>
    <t xml:space="preserve"> - II. Zalaegerszegi Városi Diáknapok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</si>
  <si>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</si>
  <si>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</si>
  <si>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</si>
  <si>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</si>
  <si>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</si>
  <si>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</si>
  <si>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</si>
  <si>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vízgazdálkodási társulati érdekeltségi hozzájárulás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</si>
  <si>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</si>
  <si>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</si>
  <si>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</si>
  <si>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</si>
  <si>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</si>
  <si>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</si>
  <si>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</si>
  <si>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</si>
  <si>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</si>
  <si>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</si>
  <si>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</si>
  <si>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</si>
  <si>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</si>
  <si>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</si>
  <si>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</si>
  <si>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</si>
  <si>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</si>
  <si>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</si>
  <si>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</si>
  <si>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</si>
  <si>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</si>
  <si>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</si>
  <si>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</si>
  <si>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5./2</t>
  </si>
  <si>
    <t>5./3</t>
  </si>
  <si>
    <t>5./4</t>
  </si>
  <si>
    <t>4.a./1</t>
  </si>
  <si>
    <t>4.a./2</t>
  </si>
  <si>
    <t>4.a./3</t>
  </si>
  <si>
    <t>5.a./1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</si>
  <si>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</si>
  <si>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</si>
  <si>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</si>
  <si>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</si>
  <si>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</si>
  <si>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</si>
  <si>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Kvártélyház Kft. részére támogatás eszközfejlesztési pályázat önrészéhez</t>
  </si>
  <si>
    <t>Parkok, terek, játszóterek</t>
  </si>
  <si>
    <t>Stratégiai tervezés, fejlesztés és területszerzés</t>
  </si>
  <si>
    <t>Mindösszesen:</t>
  </si>
  <si>
    <t>Megnevezés</t>
  </si>
  <si>
    <t>Jogi Igazgatási feladatok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</si>
  <si>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</si>
  <si>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</si>
  <si>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</si>
  <si>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</si>
  <si>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</si>
  <si>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</si>
  <si>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"M9" Térségi Fejlesztési Tanács műk.költségei</t>
  </si>
  <si>
    <t xml:space="preserve"> - rendszeres gyermekvédelmi segély</t>
  </si>
  <si>
    <t xml:space="preserve"> - méltányossági közgyógyellátás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</si>
  <si>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</si>
  <si>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</si>
  <si>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</si>
  <si>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</si>
  <si>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</si>
  <si>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</si>
  <si>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</si>
  <si>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</si>
  <si>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</si>
  <si>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</si>
  <si>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</si>
  <si>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</si>
  <si>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</si>
  <si>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</si>
  <si>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</si>
  <si>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</si>
  <si>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</si>
  <si>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</si>
  <si>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</si>
  <si>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</si>
  <si>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</si>
  <si>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</si>
  <si>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</si>
  <si>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</si>
  <si>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</si>
  <si>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</si>
  <si>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</si>
  <si>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</si>
  <si>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</si>
  <si>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</si>
  <si>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</si>
  <si>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Kosztolányi tér járda felújítás és zöldfelület rendezés:</t>
  </si>
  <si>
    <t>Madách u. – Landorhegyi u. 37. – 51. sz. társasházakat összekötő lépcső felújítása</t>
  </si>
  <si>
    <t>Bazita u. járdaburkolat felújítás</t>
  </si>
  <si>
    <t>Ebergényi járdák</t>
  </si>
  <si>
    <t>Szent László utca és környéke járdafelújítások</t>
  </si>
  <si>
    <t>Bozsoki úti járda felújítás II. ütem</t>
  </si>
  <si>
    <t>Stadion u. járdaburkolat felújítás</t>
  </si>
  <si>
    <t>4./47</t>
  </si>
  <si>
    <t>4./48</t>
  </si>
  <si>
    <t>4./49</t>
  </si>
  <si>
    <t xml:space="preserve"> - ZALA-DEPO Kft.által fizetett haszn. díj </t>
  </si>
  <si>
    <t xml:space="preserve"> - OrganP integrált rendszer intézményi  bevezetése </t>
  </si>
  <si>
    <t xml:space="preserve"> - felszámolással és peres eljárással kapcsolatos fizetési kötelezettség</t>
  </si>
  <si>
    <t xml:space="preserve"> -"Egymásra hangolva"projekt  TÁMOP-5.4.9-11/1-2012-0043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</si>
  <si>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</si>
  <si>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</si>
  <si>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</si>
  <si>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 Önkormányzati segély</t>
  </si>
  <si>
    <t xml:space="preserve"> - adósságkezelési szolgáltatás</t>
  </si>
  <si>
    <t xml:space="preserve"> - köztemetés</t>
  </si>
  <si>
    <t>Adósság-konszoli-dáció során várható hitel átváll.</t>
  </si>
  <si>
    <t>Hitelek állomá-nya 2014.XII. 31-én</t>
  </si>
  <si>
    <t>2016. évi adósságszolg.</t>
  </si>
  <si>
    <t>Későbbi évek tőketör-lesztése</t>
  </si>
  <si>
    <t>Hitelek állománya  2013. XII. 31-én</t>
  </si>
  <si>
    <t>2014. é. és áthúz. felada-tok hitel igénybev.</t>
  </si>
  <si>
    <t xml:space="preserve"> - önk. által kezelt ing.közös ktg.közüz.díj</t>
  </si>
  <si>
    <t xml:space="preserve"> - pályázatok előkészítése, pályázati díjak</t>
  </si>
  <si>
    <t xml:space="preserve"> -  hosszútávú fejlesztési programok,külső szakértők díja</t>
  </si>
  <si>
    <t xml:space="preserve"> - Tervtanács működtetése</t>
  </si>
  <si>
    <t xml:space="preserve"> - mezőgazdasági utak felújításához pályázati pe.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</si>
  <si>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</si>
  <si>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</si>
  <si>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</si>
  <si>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Költségvetési szervek felújítási kerete (Vis maior)</t>
  </si>
  <si>
    <t>Önkormányzat összesen költségvetési szervek nélkül</t>
  </si>
  <si>
    <t xml:space="preserve"> - ünnepi díszkivilágítás szerelés</t>
  </si>
  <si>
    <t xml:space="preserve"> - Médiával kapcsolatos szerződések, támogatások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</si>
  <si>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</si>
  <si>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</si>
  <si>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</si>
  <si>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</si>
  <si>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</si>
  <si>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</si>
  <si>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</si>
  <si>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</si>
  <si>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</si>
  <si>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</si>
  <si>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</si>
  <si>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</si>
  <si>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</si>
  <si>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</si>
  <si>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</si>
  <si>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</si>
  <si>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</si>
  <si>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</si>
  <si>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</si>
  <si>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</si>
  <si>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</si>
  <si>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</si>
  <si>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</si>
  <si>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</si>
  <si>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</si>
  <si>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</si>
  <si>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</si>
  <si>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</si>
  <si>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</si>
  <si>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Zalaegerszeg, Iskola u. 1.</t>
  </si>
  <si>
    <t xml:space="preserve">  - Szivárvány tér 1-3.</t>
  </si>
  <si>
    <t xml:space="preserve">      Zalaegerszegi Tipegő Bölcsőde (csak villamos energia beszerzés)</t>
  </si>
  <si>
    <t xml:space="preserve">      Zalaegerszegi Napsugár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</si>
  <si>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</si>
  <si>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</si>
  <si>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</si>
  <si>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</si>
  <si>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</si>
  <si>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</si>
  <si>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</si>
  <si>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</si>
  <si>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</si>
  <si>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</si>
  <si>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</si>
  <si>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</si>
  <si>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</si>
  <si>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</si>
  <si>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>Zalaegerszegi Belvárosi II. sz. Óvoda  Radnóti utcai Székhelyóvoda (gáz és villamos energia)</t>
  </si>
  <si>
    <t>Zalaegerszegi Belvárosi II. sz. Óvoda  Petőfi utcai Tagóvodája (gáz és villamos energia)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</si>
  <si>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</si>
  <si>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</si>
  <si>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</si>
  <si>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Zalaegerszegi Kertvárosi Óvoda Csillag közi  Székhelyóvoda (csak villamos energia)</t>
  </si>
  <si>
    <t>Zalaegerszegi Kertvárosi Óvoda  Napsugár utcai Tagóvodája (csak villamos energia)</t>
  </si>
  <si>
    <t>Zalaegerszegi Kertvárosi Óvoda  Andráshidai Tagóvodája (csak villamos energia)</t>
  </si>
  <si>
    <t>Zalaegerszegi Landorhegyi Óvoda  Űrhajós utcai Székhelyóvoda (csak villamos energia)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</si>
  <si>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</si>
  <si>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</si>
  <si>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</si>
  <si>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</si>
  <si>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</si>
  <si>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</si>
  <si>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</si>
  <si>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</si>
  <si>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</si>
  <si>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</si>
  <si>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</si>
  <si>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</si>
  <si>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</si>
  <si>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</si>
  <si>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</si>
  <si>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</si>
  <si>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</si>
  <si>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</si>
  <si>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</si>
  <si>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</si>
  <si>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>2. Óvodaműködtetési támogatás</t>
  </si>
  <si>
    <t>III. Települési önkormányzatok szociális és gyermekjóléti feladatainak támogatása</t>
  </si>
  <si>
    <t>1000-25000</t>
  </si>
  <si>
    <t>3. Egyes szociális és gyermekjóléti feladatok támogatása</t>
  </si>
  <si>
    <t>6.) Egyéb finanszírozási kiadás</t>
  </si>
  <si>
    <t xml:space="preserve"> -  folyékony hulladék szállítás</t>
  </si>
  <si>
    <t xml:space="preserve"> - volt Kaffka Koll. őrzés-védelme</t>
  </si>
  <si>
    <t xml:space="preserve"> - Főépítészi keret</t>
  </si>
  <si>
    <t>4./2</t>
  </si>
  <si>
    <t>4./3</t>
  </si>
  <si>
    <t>4./4</t>
  </si>
  <si>
    <t>4./5</t>
  </si>
  <si>
    <t>4./6</t>
  </si>
  <si>
    <t>Göcseji úti köztemető hősi halottak sírjelének felújítása</t>
  </si>
  <si>
    <t>8.a/1</t>
  </si>
  <si>
    <t>Ilosvai u.-i csapadékvízelvezető műtárgyak felújítása</t>
  </si>
  <si>
    <t>Lakótelepek faállományának felújítása</t>
  </si>
  <si>
    <t>Labdarúgó Stadion fejlesztéséhez költségvetési támogatás</t>
  </si>
  <si>
    <t>Önkormányzati kezelésben lévő intézmények közműveinek felújítása</t>
  </si>
  <si>
    <t>Béke liget felújítása</t>
  </si>
  <si>
    <t>Pázmány P. u. Színház hátsó bejárati zöldsáv felújítás</t>
  </si>
  <si>
    <t>Berzsenyi-Stadion utcai tömbbelsőben és környékén járda felújítás és zöldfelület rendezés</t>
  </si>
  <si>
    <t>Kinizsi u. fák cseréje, karbantartása</t>
  </si>
  <si>
    <t>Belvárosi zöldterület felújítás</t>
  </si>
  <si>
    <t>Botfai temető kerítésének javítása</t>
  </si>
  <si>
    <t>8./5</t>
  </si>
  <si>
    <t>Landorhegyi járdák, parkok felújítása</t>
  </si>
  <si>
    <t>Bazitai kilátó környékének rendbetétele</t>
  </si>
  <si>
    <t>Liszt Ferenc Tagiskola udvarának felújítása</t>
  </si>
  <si>
    <t>Önkormányzati erdő ápolási, felújítási munkálatainak elvégzése</t>
  </si>
  <si>
    <t>Botfa közösségi ház festése, ajtók cseréje</t>
  </si>
  <si>
    <t xml:space="preserve">Pózvai Közösségi Ház (a harangláb melletti) tetőfelújítása </t>
  </si>
  <si>
    <t xml:space="preserve"> - kiegészítő támogatás az önkormányzat kötelező feladatainak ellátásához</t>
  </si>
  <si>
    <t xml:space="preserve"> - Idősügyi Tanács működtetése</t>
  </si>
  <si>
    <t xml:space="preserve"> - tavaszi és októberi fesztivál támogatása</t>
  </si>
  <si>
    <t>Felújítási kiadások:</t>
  </si>
  <si>
    <t>Fejlesztési kiadások:</t>
  </si>
  <si>
    <t>9.a/2</t>
  </si>
  <si>
    <t xml:space="preserve"> - ifjúsági rendezvények</t>
  </si>
  <si>
    <t xml:space="preserve"> - Tanfolyamok, képzések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</si>
  <si>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</si>
  <si>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</si>
  <si>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</si>
  <si>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Fejlesztési kiadások</t>
  </si>
  <si>
    <t>Felújítási kiadások</t>
  </si>
  <si>
    <t xml:space="preserve">Fejlesztési kiadások </t>
  </si>
  <si>
    <t>Szakosztályok</t>
  </si>
  <si>
    <t>Építéshatósági feladatok</t>
  </si>
  <si>
    <t>Céltartalék</t>
  </si>
  <si>
    <t>Céltartalék összesen: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</si>
  <si>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</si>
  <si>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</si>
  <si>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</si>
  <si>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</si>
  <si>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</si>
  <si>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</si>
  <si>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</si>
  <si>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</si>
  <si>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</si>
  <si>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</si>
  <si>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</si>
  <si>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</si>
  <si>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 xml:space="preserve"> - ár és belvízvédelmi feladatok</t>
  </si>
  <si>
    <t xml:space="preserve"> - Vízügyi hatóságokkal kapcs. Feladatok</t>
  </si>
  <si>
    <t xml:space="preserve"> - köztisztaság  szerződéses munkák</t>
  </si>
  <si>
    <t xml:space="preserve">                        - költségvetési szervek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</si>
  <si>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</si>
  <si>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</si>
  <si>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</si>
  <si>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</si>
  <si>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</si>
  <si>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</si>
  <si>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</si>
  <si>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</si>
  <si>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</si>
  <si>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tőke</t>
  </si>
  <si>
    <t>kamat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</si>
  <si>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</si>
  <si>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</si>
  <si>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</si>
  <si>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</si>
  <si>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</si>
  <si>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>Termálmedence csempeburkolat felújítás</t>
  </si>
  <si>
    <t xml:space="preserve"> Református Egyház részére orgona felújításhoz támogatás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</si>
  <si>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</si>
  <si>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</si>
  <si>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</si>
  <si>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</si>
  <si>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 xml:space="preserve">Útterületek rendezése, területvásárlás </t>
  </si>
  <si>
    <t>OTP</t>
  </si>
  <si>
    <t>CIB</t>
  </si>
  <si>
    <t>2021.</t>
  </si>
  <si>
    <t>2026.</t>
  </si>
  <si>
    <t>K&amp;H</t>
  </si>
  <si>
    <t>ERSTE Bank</t>
  </si>
  <si>
    <t>Unicredit Bank</t>
  </si>
  <si>
    <t>2027.</t>
  </si>
  <si>
    <t>Kamat és egyéb ktg.</t>
  </si>
  <si>
    <t>Önkormányzat összesen:</t>
  </si>
  <si>
    <t>I. Működési célú bevételek</t>
  </si>
  <si>
    <t>I. Működési célú kiadások</t>
  </si>
  <si>
    <t xml:space="preserve">Közvilágítás korszerűsítés Zalaegerszeg I. (KEOP-5.5.0/A/12-2013-0191) </t>
  </si>
  <si>
    <t xml:space="preserve">Közvilágítás korszerűsítés Zalaegerszeg II. (KEOP-5.5.0/A)/12-2013-0182 </t>
  </si>
  <si>
    <t xml:space="preserve"> - csapadékvízelvezető és árvízvédelmi létesítménnyek tisztítása-diagnosztika</t>
  </si>
  <si>
    <t>8./6</t>
  </si>
  <si>
    <t>Első világháborús történelmi emlékművek helyreállítása pályázati önrész</t>
  </si>
  <si>
    <t>6.b/15</t>
  </si>
  <si>
    <t>Botfa sportpálya fejlesztés területrendezés, kompenzáció</t>
  </si>
  <si>
    <t>Közvilágítás és egyéb közmű beruházások</t>
  </si>
  <si>
    <t>4.) Céltartalékból működésre</t>
  </si>
  <si>
    <t>MŰKÖDÉSI CÉLÚ KIADÁSOK ÖSSZ.:</t>
  </si>
  <si>
    <t>Jogi és közig. feladatok</t>
  </si>
  <si>
    <t>Kiadások összesen</t>
  </si>
  <si>
    <t xml:space="preserve"> - HPV védőoltás</t>
  </si>
  <si>
    <t xml:space="preserve"> - felsőoktatási ösztöndíj</t>
  </si>
  <si>
    <t xml:space="preserve"> - ZTE KK. Kft. támogatás és átvállalt hitel és kamata</t>
  </si>
  <si>
    <t xml:space="preserve"> - ZTE FC Rt. támog. </t>
  </si>
  <si>
    <t xml:space="preserve"> - eredményességi támogatás</t>
  </si>
  <si>
    <t>Önkormányzat</t>
  </si>
  <si>
    <t xml:space="preserve">Önkormányzat </t>
  </si>
  <si>
    <t>Költségvetési szervek</t>
  </si>
  <si>
    <t xml:space="preserve"> - képviselők és bizottsági tagok tiszteletdíja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</si>
  <si>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</si>
  <si>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</si>
  <si>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</si>
  <si>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</si>
  <si>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</si>
  <si>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</si>
  <si>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</si>
  <si>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 xml:space="preserve"> - központosított előirányzatok</t>
  </si>
  <si>
    <t>Munkaadókat terhelő járulékok és szociális hj. adó</t>
  </si>
  <si>
    <t xml:space="preserve">Dologi kiadások 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</si>
  <si>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</si>
  <si>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</si>
  <si>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</si>
  <si>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</si>
  <si>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</si>
  <si>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feladat jellege</t>
  </si>
  <si>
    <t>6./6</t>
  </si>
  <si>
    <t>6./7</t>
  </si>
  <si>
    <t>Aquapark  fejlesztés</t>
  </si>
  <si>
    <t>Cím    szám</t>
  </si>
  <si>
    <t>Orvos</t>
  </si>
  <si>
    <t>Vásárcsarnok</t>
  </si>
  <si>
    <t>Összes beruh. célú kiadás</t>
  </si>
  <si>
    <t>Dologi kiadások</t>
  </si>
  <si>
    <t>Városfejlesztési, Üzemeltetési és Tervezési Bizottság átruházott hatáskörében felosztható keret</t>
  </si>
  <si>
    <t>Út-járda, parkoló felújítások</t>
  </si>
  <si>
    <t xml:space="preserve"> - Hevesi Sándor Színház  és Griff Bábszínház állami támogatása</t>
  </si>
  <si>
    <t>Felhalmozási célú céltartalék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</si>
  <si>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</si>
  <si>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</si>
  <si>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</si>
  <si>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</si>
  <si>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Önkormányzat tulajdonában lévő lakóépületek (lakások)  teljes vagy részleges  felújítása, korszerűsítése  (Lakásalap)</t>
  </si>
  <si>
    <t>Zalabesenyő temető kápolna állagmegóvás (építészeti érték)</t>
  </si>
  <si>
    <t>9./6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</si>
  <si>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</si>
  <si>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</si>
  <si>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</si>
  <si>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</si>
  <si>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Nehézatlétikai pálya kialakítása Városi Sportcentrum területén </t>
  </si>
  <si>
    <t>Göcseji Múzeum részére  pe. átadás kiállítóterem fejlesztéséhez pályázati támogatással</t>
  </si>
  <si>
    <t>Zala utcai árvízkapu építése</t>
  </si>
  <si>
    <t>Pintér M. u. nyugati oldal Lörincz b. u. és Püspöki G. u. közötti szakaszának csapadékvízelvezetése</t>
  </si>
  <si>
    <t>Működési bevételek</t>
  </si>
  <si>
    <t>Felhalmozási bevételek</t>
  </si>
  <si>
    <t>Működési célú átvett pénzeszközök</t>
  </si>
  <si>
    <t>Felhalmozási célú átvett pénzeszközök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</si>
  <si>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</si>
  <si>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</si>
  <si>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</si>
  <si>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</si>
  <si>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</si>
  <si>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</si>
  <si>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</si>
  <si>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</si>
  <si>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</si>
  <si>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</si>
  <si>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</si>
  <si>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</si>
  <si>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</si>
  <si>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</si>
  <si>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</si>
  <si>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</si>
  <si>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</si>
  <si>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</si>
  <si>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Állami ingatlanok tulajdonszerzésével kapcs. kiadások </t>
  </si>
  <si>
    <t>Út-járda parkoló</t>
  </si>
  <si>
    <t xml:space="preserve"> l) Gyermekek átmeneti intézményei ( helyettes szülői ellátás)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</si>
  <si>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</si>
  <si>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</si>
  <si>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</si>
  <si>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>Komplex belváros rehabilitációs program Zalaegerszegen (NYDOP-3.1.1/B1-13-k-2013-0005)</t>
  </si>
  <si>
    <t>25.</t>
  </si>
  <si>
    <t>26.</t>
  </si>
  <si>
    <r>
      <t xml:space="preserve">Göcseji Múzeum: </t>
    </r>
    <r>
      <rPr>
        <sz val="10"/>
        <rFont val="Times New Roman"/>
        <family val="1"/>
      </rPr>
      <t>Továbbképzés (TÁMOP-009)</t>
    </r>
  </si>
  <si>
    <r>
      <t xml:space="preserve">Göcseji Múzeum: </t>
    </r>
    <r>
      <rPr>
        <sz val="10"/>
        <rFont val="Times New Roman"/>
        <family val="1"/>
      </rPr>
      <t>Dolgozva tanulni (TÁMOP-38)</t>
    </r>
  </si>
  <si>
    <r>
      <t xml:space="preserve">Göcseji Múzeum: </t>
    </r>
    <r>
      <rPr>
        <sz val="10"/>
        <rFont val="Times New Roman"/>
        <family val="1"/>
      </rPr>
      <t>Szerethető Múzeum (TÁMOP-140)</t>
    </r>
  </si>
  <si>
    <r>
      <t xml:space="preserve">Göcseji Múzeum: </t>
    </r>
    <r>
      <rPr>
        <sz val="10"/>
        <rFont val="Times New Roman"/>
        <family val="1"/>
      </rPr>
      <t>Gyűjtemények közös térben (TIOP-53)</t>
    </r>
  </si>
  <si>
    <t>Önkormányzat hozzájárulása európai uniós projektek megvalósulásához:</t>
  </si>
  <si>
    <t>----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</si>
  <si>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</si>
  <si>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</si>
  <si>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</si>
  <si>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</si>
  <si>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</si>
  <si>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</si>
  <si>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- tagsági díjak</t>
  </si>
  <si>
    <t xml:space="preserve"> - Holokauszt 70. évforduló</t>
  </si>
  <si>
    <t xml:space="preserve">  - Nyugat-Pannon Járműipari és Mechanikai Szolgáltató Kp. működési hozzájárulás</t>
  </si>
  <si>
    <t xml:space="preserve"> - peremterületről bejáró tanulók bérlettámogatása</t>
  </si>
  <si>
    <t xml:space="preserve"> - FIKOT (fiatal klözgazdászok) rendezvénye</t>
  </si>
  <si>
    <t xml:space="preserve"> - Zalaegerszegi Ifjúsági Kerekasztal</t>
  </si>
  <si>
    <t xml:space="preserve"> - Zalaegerszegi Kábítószerügyi Egyeztető Fórum</t>
  </si>
  <si>
    <t xml:space="preserve"> -VII. Fazekas-keramikus találkozó</t>
  </si>
  <si>
    <t xml:space="preserve"> - hatósági ügyintézés</t>
  </si>
  <si>
    <t xml:space="preserve"> - Keresztury Emlékbizottság</t>
  </si>
  <si>
    <t xml:space="preserve"> - Kamaratánc fesztivál</t>
  </si>
  <si>
    <t xml:space="preserve"> - Kerámia Városok Szövetségénak III. Országos Konferenciája</t>
  </si>
  <si>
    <t xml:space="preserve">         2014. évi közösségi, művészeti pályázatok</t>
  </si>
  <si>
    <t xml:space="preserve"> - fogászati alapellátás 2014. évi önkormányzati támogatása</t>
  </si>
  <si>
    <t xml:space="preserve"> - Zöldterületi Startégia feladatai</t>
  </si>
  <si>
    <t>4./40</t>
  </si>
  <si>
    <t>Belvárosi zöldfelület és játszótér felújítások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</si>
</sst>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8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10"/>
      <name val="Arial"/>
      <family val="0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0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Arial"/>
      <family val="0"/>
    </font>
    <font>
      <i/>
      <sz val="9"/>
      <name val="Times New Roman CE"/>
      <family val="1"/>
    </font>
    <font>
      <sz val="10"/>
      <color indexed="10"/>
      <name val="MS Sans Serif"/>
      <family val="2"/>
    </font>
    <font>
      <b/>
      <i/>
      <sz val="10"/>
      <name val="Arial"/>
      <family val="2"/>
    </font>
    <font>
      <i/>
      <sz val="7"/>
      <name val="Times New Roman"/>
      <family val="1"/>
    </font>
    <font>
      <i/>
      <sz val="7"/>
      <name val="Arial"/>
      <family val="0"/>
    </font>
    <font>
      <b/>
      <sz val="10"/>
      <name val="Arial"/>
      <family val="0"/>
    </font>
    <font>
      <sz val="9"/>
      <color indexed="17"/>
      <name val="Times New Roman"/>
      <family val="1"/>
    </font>
    <font>
      <sz val="8"/>
      <name val="Times New Roman CE"/>
      <family val="0"/>
    </font>
    <font>
      <b/>
      <i/>
      <sz val="10"/>
      <name val="MS Sans Serif"/>
      <family val="0"/>
    </font>
    <font>
      <i/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29" fillId="7" borderId="1" applyNumberFormat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6" fillId="7" borderId="1" applyNumberFormat="0" applyAlignment="0" applyProtection="0"/>
    <xf numFmtId="0" fontId="19" fillId="22" borderId="7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7" fillId="4" borderId="0" applyNumberFormat="0" applyBorder="0" applyAlignment="0" applyProtection="0"/>
    <xf numFmtId="0" fontId="38" fillId="20" borderId="8" applyNumberFormat="0" applyAlignment="0" applyProtection="0"/>
    <xf numFmtId="0" fontId="5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22" borderId="7" applyNumberFormat="0" applyFont="0" applyAlignment="0" applyProtection="0"/>
    <xf numFmtId="0" fontId="59" fillId="20" borderId="8" applyNumberFormat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0">
    <xf numFmtId="0" fontId="0" fillId="0" borderId="0" xfId="0" applyAlignment="1">
      <alignment/>
    </xf>
    <xf numFmtId="0" fontId="8" fillId="0" borderId="10" xfId="122" applyFont="1" applyBorder="1" applyAlignment="1">
      <alignment horizontal="center" vertical="center"/>
      <protection/>
    </xf>
    <xf numFmtId="0" fontId="8" fillId="4" borderId="10" xfId="122" applyFont="1" applyFill="1" applyBorder="1" applyAlignment="1">
      <alignment horizontal="center" vertical="center"/>
      <protection/>
    </xf>
    <xf numFmtId="0" fontId="8" fillId="0" borderId="10" xfId="122" applyFont="1" applyBorder="1" applyAlignment="1">
      <alignment vertical="center"/>
      <protection/>
    </xf>
    <xf numFmtId="0" fontId="9" fillId="4" borderId="10" xfId="122" applyFont="1" applyFill="1" applyBorder="1" applyAlignment="1">
      <alignment vertical="center"/>
      <protection/>
    </xf>
    <xf numFmtId="0" fontId="8" fillId="0" borderId="10" xfId="122" applyFont="1" applyBorder="1" applyAlignment="1">
      <alignment vertical="center" wrapText="1"/>
      <protection/>
    </xf>
    <xf numFmtId="0" fontId="9" fillId="4" borderId="11" xfId="122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0" xfId="129" applyNumberFormat="1" applyFont="1" applyFill="1" applyBorder="1" applyAlignment="1">
      <alignment horizontal="center" vertical="center" wrapText="1"/>
      <protection/>
    </xf>
    <xf numFmtId="3" fontId="12" fillId="0" borderId="10" xfId="129" applyNumberFormat="1" applyFont="1" applyFill="1" applyBorder="1" applyAlignment="1">
      <alignment horizontal="center" vertical="center" wrapText="1"/>
      <protection/>
    </xf>
    <xf numFmtId="3" fontId="13" fillId="0" borderId="10" xfId="129" applyNumberFormat="1" applyFont="1" applyFill="1" applyBorder="1" applyAlignment="1">
      <alignment horizontal="center" vertical="center"/>
      <protection/>
    </xf>
    <xf numFmtId="3" fontId="13" fillId="0" borderId="10" xfId="129" applyNumberFormat="1" applyFont="1" applyFill="1" applyBorder="1" applyAlignment="1">
      <alignment vertical="center"/>
      <protection/>
    </xf>
    <xf numFmtId="3" fontId="13" fillId="0" borderId="12" xfId="129" applyNumberFormat="1" applyFont="1" applyFill="1" applyBorder="1" applyAlignment="1">
      <alignment vertical="center"/>
      <protection/>
    </xf>
    <xf numFmtId="3" fontId="13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7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3" fontId="18" fillId="0" borderId="0" xfId="129" applyNumberFormat="1" applyFont="1" applyFill="1" applyAlignment="1">
      <alignment vertical="center"/>
      <protection/>
    </xf>
    <xf numFmtId="3" fontId="6" fillId="0" borderId="0" xfId="129" applyNumberFormat="1" applyFont="1" applyAlignment="1">
      <alignment vertical="center"/>
      <protection/>
    </xf>
    <xf numFmtId="3" fontId="6" fillId="0" borderId="0" xfId="129" applyNumberFormat="1" applyFont="1" applyAlignment="1">
      <alignment horizontal="right" vertical="center"/>
      <protection/>
    </xf>
    <xf numFmtId="3" fontId="6" fillId="0" borderId="0" xfId="129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2" fillId="4" borderId="14" xfId="0" applyNumberFormat="1" applyFont="1" applyFill="1" applyBorder="1" applyAlignment="1">
      <alignment vertical="center"/>
    </xf>
    <xf numFmtId="3" fontId="18" fillId="0" borderId="0" xfId="129" applyNumberFormat="1" applyFont="1" applyAlignment="1">
      <alignment vertical="center"/>
      <protection/>
    </xf>
    <xf numFmtId="3" fontId="6" fillId="0" borderId="0" xfId="129" applyNumberFormat="1" applyFont="1" applyFill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0" fontId="13" fillId="0" borderId="10" xfId="93" applyFont="1" applyBorder="1" applyAlignment="1">
      <alignment vertical="center"/>
      <protection/>
    </xf>
    <xf numFmtId="3" fontId="13" fillId="0" borderId="10" xfId="93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horizontal="center" vertical="center"/>
      <protection/>
    </xf>
    <xf numFmtId="0" fontId="12" fillId="4" borderId="10" xfId="93" applyFont="1" applyFill="1" applyBorder="1" applyAlignment="1">
      <alignment vertical="center"/>
      <protection/>
    </xf>
    <xf numFmtId="3" fontId="12" fillId="0" borderId="10" xfId="93" applyNumberFormat="1" applyFont="1" applyBorder="1" applyAlignment="1">
      <alignment vertical="center"/>
      <protection/>
    </xf>
    <xf numFmtId="0" fontId="8" fillId="0" borderId="10" xfId="116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4" borderId="10" xfId="93" applyNumberFormat="1" applyFont="1" applyFill="1" applyBorder="1" applyAlignment="1">
      <alignment vertical="center"/>
      <protection/>
    </xf>
    <xf numFmtId="3" fontId="8" fillId="0" borderId="10" xfId="116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vertical="center" wrapText="1"/>
    </xf>
    <xf numFmtId="3" fontId="12" fillId="0" borderId="15" xfId="129" applyNumberFormat="1" applyFont="1" applyFill="1" applyBorder="1" applyAlignment="1">
      <alignment vertical="center"/>
      <protection/>
    </xf>
    <xf numFmtId="3" fontId="13" fillId="0" borderId="16" xfId="0" applyNumberFormat="1" applyFont="1" applyBorder="1" applyAlignment="1">
      <alignment vertical="center"/>
    </xf>
    <xf numFmtId="3" fontId="14" fillId="0" borderId="10" xfId="129" applyNumberFormat="1" applyFont="1" applyFill="1" applyBorder="1" applyAlignment="1">
      <alignment vertical="center"/>
      <protection/>
    </xf>
    <xf numFmtId="3" fontId="13" fillId="0" borderId="10" xfId="129" applyNumberFormat="1" applyFont="1" applyFill="1" applyBorder="1" applyAlignment="1">
      <alignment horizontal="right" vertical="center"/>
      <protection/>
    </xf>
    <xf numFmtId="3" fontId="12" fillId="0" borderId="13" xfId="129" applyNumberFormat="1" applyFont="1" applyFill="1" applyBorder="1" applyAlignment="1">
      <alignment horizontal="left" vertical="center"/>
      <protection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3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left" vertical="center"/>
    </xf>
    <xf numFmtId="3" fontId="16" fillId="24" borderId="10" xfId="129" applyNumberFormat="1" applyFont="1" applyFill="1" applyBorder="1" applyAlignment="1">
      <alignment horizontal="center" vertical="top" wrapText="1"/>
      <protection/>
    </xf>
    <xf numFmtId="3" fontId="16" fillId="24" borderId="10" xfId="129" applyNumberFormat="1" applyFont="1" applyFill="1" applyBorder="1" applyAlignment="1">
      <alignment horizontal="center" vertical="center" wrapText="1"/>
      <protection/>
    </xf>
    <xf numFmtId="3" fontId="13" fillId="24" borderId="10" xfId="129" applyNumberFormat="1" applyFont="1" applyFill="1" applyBorder="1" applyAlignment="1">
      <alignment horizontal="right" vertical="top" wrapText="1"/>
      <protection/>
    </xf>
    <xf numFmtId="3" fontId="1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12" fillId="4" borderId="12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vertical="center"/>
    </xf>
    <xf numFmtId="3" fontId="12" fillId="24" borderId="13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vertical="center"/>
    </xf>
    <xf numFmtId="3" fontId="21" fillId="0" borderId="10" xfId="129" applyNumberFormat="1" applyFont="1" applyFill="1" applyBorder="1" applyAlignment="1">
      <alignment horizontal="center" vertical="top" wrapText="1"/>
      <protection/>
    </xf>
    <xf numFmtId="3" fontId="13" fillId="0" borderId="10" xfId="129" applyNumberFormat="1" applyFont="1" applyFill="1" applyBorder="1" applyAlignment="1">
      <alignment horizontal="right" vertical="top" wrapText="1"/>
      <protection/>
    </xf>
    <xf numFmtId="3" fontId="21" fillId="0" borderId="10" xfId="129" applyNumberFormat="1" applyFont="1" applyFill="1" applyBorder="1" applyAlignment="1">
      <alignment horizontal="center" vertical="center" wrapText="1"/>
      <protection/>
    </xf>
    <xf numFmtId="3" fontId="12" fillId="24" borderId="12" xfId="0" applyNumberFormat="1" applyFont="1" applyFill="1" applyBorder="1" applyAlignment="1">
      <alignment vertical="center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left" vertical="center"/>
    </xf>
    <xf numFmtId="3" fontId="12" fillId="4" borderId="13" xfId="0" applyNumberFormat="1" applyFont="1" applyFill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right" vertical="center"/>
    </xf>
    <xf numFmtId="3" fontId="6" fillId="24" borderId="0" xfId="0" applyNumberFormat="1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3" fontId="13" fillId="24" borderId="10" xfId="129" applyNumberFormat="1" applyFont="1" applyFill="1" applyBorder="1" applyAlignment="1">
      <alignment horizontal="left" vertical="top"/>
      <protection/>
    </xf>
    <xf numFmtId="3" fontId="13" fillId="24" borderId="10" xfId="129" applyNumberFormat="1" applyFont="1" applyFill="1" applyBorder="1" applyAlignment="1">
      <alignment horizontal="left" vertical="top" wrapText="1"/>
      <protection/>
    </xf>
    <xf numFmtId="0" fontId="5" fillId="0" borderId="0" xfId="97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0" fontId="23" fillId="0" borderId="0" xfId="97" applyFont="1" applyAlignment="1">
      <alignment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3" xfId="122" applyNumberFormat="1" applyFont="1" applyFill="1" applyBorder="1" applyAlignment="1">
      <alignment vertical="center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18" xfId="122" applyFont="1" applyBorder="1" applyAlignment="1">
      <alignment horizontal="center" vertical="center"/>
      <protection/>
    </xf>
    <xf numFmtId="3" fontId="8" fillId="0" borderId="18" xfId="122" applyNumberFormat="1" applyFont="1" applyBorder="1" applyAlignment="1">
      <alignment vertical="center"/>
      <protection/>
    </xf>
    <xf numFmtId="0" fontId="8" fillId="0" borderId="14" xfId="122" applyFont="1" applyBorder="1" applyAlignment="1">
      <alignment horizontal="center" vertical="center"/>
      <protection/>
    </xf>
    <xf numFmtId="3" fontId="8" fillId="0" borderId="14" xfId="122" applyNumberFormat="1" applyFont="1" applyBorder="1" applyAlignment="1">
      <alignment vertical="center"/>
      <protection/>
    </xf>
    <xf numFmtId="0" fontId="8" fillId="0" borderId="10" xfId="97" applyFont="1" applyBorder="1" applyAlignment="1">
      <alignment vertical="center"/>
      <protection/>
    </xf>
    <xf numFmtId="0" fontId="5" fillId="0" borderId="0" xfId="97">
      <alignment/>
      <protection/>
    </xf>
    <xf numFmtId="3" fontId="9" fillId="4" borderId="10" xfId="122" applyNumberFormat="1" applyFont="1" applyFill="1" applyBorder="1" applyAlignment="1">
      <alignment vertical="center" wrapText="1"/>
      <protection/>
    </xf>
    <xf numFmtId="3" fontId="8" fillId="0" borderId="10" xfId="97" applyNumberFormat="1" applyFont="1" applyBorder="1" applyAlignment="1">
      <alignment vertical="center"/>
      <protection/>
    </xf>
    <xf numFmtId="3" fontId="8" fillId="0" borderId="0" xfId="97" applyNumberFormat="1" applyFont="1" applyAlignment="1">
      <alignment vertical="center"/>
      <protection/>
    </xf>
    <xf numFmtId="0" fontId="8" fillId="0" borderId="0" xfId="97" applyFont="1" applyAlignment="1">
      <alignment vertical="center"/>
      <protection/>
    </xf>
    <xf numFmtId="0" fontId="8" fillId="0" borderId="0" xfId="97" applyFont="1">
      <alignment/>
      <protection/>
    </xf>
    <xf numFmtId="0" fontId="5" fillId="0" borderId="0" xfId="97" applyFont="1" applyAlignment="1">
      <alignment vertical="center"/>
      <protection/>
    </xf>
    <xf numFmtId="3" fontId="25" fillId="0" borderId="10" xfId="129" applyNumberFormat="1" applyFont="1" applyFill="1" applyBorder="1" applyAlignment="1">
      <alignment horizontal="right" vertical="center"/>
      <protection/>
    </xf>
    <xf numFmtId="3" fontId="25" fillId="0" borderId="10" xfId="129" applyNumberFormat="1" applyFont="1" applyFill="1" applyBorder="1" applyAlignment="1">
      <alignment horizontal="center" vertical="center"/>
      <protection/>
    </xf>
    <xf numFmtId="3" fontId="25" fillId="0" borderId="10" xfId="129" applyNumberFormat="1" applyFont="1" applyFill="1" applyBorder="1" applyAlignment="1">
      <alignment vertical="center"/>
      <protection/>
    </xf>
    <xf numFmtId="3" fontId="25" fillId="0" borderId="10" xfId="0" applyNumberFormat="1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3" fontId="12" fillId="4" borderId="18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3" fontId="8" fillId="0" borderId="13" xfId="122" applyNumberFormat="1" applyFont="1" applyBorder="1" applyAlignment="1">
      <alignment vertical="center"/>
      <protection/>
    </xf>
    <xf numFmtId="0" fontId="12" fillId="4" borderId="10" xfId="93" applyFont="1" applyFill="1" applyBorder="1" applyAlignment="1">
      <alignment vertical="center" wrapText="1"/>
      <protection/>
    </xf>
    <xf numFmtId="0" fontId="13" fillId="0" borderId="10" xfId="93" applyFont="1" applyFill="1" applyBorder="1" applyAlignment="1">
      <alignment vertical="center"/>
      <protection/>
    </xf>
    <xf numFmtId="3" fontId="13" fillId="24" borderId="10" xfId="0" applyNumberFormat="1" applyFont="1" applyFill="1" applyBorder="1" applyAlignment="1">
      <alignment horizontal="right" vertical="center"/>
    </xf>
    <xf numFmtId="3" fontId="8" fillId="0" borderId="0" xfId="97" applyNumberFormat="1" applyFont="1">
      <alignment/>
      <protection/>
    </xf>
    <xf numFmtId="3" fontId="6" fillId="0" borderId="0" xfId="104" applyNumberFormat="1" applyFont="1" applyAlignment="1">
      <alignment vertical="center"/>
      <protection/>
    </xf>
    <xf numFmtId="0" fontId="6" fillId="0" borderId="0" xfId="104" applyFont="1" applyAlignment="1">
      <alignment vertical="center"/>
      <protection/>
    </xf>
    <xf numFmtId="3" fontId="6" fillId="0" borderId="0" xfId="104" applyNumberFormat="1" applyFont="1" applyBorder="1" applyAlignment="1">
      <alignment vertical="center"/>
      <protection/>
    </xf>
    <xf numFmtId="0" fontId="6" fillId="0" borderId="0" xfId="104" applyFont="1" applyBorder="1" applyAlignment="1">
      <alignment vertical="center"/>
      <protection/>
    </xf>
    <xf numFmtId="0" fontId="12" fillId="0" borderId="0" xfId="104" applyFont="1" applyFill="1" applyBorder="1" applyAlignment="1">
      <alignment vertical="center"/>
      <protection/>
    </xf>
    <xf numFmtId="3" fontId="12" fillId="0" borderId="0" xfId="104" applyNumberFormat="1" applyFont="1" applyFill="1" applyBorder="1" applyAlignment="1">
      <alignment vertical="center"/>
      <protection/>
    </xf>
    <xf numFmtId="0" fontId="6" fillId="0" borderId="0" xfId="104" applyFont="1" applyFill="1" applyBorder="1" applyAlignment="1">
      <alignment vertical="center" wrapText="1"/>
      <protection/>
    </xf>
    <xf numFmtId="0" fontId="6" fillId="0" borderId="0" xfId="104" applyFont="1" applyBorder="1" applyAlignment="1">
      <alignment vertical="center" wrapText="1"/>
      <protection/>
    </xf>
    <xf numFmtId="3" fontId="6" fillId="0" borderId="0" xfId="104" applyNumberFormat="1" applyFont="1" applyBorder="1" applyAlignment="1">
      <alignment vertical="center" wrapText="1"/>
      <protection/>
    </xf>
    <xf numFmtId="0" fontId="8" fillId="0" borderId="10" xfId="122" applyFont="1" applyFill="1" applyBorder="1" applyAlignment="1">
      <alignment vertical="center" wrapText="1"/>
      <protection/>
    </xf>
    <xf numFmtId="0" fontId="20" fillId="0" borderId="10" xfId="122" applyFont="1" applyFill="1" applyBorder="1" applyAlignment="1">
      <alignment vertical="center" wrapText="1"/>
      <protection/>
    </xf>
    <xf numFmtId="0" fontId="9" fillId="0" borderId="10" xfId="122" applyFont="1" applyBorder="1" applyAlignment="1">
      <alignment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93" applyFont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/>
    </xf>
    <xf numFmtId="0" fontId="8" fillId="0" borderId="10" xfId="125" applyFont="1" applyFill="1" applyBorder="1" applyAlignment="1">
      <alignment vertical="center" wrapText="1"/>
      <protection/>
    </xf>
    <xf numFmtId="3" fontId="9" fillId="4" borderId="13" xfId="122" applyNumberFormat="1" applyFont="1" applyFill="1" applyBorder="1" applyAlignment="1">
      <alignment vertical="center"/>
      <protection/>
    </xf>
    <xf numFmtId="0" fontId="8" fillId="0" borderId="12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 wrapText="1"/>
      <protection/>
    </xf>
    <xf numFmtId="0" fontId="8" fillId="0" borderId="12" xfId="122" applyFont="1" applyBorder="1" applyAlignment="1">
      <alignment vertical="center" wrapText="1"/>
      <protection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4" borderId="12" xfId="122" applyFont="1" applyFill="1" applyBorder="1" applyAlignment="1">
      <alignment vertical="center"/>
      <protection/>
    </xf>
    <xf numFmtId="0" fontId="8" fillId="0" borderId="13" xfId="0" applyFont="1" applyBorder="1" applyAlignment="1">
      <alignment vertical="center"/>
    </xf>
    <xf numFmtId="0" fontId="8" fillId="0" borderId="18" xfId="122" applyFont="1" applyBorder="1" applyAlignment="1">
      <alignment vertical="center"/>
      <protection/>
    </xf>
    <xf numFmtId="0" fontId="8" fillId="0" borderId="14" xfId="122" applyFont="1" applyBorder="1" applyAlignment="1">
      <alignment vertical="center"/>
      <protection/>
    </xf>
    <xf numFmtId="0" fontId="8" fillId="0" borderId="18" xfId="97" applyFont="1" applyBorder="1" applyAlignment="1">
      <alignment vertical="center"/>
      <protection/>
    </xf>
    <xf numFmtId="0" fontId="8" fillId="0" borderId="13" xfId="0" applyFont="1" applyBorder="1" applyAlignment="1">
      <alignment vertical="center" wrapText="1"/>
    </xf>
    <xf numFmtId="3" fontId="9" fillId="4" borderId="12" xfId="0" applyNumberFormat="1" applyFont="1" applyFill="1" applyBorder="1" applyAlignment="1">
      <alignment vertical="center"/>
    </xf>
    <xf numFmtId="0" fontId="9" fillId="0" borderId="10" xfId="122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vertical="center"/>
      <protection/>
    </xf>
    <xf numFmtId="0" fontId="9" fillId="4" borderId="10" xfId="93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0" borderId="10" xfId="98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horizontal="left" vertical="center"/>
    </xf>
    <xf numFmtId="0" fontId="15" fillId="0" borderId="12" xfId="93" applyFont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3" fontId="12" fillId="24" borderId="19" xfId="0" applyNumberFormat="1" applyFont="1" applyFill="1" applyBorder="1" applyAlignment="1">
      <alignment vertical="center"/>
    </xf>
    <xf numFmtId="0" fontId="8" fillId="0" borderId="10" xfId="116" applyFont="1" applyFill="1" applyBorder="1" applyAlignment="1">
      <alignment vertical="center"/>
      <protection/>
    </xf>
    <xf numFmtId="0" fontId="9" fillId="4" borderId="20" xfId="122" applyFont="1" applyFill="1" applyBorder="1" applyAlignment="1">
      <alignment horizontal="center" vertical="center" wrapText="1"/>
      <protection/>
    </xf>
    <xf numFmtId="0" fontId="9" fillId="4" borderId="21" xfId="122" applyFont="1" applyFill="1" applyBorder="1" applyAlignment="1">
      <alignment horizontal="center" vertical="center" wrapText="1"/>
      <protection/>
    </xf>
    <xf numFmtId="3" fontId="9" fillId="4" borderId="21" xfId="122" applyNumberFormat="1" applyFont="1" applyFill="1" applyBorder="1" applyAlignment="1">
      <alignment horizontal="center" vertical="center" wrapText="1"/>
      <protection/>
    </xf>
    <xf numFmtId="0" fontId="8" fillId="0" borderId="10" xfId="122" applyFont="1" applyBorder="1">
      <alignment/>
      <protection/>
    </xf>
    <xf numFmtId="165" fontId="8" fillId="0" borderId="10" xfId="122" applyNumberFormat="1" applyFont="1" applyBorder="1">
      <alignment/>
      <protection/>
    </xf>
    <xf numFmtId="165" fontId="8" fillId="0" borderId="10" xfId="122" applyNumberFormat="1" applyFont="1" applyBorder="1" applyAlignment="1">
      <alignment vertical="center"/>
      <protection/>
    </xf>
    <xf numFmtId="0" fontId="62" fillId="4" borderId="10" xfId="116" applyFont="1" applyFill="1" applyBorder="1" applyAlignment="1">
      <alignment horizontal="center" vertical="center"/>
      <protection/>
    </xf>
    <xf numFmtId="0" fontId="63" fillId="4" borderId="10" xfId="116" applyFont="1" applyFill="1" applyBorder="1" applyAlignment="1">
      <alignment vertical="center"/>
      <protection/>
    </xf>
    <xf numFmtId="0" fontId="8" fillId="0" borderId="12" xfId="99" applyFont="1" applyFill="1" applyBorder="1" applyAlignment="1">
      <alignment vertical="top" wrapText="1"/>
      <protection/>
    </xf>
    <xf numFmtId="3" fontId="12" fillId="4" borderId="22" xfId="129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12" fillId="4" borderId="10" xfId="93" applyFont="1" applyFill="1" applyBorder="1" applyAlignment="1">
      <alignment horizontal="center" vertical="center" wrapText="1"/>
      <protection/>
    </xf>
    <xf numFmtId="3" fontId="9" fillId="4" borderId="10" xfId="93" applyNumberFormat="1" applyFont="1" applyFill="1" applyBorder="1" applyAlignment="1">
      <alignment vertical="center"/>
      <protection/>
    </xf>
    <xf numFmtId="0" fontId="3" fillId="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3" fillId="0" borderId="23" xfId="0" applyFont="1" applyBorder="1" applyAlignment="1">
      <alignment wrapText="1"/>
    </xf>
    <xf numFmtId="3" fontId="12" fillId="4" borderId="23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 wrapText="1"/>
    </xf>
    <xf numFmtId="0" fontId="0" fillId="4" borderId="24" xfId="0" applyFill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25" xfId="93" applyFont="1" applyFill="1" applyBorder="1" applyAlignment="1">
      <alignment horizontal="center" vertical="top" wrapText="1"/>
      <protection/>
    </xf>
    <xf numFmtId="0" fontId="9" fillId="4" borderId="25" xfId="93" applyFont="1" applyFill="1" applyBorder="1" applyAlignment="1">
      <alignment horizontal="center" vertical="center" wrapText="1"/>
      <protection/>
    </xf>
    <xf numFmtId="3" fontId="8" fillId="24" borderId="10" xfId="129" applyNumberFormat="1" applyFont="1" applyFill="1" applyBorder="1" applyAlignment="1">
      <alignment horizontal="right" vertical="top" wrapText="1"/>
      <protection/>
    </xf>
    <xf numFmtId="0" fontId="9" fillId="4" borderId="26" xfId="93" applyFont="1" applyFill="1" applyBorder="1" applyAlignment="1">
      <alignment horizontal="center" vertical="top" wrapText="1"/>
      <protection/>
    </xf>
    <xf numFmtId="0" fontId="9" fillId="0" borderId="14" xfId="122" applyFont="1" applyBorder="1" applyAlignment="1">
      <alignment vertical="center"/>
      <protection/>
    </xf>
    <xf numFmtId="3" fontId="12" fillId="4" borderId="10" xfId="129" applyNumberFormat="1" applyFont="1" applyFill="1" applyBorder="1" applyAlignment="1">
      <alignment horizontal="center" vertical="center" wrapText="1"/>
      <protection/>
    </xf>
    <xf numFmtId="0" fontId="8" fillId="0" borderId="10" xfId="116" applyFont="1" applyFill="1" applyBorder="1" applyAlignment="1">
      <alignment vertical="center" wrapText="1"/>
      <protection/>
    </xf>
    <xf numFmtId="3" fontId="13" fillId="0" borderId="10" xfId="129" applyNumberFormat="1" applyFont="1" applyFill="1" applyBorder="1" applyAlignment="1">
      <alignment horizontal="right" vertical="center" wrapText="1"/>
      <protection/>
    </xf>
    <xf numFmtId="3" fontId="13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Border="1" applyAlignment="1">
      <alignment vertical="center" wrapText="1"/>
    </xf>
    <xf numFmtId="0" fontId="5" fillId="0" borderId="0" xfId="97" applyFont="1" applyAlignment="1">
      <alignment vertical="center"/>
      <protection/>
    </xf>
    <xf numFmtId="0" fontId="8" fillId="0" borderId="27" xfId="118" applyFont="1" applyBorder="1" applyAlignment="1">
      <alignment wrapText="1"/>
      <protection/>
    </xf>
    <xf numFmtId="0" fontId="8" fillId="0" borderId="28" xfId="0" applyFont="1" applyBorder="1" applyAlignment="1">
      <alignment wrapText="1"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0" fontId="8" fillId="0" borderId="29" xfId="98" applyFont="1" applyFill="1" applyBorder="1" applyAlignment="1">
      <alignment vertical="top" wrapText="1"/>
      <protection/>
    </xf>
    <xf numFmtId="0" fontId="8" fillId="0" borderId="29" xfId="93" applyFont="1" applyFill="1" applyBorder="1" applyAlignment="1">
      <alignment horizontal="left" vertical="center" wrapText="1"/>
      <protection/>
    </xf>
    <xf numFmtId="0" fontId="8" fillId="0" borderId="29" xfId="95" applyFont="1" applyFill="1" applyBorder="1" applyAlignment="1">
      <alignment horizontal="left" vertical="center" wrapText="1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0" borderId="30" xfId="0" applyFont="1" applyFill="1" applyBorder="1" applyAlignment="1">
      <alignment vertical="top" wrapText="1"/>
    </xf>
    <xf numFmtId="0" fontId="64" fillId="0" borderId="0" xfId="114" applyFont="1">
      <alignment/>
      <protection/>
    </xf>
    <xf numFmtId="3" fontId="16" fillId="25" borderId="31" xfId="117" applyNumberFormat="1" applyFont="1" applyFill="1" applyBorder="1" applyAlignment="1">
      <alignment horizontal="center" vertical="center" wrapText="1"/>
      <protection/>
    </xf>
    <xf numFmtId="3" fontId="16" fillId="25" borderId="32" xfId="117" applyNumberFormat="1" applyFont="1" applyFill="1" applyBorder="1" applyAlignment="1">
      <alignment horizontal="center" vertical="center" wrapText="1"/>
      <protection/>
    </xf>
    <xf numFmtId="3" fontId="16" fillId="25" borderId="33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vertical="center" wrapText="1"/>
      <protection/>
    </xf>
    <xf numFmtId="3" fontId="44" fillId="0" borderId="27" xfId="117" applyNumberFormat="1" applyFont="1" applyBorder="1" applyAlignment="1">
      <alignment horizontal="center" vertical="center" wrapText="1"/>
      <protection/>
    </xf>
    <xf numFmtId="3" fontId="44" fillId="0" borderId="27" xfId="117" applyNumberFormat="1" applyFont="1" applyBorder="1" applyAlignment="1">
      <alignment horizontal="right" vertical="center" wrapText="1"/>
      <protection/>
    </xf>
    <xf numFmtId="3" fontId="44" fillId="0" borderId="35" xfId="117" applyNumberFormat="1" applyFont="1" applyBorder="1" applyAlignment="1">
      <alignment vertical="center" wrapText="1"/>
      <protection/>
    </xf>
    <xf numFmtId="0" fontId="69" fillId="0" borderId="0" xfId="114" applyFont="1">
      <alignment/>
      <protection/>
    </xf>
    <xf numFmtId="0" fontId="44" fillId="0" borderId="27" xfId="124" applyFont="1" applyBorder="1" applyAlignment="1">
      <alignment vertical="center" wrapText="1"/>
      <protection/>
    </xf>
    <xf numFmtId="0" fontId="44" fillId="0" borderId="27" xfId="117" applyNumberFormat="1" applyFont="1" applyBorder="1" applyAlignment="1">
      <alignment horizontal="center" vertical="center" wrapText="1"/>
      <protection/>
    </xf>
    <xf numFmtId="0" fontId="44" fillId="0" borderId="36" xfId="102" applyFont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horizontal="center" vertical="center" wrapText="1"/>
      <protection/>
    </xf>
    <xf numFmtId="3" fontId="16" fillId="25" borderId="27" xfId="117" applyNumberFormat="1" applyFont="1" applyFill="1" applyBorder="1" applyAlignment="1">
      <alignment vertical="center" wrapText="1"/>
      <protection/>
    </xf>
    <xf numFmtId="3" fontId="44" fillId="0" borderId="0" xfId="117" applyNumberFormat="1" applyFont="1" applyAlignment="1">
      <alignment vertical="center" wrapText="1"/>
      <protection/>
    </xf>
    <xf numFmtId="3" fontId="45" fillId="0" borderId="0" xfId="117" applyNumberFormat="1" applyFont="1" applyAlignment="1">
      <alignment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44" fillId="25" borderId="35" xfId="117" applyNumberFormat="1" applyFont="1" applyFill="1" applyBorder="1" applyAlignment="1">
      <alignment vertical="center" wrapText="1"/>
      <protection/>
    </xf>
    <xf numFmtId="3" fontId="44" fillId="0" borderId="27" xfId="117" applyNumberFormat="1" applyFont="1" applyFill="1" applyBorder="1" applyAlignment="1">
      <alignment vertical="center" wrapText="1"/>
      <protection/>
    </xf>
    <xf numFmtId="0" fontId="8" fillId="0" borderId="0" xfId="93" applyFont="1" applyFill="1" applyBorder="1" applyAlignment="1">
      <alignment horizontal="left" vertical="center" wrapText="1"/>
      <protection/>
    </xf>
    <xf numFmtId="3" fontId="8" fillId="0" borderId="10" xfId="98" applyNumberFormat="1" applyFont="1" applyFill="1" applyBorder="1" applyAlignment="1">
      <alignment vertical="center" wrapText="1"/>
      <protection/>
    </xf>
    <xf numFmtId="3" fontId="13" fillId="0" borderId="14" xfId="129" applyNumberFormat="1" applyFont="1" applyFill="1" applyBorder="1" applyAlignment="1">
      <alignment horizontal="center" vertical="center" wrapText="1"/>
      <protection/>
    </xf>
    <xf numFmtId="3" fontId="12" fillId="4" borderId="37" xfId="129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Border="1" applyAlignment="1">
      <alignment vertical="center"/>
    </xf>
    <xf numFmtId="3" fontId="16" fillId="4" borderId="38" xfId="129" applyNumberFormat="1" applyFont="1" applyFill="1" applyBorder="1" applyAlignment="1">
      <alignment horizontal="center" vertical="center"/>
      <protection/>
    </xf>
    <xf numFmtId="3" fontId="16" fillId="4" borderId="39" xfId="129" applyNumberFormat="1" applyFont="1" applyFill="1" applyBorder="1" applyAlignment="1">
      <alignment horizontal="center" vertical="center"/>
      <protection/>
    </xf>
    <xf numFmtId="2" fontId="9" fillId="4" borderId="21" xfId="122" applyNumberFormat="1" applyFont="1" applyFill="1" applyBorder="1" applyAlignment="1">
      <alignment horizontal="center" vertical="center" wrapText="1"/>
      <protection/>
    </xf>
    <xf numFmtId="0" fontId="19" fillId="0" borderId="0" xfId="119">
      <alignment/>
      <protection/>
    </xf>
    <xf numFmtId="0" fontId="8" fillId="0" borderId="10" xfId="121" applyFont="1" applyFill="1" applyBorder="1" applyAlignment="1">
      <alignment horizontal="left" vertical="center" wrapText="1"/>
      <protection/>
    </xf>
    <xf numFmtId="164" fontId="8" fillId="0" borderId="10" xfId="122" applyNumberFormat="1" applyFont="1" applyBorder="1" applyAlignment="1">
      <alignment vertical="center"/>
      <protection/>
    </xf>
    <xf numFmtId="2" fontId="8" fillId="0" borderId="10" xfId="122" applyNumberFormat="1" applyFont="1" applyBorder="1" applyAlignment="1">
      <alignment vertical="center"/>
      <protection/>
    </xf>
    <xf numFmtId="49" fontId="19" fillId="0" borderId="0" xfId="119" applyNumberFormat="1">
      <alignment/>
      <protection/>
    </xf>
    <xf numFmtId="164" fontId="8" fillId="0" borderId="10" xfId="122" applyNumberFormat="1" applyFont="1" applyBorder="1">
      <alignment/>
      <protection/>
    </xf>
    <xf numFmtId="2" fontId="8" fillId="0" borderId="10" xfId="122" applyNumberFormat="1" applyFont="1" applyBorder="1">
      <alignment/>
      <protection/>
    </xf>
    <xf numFmtId="164" fontId="63" fillId="4" borderId="10" xfId="122" applyNumberFormat="1" applyFont="1" applyFill="1" applyBorder="1">
      <alignment/>
      <protection/>
    </xf>
    <xf numFmtId="165" fontId="63" fillId="4" borderId="10" xfId="122" applyNumberFormat="1" applyFont="1" applyFill="1" applyBorder="1">
      <alignment/>
      <protection/>
    </xf>
    <xf numFmtId="164" fontId="8" fillId="0" borderId="10" xfId="122" applyNumberFormat="1" applyFont="1" applyFill="1" applyBorder="1">
      <alignment/>
      <protection/>
    </xf>
    <xf numFmtId="0" fontId="62" fillId="0" borderId="0" xfId="119" applyFont="1">
      <alignment/>
      <protection/>
    </xf>
    <xf numFmtId="0" fontId="62" fillId="4" borderId="10" xfId="119" applyFont="1" applyFill="1" applyBorder="1">
      <alignment/>
      <protection/>
    </xf>
    <xf numFmtId="0" fontId="62" fillId="4" borderId="10" xfId="116" applyFont="1" applyFill="1" applyBorder="1" applyAlignment="1">
      <alignment vertical="center"/>
      <protection/>
    </xf>
    <xf numFmtId="164" fontId="63" fillId="4" borderId="10" xfId="119" applyNumberFormat="1" applyFont="1" applyFill="1" applyBorder="1">
      <alignment/>
      <protection/>
    </xf>
    <xf numFmtId="0" fontId="0" fillId="0" borderId="0" xfId="115" applyFill="1" applyBorder="1" applyAlignment="1">
      <alignment horizontal="left" vertical="center" wrapText="1"/>
      <protection/>
    </xf>
    <xf numFmtId="164" fontId="19" fillId="0" borderId="0" xfId="119" applyNumberFormat="1">
      <alignment/>
      <protection/>
    </xf>
    <xf numFmtId="0" fontId="0" fillId="0" borderId="0" xfId="115" applyFont="1" applyFill="1" applyBorder="1" applyAlignment="1">
      <alignment horizontal="left" vertical="center" wrapText="1"/>
      <protection/>
    </xf>
    <xf numFmtId="3" fontId="19" fillId="0" borderId="0" xfId="119" applyNumberFormat="1">
      <alignment/>
      <protection/>
    </xf>
    <xf numFmtId="0" fontId="8" fillId="0" borderId="0" xfId="116" applyFont="1" applyFill="1" applyBorder="1" applyAlignment="1">
      <alignment vertical="center"/>
      <protection/>
    </xf>
    <xf numFmtId="0" fontId="8" fillId="0" borderId="0" xfId="116" applyFont="1" applyFill="1" applyBorder="1" applyAlignment="1">
      <alignment vertical="center" wrapText="1"/>
      <protection/>
    </xf>
    <xf numFmtId="0" fontId="8" fillId="0" borderId="0" xfId="122" applyFont="1" applyFill="1" applyBorder="1" applyAlignment="1">
      <alignment vertical="center"/>
      <protection/>
    </xf>
    <xf numFmtId="0" fontId="8" fillId="0" borderId="0" xfId="116" applyFont="1" applyBorder="1" applyAlignment="1">
      <alignment vertical="center"/>
      <protection/>
    </xf>
    <xf numFmtId="164" fontId="8" fillId="0" borderId="10" xfId="119" applyNumberFormat="1" applyFont="1" applyBorder="1">
      <alignment/>
      <protection/>
    </xf>
    <xf numFmtId="0" fontId="8" fillId="0" borderId="0" xfId="0" applyFont="1" applyFill="1" applyBorder="1" applyAlignment="1">
      <alignment wrapText="1"/>
    </xf>
    <xf numFmtId="0" fontId="22" fillId="0" borderId="10" xfId="115" applyFont="1" applyFill="1" applyBorder="1" applyAlignment="1">
      <alignment horizontal="left" vertical="center" wrapText="1"/>
      <protection/>
    </xf>
    <xf numFmtId="0" fontId="13" fillId="0" borderId="10" xfId="116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3" fontId="13" fillId="0" borderId="13" xfId="0" applyNumberFormat="1" applyFont="1" applyBorder="1" applyAlignment="1">
      <alignment horizontal="left" vertical="center"/>
    </xf>
    <xf numFmtId="0" fontId="8" fillId="0" borderId="14" xfId="122" applyFont="1" applyFill="1" applyBorder="1" applyAlignment="1">
      <alignment vertical="center" wrapText="1"/>
      <protection/>
    </xf>
    <xf numFmtId="3" fontId="8" fillId="0" borderId="12" xfId="0" applyNumberFormat="1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left" vertical="center" wrapText="1"/>
    </xf>
    <xf numFmtId="0" fontId="7" fillId="0" borderId="0" xfId="128" applyFont="1" applyAlignment="1">
      <alignment vertical="center"/>
      <protection/>
    </xf>
    <xf numFmtId="0" fontId="6" fillId="0" borderId="0" xfId="128" applyFont="1" applyAlignment="1">
      <alignment vertical="center"/>
      <protection/>
    </xf>
    <xf numFmtId="0" fontId="8" fillId="0" borderId="0" xfId="103" applyFont="1">
      <alignment/>
      <protection/>
    </xf>
    <xf numFmtId="0" fontId="6" fillId="26" borderId="0" xfId="128" applyFont="1" applyFill="1" applyBorder="1" applyAlignment="1">
      <alignment vertical="center"/>
      <protection/>
    </xf>
    <xf numFmtId="0" fontId="7" fillId="26" borderId="0" xfId="128" applyFont="1" applyFill="1" applyBorder="1" applyAlignment="1">
      <alignment vertical="center"/>
      <protection/>
    </xf>
    <xf numFmtId="3" fontId="7" fillId="26" borderId="0" xfId="128" applyNumberFormat="1" applyFont="1" applyFill="1" applyBorder="1" applyAlignment="1">
      <alignment vertical="center"/>
      <protection/>
    </xf>
    <xf numFmtId="3" fontId="6" fillId="26" borderId="0" xfId="128" applyNumberFormat="1" applyFont="1" applyFill="1" applyBorder="1" applyAlignment="1">
      <alignment vertical="center"/>
      <protection/>
    </xf>
    <xf numFmtId="0" fontId="6" fillId="0" borderId="0" xfId="128" applyFont="1" applyAlignment="1">
      <alignment horizontal="left" vertical="center"/>
      <protection/>
    </xf>
    <xf numFmtId="0" fontId="6" fillId="0" borderId="0" xfId="128" applyFont="1" applyAlignment="1">
      <alignment horizontal="center" vertical="center"/>
      <protection/>
    </xf>
    <xf numFmtId="0" fontId="5" fillId="0" borderId="0" xfId="103">
      <alignment/>
      <protection/>
    </xf>
    <xf numFmtId="49" fontId="8" fillId="0" borderId="0" xfId="120" applyNumberFormat="1" applyFont="1" applyBorder="1" applyAlignment="1">
      <alignment horizontal="left" vertical="top" wrapText="1"/>
      <protection/>
    </xf>
    <xf numFmtId="0" fontId="71" fillId="0" borderId="0" xfId="103" applyFont="1" applyBorder="1">
      <alignment/>
      <protection/>
    </xf>
    <xf numFmtId="0" fontId="8" fillId="0" borderId="0" xfId="103" applyFont="1" applyAlignment="1">
      <alignment horizontal="left"/>
      <protection/>
    </xf>
    <xf numFmtId="0" fontId="9" fillId="0" borderId="0" xfId="103" applyFont="1">
      <alignment/>
      <protection/>
    </xf>
    <xf numFmtId="0" fontId="0" fillId="0" borderId="13" xfId="0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left" vertical="center" wrapText="1"/>
    </xf>
    <xf numFmtId="0" fontId="8" fillId="0" borderId="12" xfId="98" applyFont="1" applyBorder="1" applyAlignment="1">
      <alignment vertical="center" wrapText="1"/>
      <protection/>
    </xf>
    <xf numFmtId="0" fontId="8" fillId="0" borderId="10" xfId="97" applyFont="1" applyBorder="1" applyAlignment="1">
      <alignment vertical="center" wrapText="1"/>
      <protection/>
    </xf>
    <xf numFmtId="0" fontId="13" fillId="0" borderId="12" xfId="122" applyFont="1" applyBorder="1" applyAlignment="1">
      <alignment vertical="center" wrapText="1"/>
      <protection/>
    </xf>
    <xf numFmtId="0" fontId="8" fillId="0" borderId="18" xfId="97" applyFont="1" applyBorder="1" applyAlignment="1">
      <alignment vertical="center" wrapText="1"/>
      <protection/>
    </xf>
    <xf numFmtId="0" fontId="8" fillId="0" borderId="12" xfId="122" applyFont="1" applyFill="1" applyBorder="1" applyAlignment="1">
      <alignment vertical="center" wrapText="1"/>
      <protection/>
    </xf>
    <xf numFmtId="3" fontId="25" fillId="0" borderId="13" xfId="0" applyNumberFormat="1" applyFont="1" applyBorder="1" applyAlignment="1">
      <alignment horizontal="left" vertical="center" wrapText="1"/>
    </xf>
    <xf numFmtId="3" fontId="13" fillId="0" borderId="12" xfId="129" applyNumberFormat="1" applyFont="1" applyFill="1" applyBorder="1" applyAlignment="1">
      <alignment horizontal="left" vertical="center"/>
      <protection/>
    </xf>
    <xf numFmtId="3" fontId="13" fillId="0" borderId="13" xfId="129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3" fontId="12" fillId="4" borderId="14" xfId="129" applyNumberFormat="1" applyFont="1" applyFill="1" applyBorder="1" applyAlignment="1">
      <alignment horizontal="center" vertical="center" wrapText="1"/>
      <protection/>
    </xf>
    <xf numFmtId="3" fontId="12" fillId="4" borderId="40" xfId="129" applyNumberFormat="1" applyFont="1" applyFill="1" applyBorder="1" applyAlignment="1">
      <alignment horizontal="center" vertical="center" wrapText="1"/>
      <protection/>
    </xf>
    <xf numFmtId="0" fontId="19" fillId="0" borderId="10" xfId="119" applyFont="1" applyBorder="1">
      <alignment/>
      <protection/>
    </xf>
    <xf numFmtId="0" fontId="8" fillId="0" borderId="10" xfId="122" applyFont="1" applyFill="1" applyBorder="1" applyAlignment="1">
      <alignment horizontal="center" vertical="center" wrapText="1"/>
      <protection/>
    </xf>
    <xf numFmtId="3" fontId="13" fillId="0" borderId="13" xfId="129" applyNumberFormat="1" applyFont="1" applyFill="1" applyBorder="1" applyAlignment="1">
      <alignment vertical="center"/>
      <protection/>
    </xf>
    <xf numFmtId="3" fontId="0" fillId="0" borderId="13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3" fillId="4" borderId="1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0" xfId="105" applyBorder="1">
      <alignment/>
      <protection/>
    </xf>
    <xf numFmtId="0" fontId="72" fillId="0" borderId="10" xfId="105" applyFont="1" applyBorder="1" applyAlignment="1">
      <alignment horizontal="center" vertical="center"/>
      <protection/>
    </xf>
    <xf numFmtId="0" fontId="19" fillId="0" borderId="0" xfId="105">
      <alignment/>
      <protection/>
    </xf>
    <xf numFmtId="0" fontId="72" fillId="0" borderId="10" xfId="105" applyFont="1" applyBorder="1">
      <alignment/>
      <protection/>
    </xf>
    <xf numFmtId="3" fontId="72" fillId="0" borderId="10" xfId="105" applyNumberFormat="1" applyFont="1" applyBorder="1">
      <alignment/>
      <protection/>
    </xf>
    <xf numFmtId="3" fontId="19" fillId="0" borderId="10" xfId="105" applyNumberFormat="1" applyBorder="1">
      <alignment/>
      <protection/>
    </xf>
    <xf numFmtId="0" fontId="19" fillId="0" borderId="10" xfId="105" applyFont="1" applyBorder="1">
      <alignment/>
      <protection/>
    </xf>
    <xf numFmtId="0" fontId="19" fillId="0" borderId="10" xfId="105" applyFont="1" applyBorder="1">
      <alignment/>
      <protection/>
    </xf>
    <xf numFmtId="0" fontId="72" fillId="4" borderId="10" xfId="105" applyFont="1" applyFill="1" applyBorder="1" applyAlignment="1">
      <alignment vertical="center"/>
      <protection/>
    </xf>
    <xf numFmtId="3" fontId="72" fillId="4" borderId="10" xfId="105" applyNumberFormat="1" applyFont="1" applyFill="1" applyBorder="1" applyAlignment="1">
      <alignment vertical="center"/>
      <protection/>
    </xf>
    <xf numFmtId="0" fontId="15" fillId="0" borderId="10" xfId="93" applyFont="1" applyBorder="1" applyAlignment="1">
      <alignment vertical="center"/>
      <protection/>
    </xf>
    <xf numFmtId="3" fontId="13" fillId="0" borderId="10" xfId="93" applyNumberFormat="1" applyFont="1" applyFill="1" applyBorder="1" applyAlignment="1">
      <alignment vertical="center"/>
      <protection/>
    </xf>
    <xf numFmtId="0" fontId="8" fillId="0" borderId="10" xfId="93" applyFont="1" applyFill="1" applyBorder="1" applyAlignment="1">
      <alignment vertical="center"/>
      <protection/>
    </xf>
    <xf numFmtId="3" fontId="8" fillId="0" borderId="10" xfId="93" applyNumberFormat="1" applyFont="1" applyBorder="1" applyAlignment="1">
      <alignment vertical="center"/>
      <protection/>
    </xf>
    <xf numFmtId="0" fontId="13" fillId="0" borderId="10" xfId="116" applyFont="1" applyBorder="1" applyAlignment="1">
      <alignment vertical="center" wrapText="1"/>
      <protection/>
    </xf>
    <xf numFmtId="0" fontId="12" fillId="4" borderId="10" xfId="116" applyFont="1" applyFill="1" applyBorder="1" applyAlignment="1">
      <alignment vertical="center"/>
      <protection/>
    </xf>
    <xf numFmtId="3" fontId="9" fillId="0" borderId="0" xfId="93" applyNumberFormat="1" applyFont="1" applyFill="1" applyBorder="1" applyAlignment="1">
      <alignment vertical="center"/>
      <protection/>
    </xf>
    <xf numFmtId="0" fontId="9" fillId="4" borderId="10" xfId="116" applyFont="1" applyFill="1" applyBorder="1" applyAlignment="1">
      <alignment vertical="center" wrapText="1"/>
      <protection/>
    </xf>
    <xf numFmtId="3" fontId="14" fillId="4" borderId="10" xfId="93" applyNumberFormat="1" applyFont="1" applyFill="1" applyBorder="1" applyAlignment="1">
      <alignment vertical="center"/>
      <protection/>
    </xf>
    <xf numFmtId="3" fontId="13" fillId="0" borderId="12" xfId="93" applyNumberFormat="1" applyFont="1" applyBorder="1" applyAlignment="1">
      <alignment vertical="center"/>
      <protection/>
    </xf>
    <xf numFmtId="3" fontId="13" fillId="0" borderId="15" xfId="93" applyNumberFormat="1" applyFont="1" applyBorder="1" applyAlignment="1">
      <alignment vertical="center"/>
      <protection/>
    </xf>
    <xf numFmtId="3" fontId="13" fillId="0" borderId="13" xfId="93" applyNumberFormat="1" applyFont="1" applyBorder="1" applyAlignment="1">
      <alignment vertical="center"/>
      <protection/>
    </xf>
    <xf numFmtId="0" fontId="5" fillId="0" borderId="0" xfId="93" applyFont="1" applyAlignment="1">
      <alignment vertical="center"/>
      <protection/>
    </xf>
    <xf numFmtId="3" fontId="13" fillId="0" borderId="12" xfId="0" applyNumberFormat="1" applyFont="1" applyFill="1" applyBorder="1" applyAlignment="1">
      <alignment vertical="center" wrapText="1"/>
    </xf>
    <xf numFmtId="3" fontId="8" fillId="0" borderId="12" xfId="98" applyNumberFormat="1" applyFont="1" applyFill="1" applyBorder="1" applyAlignment="1">
      <alignment vertical="center" wrapText="1"/>
      <protection/>
    </xf>
    <xf numFmtId="3" fontId="8" fillId="0" borderId="0" xfId="93" applyNumberFormat="1" applyFont="1" applyAlignment="1">
      <alignment vertical="center"/>
      <protection/>
    </xf>
    <xf numFmtId="0" fontId="67" fillId="0" borderId="0" xfId="106" applyFont="1" applyAlignment="1">
      <alignment horizontal="center"/>
      <protection/>
    </xf>
    <xf numFmtId="0" fontId="67" fillId="0" borderId="0" xfId="106" applyFont="1">
      <alignment/>
      <protection/>
    </xf>
    <xf numFmtId="0" fontId="67" fillId="0" borderId="0" xfId="112" applyFont="1">
      <alignment/>
      <protection/>
    </xf>
    <xf numFmtId="0" fontId="67" fillId="0" borderId="0" xfId="121" applyFont="1" applyAlignment="1">
      <alignment horizontal="center"/>
      <protection/>
    </xf>
    <xf numFmtId="0" fontId="67" fillId="0" borderId="0" xfId="121" applyFont="1">
      <alignment/>
      <protection/>
    </xf>
    <xf numFmtId="0" fontId="62" fillId="0" borderId="0" xfId="106" applyFont="1" applyAlignment="1">
      <alignment horizontal="center" vertical="center"/>
      <protection/>
    </xf>
    <xf numFmtId="0" fontId="62" fillId="0" borderId="0" xfId="106" applyFont="1">
      <alignment/>
      <protection/>
    </xf>
    <xf numFmtId="0" fontId="67" fillId="0" borderId="0" xfId="106" applyFont="1" applyAlignment="1">
      <alignment wrapText="1"/>
      <protection/>
    </xf>
    <xf numFmtId="0" fontId="67" fillId="0" borderId="0" xfId="106" applyFont="1" applyAlignment="1">
      <alignment vertical="center" wrapText="1"/>
      <protection/>
    </xf>
    <xf numFmtId="0" fontId="62" fillId="0" borderId="0" xfId="106" applyFont="1" applyAlignment="1">
      <alignment vertical="center" wrapText="1"/>
      <protection/>
    </xf>
    <xf numFmtId="0" fontId="62" fillId="0" borderId="0" xfId="106" applyFont="1" applyAlignment="1">
      <alignment horizontal="center"/>
      <protection/>
    </xf>
    <xf numFmtId="0" fontId="62" fillId="0" borderId="0" xfId="106" applyFont="1" applyAlignment="1">
      <alignment wrapText="1"/>
      <protection/>
    </xf>
    <xf numFmtId="0" fontId="62" fillId="0" borderId="0" xfId="106" applyFont="1" applyAlignment="1">
      <alignment horizontal="center" vertical="top"/>
      <protection/>
    </xf>
    <xf numFmtId="49" fontId="67" fillId="0" borderId="0" xfId="106" applyNumberFormat="1" applyFont="1">
      <alignment/>
      <protection/>
    </xf>
    <xf numFmtId="49" fontId="62" fillId="0" borderId="0" xfId="106" applyNumberFormat="1" applyFont="1">
      <alignment/>
      <protection/>
    </xf>
    <xf numFmtId="49" fontId="67" fillId="0" borderId="0" xfId="106" applyNumberFormat="1" applyFont="1" applyAlignment="1">
      <alignment wrapText="1"/>
      <protection/>
    </xf>
    <xf numFmtId="0" fontId="67" fillId="0" borderId="0" xfId="112" applyFont="1" applyAlignment="1">
      <alignment horizontal="center"/>
      <protection/>
    </xf>
    <xf numFmtId="0" fontId="19" fillId="0" borderId="0" xfId="113">
      <alignment/>
      <protection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4" borderId="10" xfId="113" applyFont="1" applyFill="1" applyBorder="1" applyAlignment="1">
      <alignment horizontal="center" vertical="center"/>
      <protection/>
    </xf>
    <xf numFmtId="0" fontId="12" fillId="4" borderId="10" xfId="113" applyFont="1" applyFill="1" applyBorder="1" applyAlignment="1">
      <alignment horizontal="center" vertical="center" wrapText="1"/>
      <protection/>
    </xf>
    <xf numFmtId="0" fontId="45" fillId="0" borderId="0" xfId="113" applyFont="1" applyAlignment="1">
      <alignment horizontal="center" vertical="center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 wrapText="1"/>
      <protection/>
    </xf>
    <xf numFmtId="3" fontId="9" fillId="0" borderId="10" xfId="113" applyNumberFormat="1" applyFont="1" applyFill="1" applyBorder="1" applyAlignment="1">
      <alignment horizontal="right" vertical="center" wrapText="1"/>
      <protection/>
    </xf>
    <xf numFmtId="10" fontId="20" fillId="0" borderId="10" xfId="140" applyNumberFormat="1" applyFont="1" applyFill="1" applyBorder="1" applyAlignment="1">
      <alignment horizontal="center" vertical="center" wrapText="1"/>
    </xf>
    <xf numFmtId="49" fontId="8" fillId="0" borderId="10" xfId="140" applyNumberFormat="1" applyFont="1" applyFill="1" applyBorder="1" applyAlignment="1">
      <alignment horizontal="center" vertical="center" wrapText="1"/>
    </xf>
    <xf numFmtId="3" fontId="8" fillId="0" borderId="14" xfId="113" applyNumberFormat="1" applyFont="1" applyFill="1" applyBorder="1" applyAlignment="1">
      <alignment horizontal="right" vertical="center" wrapText="1"/>
      <protection/>
    </xf>
    <xf numFmtId="3" fontId="8" fillId="0" borderId="14" xfId="113" applyNumberFormat="1" applyFont="1" applyBorder="1" applyAlignment="1">
      <alignment horizontal="right" vertical="center"/>
      <protection/>
    </xf>
    <xf numFmtId="3" fontId="8" fillId="0" borderId="40" xfId="113" applyNumberFormat="1" applyFont="1" applyBorder="1" applyAlignment="1">
      <alignment horizontal="right" vertical="center"/>
      <protection/>
    </xf>
    <xf numFmtId="3" fontId="8" fillId="0" borderId="10" xfId="113" applyNumberFormat="1" applyFont="1" applyBorder="1" applyAlignment="1">
      <alignment horizontal="right" vertical="center"/>
      <protection/>
    </xf>
    <xf numFmtId="3" fontId="8" fillId="0" borderId="12" xfId="113" applyNumberFormat="1" applyFont="1" applyBorder="1" applyAlignment="1">
      <alignment horizontal="right" vertical="center"/>
      <protection/>
    </xf>
    <xf numFmtId="0" fontId="8" fillId="4" borderId="10" xfId="113" applyFont="1" applyFill="1" applyBorder="1" applyAlignment="1">
      <alignment horizontal="center" vertical="center" wrapText="1"/>
      <protection/>
    </xf>
    <xf numFmtId="3" fontId="9" fillId="4" borderId="10" xfId="113" applyNumberFormat="1" applyFont="1" applyFill="1" applyBorder="1" applyAlignment="1">
      <alignment horizontal="right" vertical="center" wrapText="1"/>
      <protection/>
    </xf>
    <xf numFmtId="0" fontId="8" fillId="0" borderId="19" xfId="113" applyFont="1" applyFill="1" applyBorder="1" applyAlignment="1">
      <alignment horizontal="center" vertical="center" wrapText="1"/>
      <protection/>
    </xf>
    <xf numFmtId="0" fontId="9" fillId="0" borderId="19" xfId="113" applyFont="1" applyFill="1" applyBorder="1" applyAlignment="1">
      <alignment vertical="center"/>
      <protection/>
    </xf>
    <xf numFmtId="3" fontId="8" fillId="0" borderId="19" xfId="113" applyNumberFormat="1" applyFont="1" applyFill="1" applyBorder="1" applyAlignment="1">
      <alignment horizontal="center" vertical="center" wrapText="1"/>
      <protection/>
    </xf>
    <xf numFmtId="3" fontId="9" fillId="0" borderId="19" xfId="113" applyNumberFormat="1" applyFont="1" applyFill="1" applyBorder="1" applyAlignment="1">
      <alignment horizontal="center" vertical="center" wrapText="1"/>
      <protection/>
    </xf>
    <xf numFmtId="10" fontId="20" fillId="0" borderId="19" xfId="140" applyNumberFormat="1" applyFont="1" applyFill="1" applyBorder="1" applyAlignment="1">
      <alignment horizontal="center" vertical="center" wrapText="1"/>
    </xf>
    <xf numFmtId="49" fontId="8" fillId="0" borderId="19" xfId="140" applyNumberFormat="1" applyFont="1" applyFill="1" applyBorder="1" applyAlignment="1">
      <alignment horizontal="center" vertical="center" wrapText="1"/>
    </xf>
    <xf numFmtId="3" fontId="8" fillId="0" borderId="19" xfId="113" applyNumberFormat="1" applyFont="1" applyBorder="1" applyAlignment="1">
      <alignment horizontal="center" vertical="center"/>
      <protection/>
    </xf>
    <xf numFmtId="0" fontId="8" fillId="0" borderId="16" xfId="113" applyFont="1" applyFill="1" applyBorder="1" applyAlignment="1">
      <alignment horizontal="center" vertical="center" wrapText="1"/>
      <protection/>
    </xf>
    <xf numFmtId="0" fontId="9" fillId="0" borderId="16" xfId="113" applyFont="1" applyFill="1" applyBorder="1" applyAlignment="1">
      <alignment vertical="center" wrapText="1"/>
      <protection/>
    </xf>
    <xf numFmtId="3" fontId="8" fillId="0" borderId="16" xfId="113" applyNumberFormat="1" applyFont="1" applyFill="1" applyBorder="1" applyAlignment="1">
      <alignment horizontal="center" vertical="center" wrapText="1"/>
      <protection/>
    </xf>
    <xf numFmtId="3" fontId="9" fillId="0" borderId="16" xfId="113" applyNumberFormat="1" applyFont="1" applyFill="1" applyBorder="1" applyAlignment="1">
      <alignment horizontal="center" vertical="center" wrapText="1"/>
      <protection/>
    </xf>
    <xf numFmtId="10" fontId="20" fillId="0" borderId="16" xfId="140" applyNumberFormat="1" applyFont="1" applyFill="1" applyBorder="1" applyAlignment="1">
      <alignment horizontal="center" vertical="center" wrapText="1"/>
    </xf>
    <xf numFmtId="49" fontId="8" fillId="0" borderId="16" xfId="140" applyNumberFormat="1" applyFont="1" applyFill="1" applyBorder="1" applyAlignment="1">
      <alignment horizontal="center" vertical="center" wrapText="1"/>
    </xf>
    <xf numFmtId="3" fontId="8" fillId="0" borderId="16" xfId="113" applyNumberFormat="1" applyFont="1" applyBorder="1" applyAlignment="1">
      <alignment horizontal="center" vertical="center"/>
      <protection/>
    </xf>
    <xf numFmtId="0" fontId="24" fillId="0" borderId="10" xfId="113" applyFont="1" applyFill="1" applyBorder="1" applyAlignment="1">
      <alignment vertical="center" wrapText="1"/>
      <protection/>
    </xf>
    <xf numFmtId="3" fontId="8" fillId="0" borderId="10" xfId="113" applyNumberFormat="1" applyFont="1" applyFill="1" applyBorder="1" applyAlignment="1">
      <alignment horizontal="right" vertical="center"/>
      <protection/>
    </xf>
    <xf numFmtId="0" fontId="8" fillId="0" borderId="10" xfId="113" applyFont="1" applyFill="1" applyBorder="1" applyAlignment="1">
      <alignment horizontal="center" vertical="center"/>
      <protection/>
    </xf>
    <xf numFmtId="3" fontId="8" fillId="4" borderId="10" xfId="113" applyNumberFormat="1" applyFont="1" applyFill="1" applyBorder="1">
      <alignment/>
      <protection/>
    </xf>
    <xf numFmtId="3" fontId="9" fillId="4" borderId="10" xfId="113" applyNumberFormat="1" applyFont="1" applyFill="1" applyBorder="1" applyAlignment="1">
      <alignment horizontal="center"/>
      <protection/>
    </xf>
    <xf numFmtId="3" fontId="9" fillId="4" borderId="10" xfId="113" applyNumberFormat="1" applyFont="1" applyFill="1" applyBorder="1" applyAlignment="1">
      <alignment horizontal="right" vertical="center"/>
      <protection/>
    </xf>
    <xf numFmtId="3" fontId="9" fillId="4" borderId="10" xfId="113" applyNumberFormat="1" applyFont="1" applyFill="1" applyBorder="1" applyAlignment="1">
      <alignment horizontal="center" vertical="center"/>
      <protection/>
    </xf>
    <xf numFmtId="3" fontId="8" fillId="0" borderId="0" xfId="113" applyNumberFormat="1" applyFont="1" applyFill="1" applyBorder="1">
      <alignment/>
      <protection/>
    </xf>
    <xf numFmtId="3" fontId="9" fillId="0" borderId="0" xfId="113" applyNumberFormat="1" applyFont="1" applyFill="1" applyBorder="1" applyAlignment="1">
      <alignment horizontal="center"/>
      <protection/>
    </xf>
    <xf numFmtId="3" fontId="9" fillId="0" borderId="0" xfId="113" applyNumberFormat="1" applyFont="1" applyFill="1" applyBorder="1" applyAlignment="1">
      <alignment horizontal="center" vertical="center"/>
      <protection/>
    </xf>
    <xf numFmtId="0" fontId="8" fillId="0" borderId="0" xfId="113" applyFont="1" applyFill="1">
      <alignment/>
      <protection/>
    </xf>
    <xf numFmtId="0" fontId="9" fillId="0" borderId="0" xfId="113" applyFont="1" applyFill="1">
      <alignment/>
      <protection/>
    </xf>
    <xf numFmtId="0" fontId="73" fillId="0" borderId="0" xfId="113" applyFont="1" applyFill="1">
      <alignment/>
      <protection/>
    </xf>
    <xf numFmtId="0" fontId="24" fillId="0" borderId="0" xfId="113" applyFont="1" applyFill="1">
      <alignment/>
      <protection/>
    </xf>
    <xf numFmtId="0" fontId="19" fillId="0" borderId="0" xfId="113" applyFill="1">
      <alignment/>
      <protection/>
    </xf>
    <xf numFmtId="0" fontId="74" fillId="0" borderId="0" xfId="113" applyFont="1">
      <alignment/>
      <protection/>
    </xf>
    <xf numFmtId="0" fontId="75" fillId="0" borderId="0" xfId="113" applyFont="1">
      <alignment/>
      <protection/>
    </xf>
    <xf numFmtId="0" fontId="8" fillId="0" borderId="12" xfId="98" applyFont="1" applyFill="1" applyBorder="1" applyAlignment="1">
      <alignment vertical="top" wrapText="1"/>
      <protection/>
    </xf>
    <xf numFmtId="3" fontId="0" fillId="0" borderId="10" xfId="0" applyNumberFormat="1" applyFont="1" applyBorder="1" applyAlignment="1" quotePrefix="1">
      <alignment horizontal="center"/>
    </xf>
    <xf numFmtId="3" fontId="9" fillId="0" borderId="0" xfId="113" applyNumberFormat="1" applyFont="1" applyFill="1" applyBorder="1" applyAlignment="1">
      <alignment horizontal="right" vertical="center"/>
      <protection/>
    </xf>
    <xf numFmtId="0" fontId="72" fillId="0" borderId="10" xfId="105" applyFont="1" applyFill="1" applyBorder="1" applyAlignment="1">
      <alignment horizontal="center" vertical="center" wrapText="1"/>
      <protection/>
    </xf>
    <xf numFmtId="3" fontId="72" fillId="0" borderId="0" xfId="105" applyNumberFormat="1" applyFont="1">
      <alignment/>
      <protection/>
    </xf>
    <xf numFmtId="0" fontId="19" fillId="0" borderId="10" xfId="105" applyFont="1" applyFill="1" applyBorder="1">
      <alignment/>
      <protection/>
    </xf>
    <xf numFmtId="3" fontId="19" fillId="0" borderId="10" xfId="105" applyNumberFormat="1" applyFill="1" applyBorder="1">
      <alignment/>
      <protection/>
    </xf>
    <xf numFmtId="14" fontId="19" fillId="0" borderId="10" xfId="105" applyNumberFormat="1" applyFont="1" applyBorder="1" applyAlignment="1">
      <alignment horizontal="left"/>
      <protection/>
    </xf>
    <xf numFmtId="0" fontId="3" fillId="4" borderId="40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0" fontId="65" fillId="4" borderId="10" xfId="0" applyFont="1" applyFill="1" applyBorder="1" applyAlignment="1">
      <alignment horizontal="center" vertical="center"/>
    </xf>
    <xf numFmtId="0" fontId="13" fillId="0" borderId="13" xfId="122" applyFont="1" applyFill="1" applyBorder="1" applyAlignment="1">
      <alignment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13" fillId="0" borderId="15" xfId="129" applyNumberFormat="1" applyFont="1" applyFill="1" applyBorder="1" applyAlignment="1">
      <alignment vertical="center"/>
      <protection/>
    </xf>
    <xf numFmtId="3" fontId="45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0" xfId="116">
      <alignment/>
      <protection/>
    </xf>
    <xf numFmtId="0" fontId="4" fillId="0" borderId="0" xfId="116" applyAlignment="1">
      <alignment vertical="center"/>
      <protection/>
    </xf>
    <xf numFmtId="0" fontId="4" fillId="0" borderId="0" xfId="116" applyAlignment="1">
      <alignment horizontal="center" vertical="center"/>
      <protection/>
    </xf>
    <xf numFmtId="0" fontId="4" fillId="0" borderId="0" xfId="116" applyAlignment="1">
      <alignment horizontal="center"/>
      <protection/>
    </xf>
    <xf numFmtId="164" fontId="19" fillId="0" borderId="10" xfId="119" applyNumberFormat="1" applyFont="1" applyBorder="1">
      <alignment/>
      <protection/>
    </xf>
    <xf numFmtId="0" fontId="78" fillId="4" borderId="20" xfId="122" applyFont="1" applyFill="1" applyBorder="1" applyAlignment="1">
      <alignment vertical="center"/>
      <protection/>
    </xf>
    <xf numFmtId="0" fontId="78" fillId="4" borderId="21" xfId="122" applyFont="1" applyFill="1" applyBorder="1" applyAlignment="1">
      <alignment vertical="center"/>
      <protection/>
    </xf>
    <xf numFmtId="0" fontId="9" fillId="4" borderId="21" xfId="122" applyFont="1" applyFill="1" applyBorder="1" applyAlignment="1">
      <alignment vertical="center"/>
      <protection/>
    </xf>
    <xf numFmtId="0" fontId="9" fillId="4" borderId="4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 wrapText="1"/>
      <protection/>
    </xf>
    <xf numFmtId="0" fontId="9" fillId="4" borderId="22" xfId="122" applyFont="1" applyFill="1" applyBorder="1" applyAlignment="1">
      <alignment horizontal="center" vertical="center"/>
      <protection/>
    </xf>
    <xf numFmtId="3" fontId="8" fillId="27" borderId="14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3" fontId="13" fillId="0" borderId="10" xfId="129" applyNumberFormat="1" applyFont="1" applyFill="1" applyBorder="1" applyAlignment="1">
      <alignment vertical="center" wrapText="1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7" applyFont="1" applyFill="1" applyBorder="1" applyAlignment="1">
      <alignment vertical="center" wrapText="1"/>
      <protection/>
    </xf>
    <xf numFmtId="3" fontId="9" fillId="4" borderId="10" xfId="68" applyNumberFormat="1" applyFont="1" applyFill="1" applyBorder="1" applyAlignment="1">
      <alignment vertical="center"/>
    </xf>
    <xf numFmtId="3" fontId="8" fillId="0" borderId="13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8" fillId="0" borderId="12" xfId="122" applyNumberFormat="1" applyFont="1" applyBorder="1" applyAlignment="1">
      <alignment vertical="center" wrapText="1"/>
      <protection/>
    </xf>
    <xf numFmtId="0" fontId="13" fillId="0" borderId="12" xfId="122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2" xfId="122" applyNumberFormat="1" applyFont="1" applyBorder="1" applyAlignment="1">
      <alignment vertical="center" wrapText="1"/>
      <protection/>
    </xf>
    <xf numFmtId="0" fontId="13" fillId="0" borderId="36" xfId="95" applyFont="1" applyFill="1" applyBorder="1" applyAlignment="1">
      <alignment horizontal="left" vertical="center" wrapText="1"/>
      <protection/>
    </xf>
    <xf numFmtId="0" fontId="8" fillId="0" borderId="12" xfId="97" applyFont="1" applyFill="1" applyBorder="1" applyAlignment="1">
      <alignment vertical="center" wrapText="1"/>
      <protection/>
    </xf>
    <xf numFmtId="3" fontId="8" fillId="0" borderId="14" xfId="122" applyNumberFormat="1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13" fillId="0" borderId="10" xfId="123" applyNumberFormat="1" applyFont="1" applyFill="1" applyBorder="1" applyAlignment="1">
      <alignment vertical="center" wrapText="1"/>
      <protection/>
    </xf>
    <xf numFmtId="3" fontId="9" fillId="0" borderId="10" xfId="68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left" vertical="center"/>
    </xf>
    <xf numFmtId="3" fontId="9" fillId="4" borderId="10" xfId="93" applyNumberFormat="1" applyFont="1" applyFill="1" applyBorder="1" applyAlignment="1">
      <alignment vertical="center" wrapText="1"/>
      <protection/>
    </xf>
    <xf numFmtId="3" fontId="21" fillId="0" borderId="0" xfId="0" applyNumberFormat="1" applyFont="1" applyAlignment="1">
      <alignment vertical="center"/>
    </xf>
    <xf numFmtId="3" fontId="16" fillId="4" borderId="10" xfId="129" applyNumberFormat="1" applyFont="1" applyFill="1" applyBorder="1" applyAlignment="1">
      <alignment horizontal="center" vertical="center" wrapText="1"/>
      <protection/>
    </xf>
    <xf numFmtId="3" fontId="12" fillId="0" borderId="16" xfId="129" applyNumberFormat="1" applyFont="1" applyFill="1" applyBorder="1" applyAlignment="1">
      <alignment vertical="center"/>
      <protection/>
    </xf>
    <xf numFmtId="3" fontId="12" fillId="0" borderId="14" xfId="129" applyNumberFormat="1" applyFont="1" applyFill="1" applyBorder="1" applyAlignment="1">
      <alignment horizontal="center" vertical="center" wrapText="1"/>
      <protection/>
    </xf>
    <xf numFmtId="3" fontId="13" fillId="0" borderId="40" xfId="129" applyNumberFormat="1" applyFont="1" applyFill="1" applyBorder="1" applyAlignment="1">
      <alignment vertical="center"/>
      <protection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4" borderId="10" xfId="129" applyNumberFormat="1" applyFont="1" applyFill="1" applyBorder="1" applyAlignment="1">
      <alignment horizontal="center" vertical="center" wrapText="1"/>
      <protection/>
    </xf>
    <xf numFmtId="3" fontId="12" fillId="4" borderId="15" xfId="129" applyNumberFormat="1" applyFont="1" applyFill="1" applyBorder="1" applyAlignment="1">
      <alignment vertical="center"/>
      <protection/>
    </xf>
    <xf numFmtId="3" fontId="13" fillId="4" borderId="16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29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4" fillId="0" borderId="12" xfId="93" applyFont="1" applyBorder="1" applyAlignment="1">
      <alignment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2" xfId="129" applyNumberFormat="1" applyFont="1" applyFill="1" applyBorder="1" applyAlignment="1">
      <alignment vertical="center" wrapText="1"/>
      <protection/>
    </xf>
    <xf numFmtId="3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4" borderId="12" xfId="93" applyFont="1" applyFill="1" applyBorder="1" applyAlignment="1">
      <alignment vertical="center"/>
      <protection/>
    </xf>
    <xf numFmtId="3" fontId="12" fillId="4" borderId="16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0" xfId="129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3" fontId="14" fillId="0" borderId="10" xfId="129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15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vertical="center"/>
    </xf>
    <xf numFmtId="3" fontId="13" fillId="24" borderId="16" xfId="0" applyNumberFormat="1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0" fontId="9" fillId="4" borderId="10" xfId="98" applyFont="1" applyFill="1" applyBorder="1" applyAlignment="1">
      <alignment horizontal="center"/>
      <protection/>
    </xf>
    <xf numFmtId="0" fontId="12" fillId="4" borderId="12" xfId="98" applyFont="1" applyFill="1" applyBorder="1" applyAlignment="1">
      <alignment vertical="center"/>
      <protection/>
    </xf>
    <xf numFmtId="0" fontId="65" fillId="4" borderId="16" xfId="0" applyFont="1" applyFill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2" fillId="4" borderId="15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4" borderId="45" xfId="0" applyNumberFormat="1" applyFont="1" applyFill="1" applyBorder="1" applyAlignment="1">
      <alignment horizontal="center" vertical="center" wrapText="1"/>
    </xf>
    <xf numFmtId="3" fontId="12" fillId="4" borderId="46" xfId="0" applyNumberFormat="1" applyFont="1" applyFill="1" applyBorder="1" applyAlignment="1">
      <alignment horizontal="center" vertical="center" wrapText="1"/>
    </xf>
    <xf numFmtId="3" fontId="12" fillId="4" borderId="47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vertical="center" wrapText="1"/>
    </xf>
    <xf numFmtId="3" fontId="12" fillId="0" borderId="48" xfId="0" applyNumberFormat="1" applyFont="1" applyBorder="1" applyAlignment="1">
      <alignment vertical="center" wrapText="1"/>
    </xf>
    <xf numFmtId="3" fontId="12" fillId="0" borderId="48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2" fillId="4" borderId="49" xfId="0" applyNumberFormat="1" applyFont="1" applyFill="1" applyBorder="1" applyAlignment="1">
      <alignment horizontal="left" vertical="center" wrapText="1"/>
    </xf>
    <xf numFmtId="3" fontId="12" fillId="4" borderId="50" xfId="0" applyNumberFormat="1" applyFont="1" applyFill="1" applyBorder="1" applyAlignment="1">
      <alignment vertical="center"/>
    </xf>
    <xf numFmtId="3" fontId="13" fillId="0" borderId="12" xfId="129" applyNumberFormat="1" applyFont="1" applyBorder="1" applyAlignment="1">
      <alignment horizontal="left" vertical="center"/>
      <protection/>
    </xf>
    <xf numFmtId="3" fontId="13" fillId="0" borderId="13" xfId="129" applyNumberFormat="1" applyFont="1" applyBorder="1" applyAlignment="1">
      <alignment horizontal="left" vertical="center"/>
      <protection/>
    </xf>
    <xf numFmtId="3" fontId="12" fillId="4" borderId="10" xfId="0" applyNumberFormat="1" applyFont="1" applyFill="1" applyBorder="1" applyAlignment="1">
      <alignment vertical="center" wrapText="1"/>
    </xf>
    <xf numFmtId="3" fontId="12" fillId="4" borderId="51" xfId="0" applyNumberFormat="1" applyFont="1" applyFill="1" applyBorder="1" applyAlignment="1">
      <alignment vertical="center" wrapText="1"/>
    </xf>
    <xf numFmtId="3" fontId="12" fillId="4" borderId="52" xfId="0" applyNumberFormat="1" applyFont="1" applyFill="1" applyBorder="1" applyAlignment="1">
      <alignment vertical="center"/>
    </xf>
    <xf numFmtId="3" fontId="12" fillId="4" borderId="52" xfId="0" applyNumberFormat="1" applyFont="1" applyFill="1" applyBorder="1" applyAlignment="1">
      <alignment vertical="center" wrapText="1"/>
    </xf>
    <xf numFmtId="3" fontId="12" fillId="4" borderId="53" xfId="0" applyNumberFormat="1" applyFont="1" applyFill="1" applyBorder="1" applyAlignment="1">
      <alignment vertical="center" wrapText="1"/>
    </xf>
    <xf numFmtId="3" fontId="12" fillId="4" borderId="54" xfId="0" applyNumberFormat="1" applyFont="1" applyFill="1" applyBorder="1" applyAlignment="1">
      <alignment vertical="center"/>
    </xf>
    <xf numFmtId="3" fontId="12" fillId="4" borderId="54" xfId="0" applyNumberFormat="1" applyFont="1" applyFill="1" applyBorder="1" applyAlignment="1">
      <alignment vertical="center" wrapText="1"/>
    </xf>
    <xf numFmtId="3" fontId="13" fillId="0" borderId="12" xfId="129" applyNumberFormat="1" applyFont="1" applyFill="1" applyBorder="1" applyAlignment="1">
      <alignment vertical="center"/>
      <protection/>
    </xf>
    <xf numFmtId="3" fontId="13" fillId="0" borderId="13" xfId="129" applyNumberFormat="1" applyFont="1" applyFill="1" applyBorder="1" applyAlignment="1">
      <alignment vertical="center"/>
      <protection/>
    </xf>
    <xf numFmtId="3" fontId="8" fillId="0" borderId="12" xfId="98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/>
    </xf>
    <xf numFmtId="3" fontId="13" fillId="0" borderId="12" xfId="129" applyNumberFormat="1" applyFont="1" applyFill="1" applyBorder="1" applyAlignment="1">
      <alignment horizontal="left" vertical="center" wrapText="1"/>
      <protection/>
    </xf>
    <xf numFmtId="3" fontId="13" fillId="0" borderId="13" xfId="129" applyNumberFormat="1" applyFont="1" applyFill="1" applyBorder="1" applyAlignment="1">
      <alignment horizontal="left" vertical="center" wrapText="1"/>
      <protection/>
    </xf>
    <xf numFmtId="3" fontId="13" fillId="0" borderId="12" xfId="0" applyNumberFormat="1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horizontal="left" vertical="center"/>
    </xf>
    <xf numFmtId="3" fontId="9" fillId="4" borderId="45" xfId="0" applyNumberFormat="1" applyFont="1" applyFill="1" applyBorder="1" applyAlignment="1">
      <alignment horizontal="center" vertical="center" wrapText="1"/>
    </xf>
    <xf numFmtId="3" fontId="9" fillId="4" borderId="11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/>
    </xf>
    <xf numFmtId="3" fontId="9" fillId="4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Fill="1" applyBorder="1" applyAlignment="1">
      <alignment horizontal="right" vertical="center" wrapText="1"/>
    </xf>
    <xf numFmtId="3" fontId="8" fillId="0" borderId="55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vertical="center" wrapText="1"/>
    </xf>
    <xf numFmtId="0" fontId="13" fillId="25" borderId="56" xfId="104" applyFont="1" applyFill="1" applyBorder="1" applyAlignment="1">
      <alignment vertical="center"/>
      <protection/>
    </xf>
    <xf numFmtId="0" fontId="12" fillId="25" borderId="57" xfId="104" applyFont="1" applyFill="1" applyBorder="1" applyAlignment="1">
      <alignment horizontal="center" vertical="top"/>
      <protection/>
    </xf>
    <xf numFmtId="3" fontId="12" fillId="25" borderId="58" xfId="104" applyNumberFormat="1" applyFont="1" applyFill="1" applyBorder="1" applyAlignment="1">
      <alignment horizontal="center" vertical="center" wrapText="1"/>
      <protection/>
    </xf>
    <xf numFmtId="3" fontId="8" fillId="0" borderId="13" xfId="0" applyNumberFormat="1" applyFont="1" applyFill="1" applyBorder="1" applyAlignment="1">
      <alignment vertical="center" wrapText="1"/>
    </xf>
    <xf numFmtId="3" fontId="13" fillId="0" borderId="12" xfId="129" applyNumberFormat="1" applyFont="1" applyFill="1" applyBorder="1" applyAlignment="1">
      <alignment horizontal="left" vertical="center"/>
      <protection/>
    </xf>
    <xf numFmtId="3" fontId="13" fillId="0" borderId="13" xfId="129" applyNumberFormat="1" applyFont="1" applyFill="1" applyBorder="1" applyAlignment="1">
      <alignment horizontal="left" vertical="center"/>
      <protection/>
    </xf>
    <xf numFmtId="3" fontId="12" fillId="25" borderId="59" xfId="104" applyNumberFormat="1" applyFont="1" applyFill="1" applyBorder="1" applyAlignment="1">
      <alignment horizontal="center" vertical="center" wrapText="1"/>
      <protection/>
    </xf>
    <xf numFmtId="3" fontId="12" fillId="25" borderId="60" xfId="104" applyNumberFormat="1" applyFont="1" applyFill="1" applyBorder="1" applyAlignment="1">
      <alignment horizontal="center" vertical="center" wrapText="1"/>
      <protection/>
    </xf>
    <xf numFmtId="3" fontId="12" fillId="25" borderId="10" xfId="104" applyNumberFormat="1" applyFont="1" applyFill="1" applyBorder="1" applyAlignment="1">
      <alignment horizontal="center" vertical="center" wrapText="1"/>
      <protection/>
    </xf>
    <xf numFmtId="0" fontId="15" fillId="0" borderId="27" xfId="104" applyFont="1" applyBorder="1" applyAlignment="1">
      <alignment vertical="center"/>
      <protection/>
    </xf>
    <xf numFmtId="3" fontId="13" fillId="0" borderId="27" xfId="104" applyNumberFormat="1" applyFont="1" applyFill="1" applyBorder="1" applyAlignment="1">
      <alignment vertical="center"/>
      <protection/>
    </xf>
    <xf numFmtId="3" fontId="13" fillId="0" borderId="61" xfId="104" applyNumberFormat="1" applyFont="1" applyFill="1" applyBorder="1" applyAlignment="1">
      <alignment vertical="center"/>
      <protection/>
    </xf>
    <xf numFmtId="3" fontId="13" fillId="0" borderId="62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/>
      <protection/>
    </xf>
    <xf numFmtId="4" fontId="13" fillId="0" borderId="27" xfId="104" applyNumberFormat="1" applyFont="1" applyFill="1" applyBorder="1" applyAlignment="1">
      <alignment vertical="center"/>
      <protection/>
    </xf>
    <xf numFmtId="0" fontId="13" fillId="0" borderId="27" xfId="104" applyFont="1" applyBorder="1" applyAlignment="1">
      <alignment vertical="center" wrapText="1"/>
      <protection/>
    </xf>
    <xf numFmtId="165" fontId="13" fillId="0" borderId="27" xfId="104" applyNumberFormat="1" applyFont="1" applyFill="1" applyBorder="1" applyAlignment="1">
      <alignment vertical="center"/>
      <protection/>
    </xf>
    <xf numFmtId="49" fontId="13" fillId="0" borderId="27" xfId="104" applyNumberFormat="1" applyFont="1" applyBorder="1" applyAlignment="1">
      <alignment vertical="center" wrapText="1"/>
      <protection/>
    </xf>
    <xf numFmtId="3" fontId="25" fillId="0" borderId="27" xfId="104" applyNumberFormat="1" applyFont="1" applyFill="1" applyBorder="1" applyAlignment="1">
      <alignment vertical="center"/>
      <protection/>
    </xf>
    <xf numFmtId="166" fontId="13" fillId="0" borderId="27" xfId="104" applyNumberFormat="1" applyFont="1" applyFill="1" applyBorder="1" applyAlignment="1">
      <alignment vertical="center"/>
      <protection/>
    </xf>
    <xf numFmtId="3" fontId="13" fillId="0" borderId="27" xfId="104" applyNumberFormat="1" applyFont="1" applyBorder="1" applyAlignment="1">
      <alignment vertical="center"/>
      <protection/>
    </xf>
    <xf numFmtId="3" fontId="13" fillId="0" borderId="27" xfId="104" applyNumberFormat="1" applyFont="1" applyBorder="1" applyAlignment="1">
      <alignment horizontal="right" vertical="center"/>
      <protection/>
    </xf>
    <xf numFmtId="0" fontId="13" fillId="0" borderId="27" xfId="104" applyFont="1" applyFill="1" applyBorder="1" applyAlignment="1">
      <alignment vertical="center"/>
      <protection/>
    </xf>
    <xf numFmtId="165" fontId="13" fillId="0" borderId="27" xfId="104" applyNumberFormat="1" applyFont="1" applyBorder="1" applyAlignment="1">
      <alignment vertical="center"/>
      <protection/>
    </xf>
    <xf numFmtId="0" fontId="15" fillId="0" borderId="63" xfId="104" applyFont="1" applyBorder="1" applyAlignment="1">
      <alignment vertical="center"/>
      <protection/>
    </xf>
    <xf numFmtId="0" fontId="13" fillId="0" borderId="63" xfId="104" applyFont="1" applyBorder="1" applyAlignment="1">
      <alignment vertical="center"/>
      <protection/>
    </xf>
    <xf numFmtId="0" fontId="15" fillId="0" borderId="27" xfId="104" applyFont="1" applyBorder="1" applyAlignment="1">
      <alignment vertical="center" wrapText="1"/>
      <protection/>
    </xf>
    <xf numFmtId="3" fontId="13" fillId="0" borderId="27" xfId="104" applyNumberFormat="1" applyFont="1" applyFill="1" applyBorder="1" applyAlignment="1">
      <alignment horizontal="right" vertical="center"/>
      <protection/>
    </xf>
    <xf numFmtId="3" fontId="76" fillId="0" borderId="27" xfId="104" applyNumberFormat="1" applyFont="1" applyBorder="1" applyAlignment="1">
      <alignment vertical="center"/>
      <protection/>
    </xf>
    <xf numFmtId="0" fontId="15" fillId="0" borderId="27" xfId="104" applyFont="1" applyFill="1" applyBorder="1" applyAlignment="1">
      <alignment vertical="center"/>
      <protection/>
    </xf>
    <xf numFmtId="0" fontId="12" fillId="25" borderId="27" xfId="104" applyFont="1" applyFill="1" applyBorder="1" applyAlignment="1">
      <alignment vertical="center"/>
      <protection/>
    </xf>
    <xf numFmtId="3" fontId="12" fillId="25" borderId="27" xfId="104" applyNumberFormat="1" applyFont="1" applyFill="1" applyBorder="1" applyAlignment="1">
      <alignment vertical="center"/>
      <protection/>
    </xf>
    <xf numFmtId="3" fontId="12" fillId="25" borderId="61" xfId="104" applyNumberFormat="1" applyFont="1" applyFill="1" applyBorder="1" applyAlignment="1">
      <alignment vertical="center"/>
      <protection/>
    </xf>
    <xf numFmtId="3" fontId="9" fillId="28" borderId="11" xfId="129" applyNumberFormat="1" applyFont="1" applyFill="1" applyBorder="1" applyAlignment="1">
      <alignment horizontal="center" vertical="center" wrapText="1"/>
      <protection/>
    </xf>
    <xf numFmtId="3" fontId="20" fillId="4" borderId="10" xfId="129" applyNumberFormat="1" applyFont="1" applyFill="1" applyBorder="1" applyAlignment="1">
      <alignment horizontal="center" vertical="center" wrapText="1"/>
      <protection/>
    </xf>
    <xf numFmtId="3" fontId="20" fillId="4" borderId="48" xfId="129" applyNumberFormat="1" applyFont="1" applyFill="1" applyBorder="1" applyAlignment="1">
      <alignment horizontal="center" vertical="center" wrapText="1"/>
      <protection/>
    </xf>
    <xf numFmtId="3" fontId="9" fillId="0" borderId="49" xfId="129" applyNumberFormat="1" applyFont="1" applyFill="1" applyBorder="1" applyAlignment="1">
      <alignment horizontal="center" vertical="center" wrapText="1"/>
      <protection/>
    </xf>
    <xf numFmtId="3" fontId="9" fillId="0" borderId="49" xfId="129" applyNumberFormat="1" applyFont="1" applyFill="1" applyBorder="1" applyAlignment="1">
      <alignment horizontal="left" vertical="center" wrapText="1"/>
      <protection/>
    </xf>
    <xf numFmtId="3" fontId="14" fillId="0" borderId="10" xfId="129" applyNumberFormat="1" applyFont="1" applyBorder="1" applyAlignment="1">
      <alignment vertical="center"/>
      <protection/>
    </xf>
    <xf numFmtId="3" fontId="8" fillId="0" borderId="10" xfId="129" applyNumberFormat="1" applyFont="1" applyFill="1" applyBorder="1" applyAlignment="1">
      <alignment horizontal="center" vertical="center" wrapText="1"/>
      <protection/>
    </xf>
    <xf numFmtId="3" fontId="8" fillId="0" borderId="10" xfId="129" applyNumberFormat="1" applyFont="1" applyFill="1" applyBorder="1" applyAlignment="1">
      <alignment horizontal="left" vertical="center" wrapText="1"/>
      <protection/>
    </xf>
    <xf numFmtId="3" fontId="8" fillId="0" borderId="10" xfId="129" applyNumberFormat="1" applyFont="1" applyFill="1" applyBorder="1" applyAlignment="1">
      <alignment vertical="center" wrapText="1"/>
      <protection/>
    </xf>
    <xf numFmtId="3" fontId="13" fillId="0" borderId="10" xfId="129" applyNumberFormat="1" applyFont="1" applyFill="1" applyBorder="1" applyAlignment="1">
      <alignment vertical="center"/>
      <protection/>
    </xf>
    <xf numFmtId="3" fontId="8" fillId="0" borderId="10" xfId="129" applyNumberFormat="1" applyFont="1" applyBorder="1" applyAlignment="1">
      <alignment horizontal="left" vertical="center" wrapText="1"/>
      <protection/>
    </xf>
    <xf numFmtId="3" fontId="8" fillId="0" borderId="10" xfId="129" applyNumberFormat="1" applyFont="1" applyBorder="1" applyAlignment="1">
      <alignment vertical="center"/>
      <protection/>
    </xf>
    <xf numFmtId="3" fontId="13" fillId="0" borderId="10" xfId="129" applyNumberFormat="1" applyFont="1" applyBorder="1" applyAlignment="1">
      <alignment vertical="center"/>
      <protection/>
    </xf>
    <xf numFmtId="3" fontId="8" fillId="0" borderId="10" xfId="129" applyNumberFormat="1" applyFont="1" applyBorder="1" applyAlignment="1">
      <alignment horizontal="left" vertical="center"/>
      <protection/>
    </xf>
    <xf numFmtId="3" fontId="8" fillId="0" borderId="10" xfId="129" applyNumberFormat="1" applyFont="1" applyFill="1" applyBorder="1" applyAlignment="1">
      <alignment vertical="center"/>
      <protection/>
    </xf>
    <xf numFmtId="3" fontId="9" fillId="0" borderId="10" xfId="129" applyNumberFormat="1" applyFont="1" applyFill="1" applyBorder="1" applyAlignment="1">
      <alignment horizontal="left" vertical="center" wrapText="1"/>
      <protection/>
    </xf>
    <xf numFmtId="3" fontId="9" fillId="0" borderId="10" xfId="129" applyNumberFormat="1" applyFont="1" applyBorder="1" applyAlignment="1">
      <alignment vertical="center"/>
      <protection/>
    </xf>
    <xf numFmtId="3" fontId="8" fillId="0" borderId="10" xfId="129" applyNumberFormat="1" applyFont="1" applyBorder="1" applyAlignment="1">
      <alignment horizontal="center" vertical="center"/>
      <protection/>
    </xf>
    <xf numFmtId="3" fontId="9" fillId="0" borderId="10" xfId="129" applyNumberFormat="1" applyFont="1" applyBorder="1" applyAlignment="1">
      <alignment horizontal="left" vertical="center" wrapText="1"/>
      <protection/>
    </xf>
    <xf numFmtId="3" fontId="9" fillId="0" borderId="10" xfId="129" applyNumberFormat="1" applyFont="1" applyFill="1" applyBorder="1" applyAlignment="1">
      <alignment vertical="center"/>
      <protection/>
    </xf>
    <xf numFmtId="3" fontId="12" fillId="0" borderId="10" xfId="129" applyNumberFormat="1" applyFont="1" applyBorder="1" applyAlignment="1">
      <alignment vertical="center"/>
      <protection/>
    </xf>
    <xf numFmtId="3" fontId="8" fillId="4" borderId="10" xfId="129" applyNumberFormat="1" applyFont="1" applyFill="1" applyBorder="1" applyAlignment="1">
      <alignment horizontal="center" vertical="center"/>
      <protection/>
    </xf>
    <xf numFmtId="3" fontId="9" fillId="4" borderId="10" xfId="129" applyNumberFormat="1" applyFont="1" applyFill="1" applyBorder="1" applyAlignment="1">
      <alignment horizontal="left" vertical="center" wrapText="1"/>
      <protection/>
    </xf>
    <xf numFmtId="3" fontId="9" fillId="4" borderId="10" xfId="129" applyNumberFormat="1" applyFont="1" applyFill="1" applyBorder="1" applyAlignment="1">
      <alignment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0" fillId="4" borderId="10" xfId="122" applyFont="1" applyFill="1" applyBorder="1" applyAlignment="1">
      <alignment horizontal="center" vertical="center" wrapText="1"/>
      <protection/>
    </xf>
    <xf numFmtId="0" fontId="13" fillId="0" borderId="50" xfId="93" applyFont="1" applyBorder="1" applyAlignment="1">
      <alignment horizontal="center" vertical="center"/>
      <protection/>
    </xf>
    <xf numFmtId="0" fontId="13" fillId="0" borderId="50" xfId="93" applyFont="1" applyBorder="1" applyAlignment="1">
      <alignment vertical="center"/>
      <protection/>
    </xf>
    <xf numFmtId="0" fontId="13" fillId="0" borderId="10" xfId="93" applyFont="1" applyBorder="1" applyAlignment="1">
      <alignment horizontal="center" vertical="center"/>
      <protection/>
    </xf>
    <xf numFmtId="0" fontId="13" fillId="0" borderId="10" xfId="93" applyFont="1" applyBorder="1" applyAlignment="1">
      <alignment vertical="center"/>
      <protection/>
    </xf>
    <xf numFmtId="3" fontId="13" fillId="0" borderId="10" xfId="93" applyNumberFormat="1" applyFont="1" applyBorder="1" applyAlignment="1">
      <alignment vertical="center"/>
      <protection/>
    </xf>
    <xf numFmtId="3" fontId="13" fillId="0" borderId="64" xfId="0" applyNumberFormat="1" applyFont="1" applyFill="1" applyBorder="1" applyAlignment="1">
      <alignment vertical="center"/>
    </xf>
    <xf numFmtId="0" fontId="12" fillId="4" borderId="10" xfId="93" applyFont="1" applyFill="1" applyBorder="1" applyAlignment="1">
      <alignment horizontal="center" vertical="center"/>
      <protection/>
    </xf>
    <xf numFmtId="0" fontId="12" fillId="4" borderId="10" xfId="93" applyFont="1" applyFill="1" applyBorder="1" applyAlignment="1">
      <alignment vertical="center" wrapText="1"/>
      <protection/>
    </xf>
    <xf numFmtId="3" fontId="12" fillId="4" borderId="10" xfId="93" applyNumberFormat="1" applyFont="1" applyFill="1" applyBorder="1" applyAlignment="1">
      <alignment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12" fillId="4" borderId="10" xfId="93" applyFont="1" applyFill="1" applyBorder="1" applyAlignment="1">
      <alignment vertical="center"/>
      <protection/>
    </xf>
    <xf numFmtId="0" fontId="12" fillId="4" borderId="65" xfId="0" applyFont="1" applyFill="1" applyBorder="1" applyAlignment="1">
      <alignment/>
    </xf>
    <xf numFmtId="0" fontId="12" fillId="4" borderId="66" xfId="0" applyFont="1" applyFill="1" applyBorder="1" applyAlignment="1">
      <alignment/>
    </xf>
    <xf numFmtId="0" fontId="12" fillId="4" borderId="67" xfId="0" applyFont="1" applyFill="1" applyBorder="1" applyAlignment="1">
      <alignment/>
    </xf>
    <xf numFmtId="3" fontId="12" fillId="4" borderId="68" xfId="129" applyNumberFormat="1" applyFont="1" applyFill="1" applyBorder="1" applyAlignment="1">
      <alignment horizontal="center" vertical="top" wrapText="1"/>
      <protection/>
    </xf>
    <xf numFmtId="3" fontId="12" fillId="4" borderId="69" xfId="129" applyNumberFormat="1" applyFont="1" applyFill="1" applyBorder="1" applyAlignment="1">
      <alignment horizontal="center" vertical="top" wrapText="1"/>
      <protection/>
    </xf>
    <xf numFmtId="3" fontId="12" fillId="4" borderId="69" xfId="129" applyNumberFormat="1" applyFont="1" applyFill="1" applyBorder="1" applyAlignment="1">
      <alignment horizontal="center" vertical="center" wrapText="1"/>
      <protection/>
    </xf>
    <xf numFmtId="3" fontId="12" fillId="4" borderId="70" xfId="129" applyNumberFormat="1" applyFont="1" applyFill="1" applyBorder="1" applyAlignment="1">
      <alignment horizontal="center" vertical="center" wrapText="1"/>
      <protection/>
    </xf>
    <xf numFmtId="3" fontId="13" fillId="0" borderId="10" xfId="129" applyNumberFormat="1" applyFont="1" applyFill="1" applyBorder="1" applyAlignment="1">
      <alignment horizontal="center" vertical="center" wrapText="1"/>
      <protection/>
    </xf>
    <xf numFmtId="0" fontId="13" fillId="0" borderId="10" xfId="94" applyFont="1" applyBorder="1" applyAlignment="1">
      <alignment vertical="center"/>
      <protection/>
    </xf>
    <xf numFmtId="3" fontId="12" fillId="0" borderId="10" xfId="129" applyNumberFormat="1" applyFont="1" applyFill="1" applyBorder="1" applyAlignment="1">
      <alignment horizontal="center" vertical="center" wrapText="1"/>
      <protection/>
    </xf>
    <xf numFmtId="3" fontId="13" fillId="0" borderId="71" xfId="129" applyNumberFormat="1" applyFont="1" applyFill="1" applyBorder="1" applyAlignment="1">
      <alignment vertical="center"/>
      <protection/>
    </xf>
    <xf numFmtId="3" fontId="13" fillId="0" borderId="10" xfId="129" applyNumberFormat="1" applyFont="1" applyBorder="1" applyAlignment="1">
      <alignment horizontal="center" vertical="center"/>
      <protection/>
    </xf>
    <xf numFmtId="3" fontId="13" fillId="0" borderId="10" xfId="129" applyNumberFormat="1" applyFont="1" applyBorder="1" applyAlignment="1">
      <alignment horizontal="right" vertical="center"/>
      <protection/>
    </xf>
    <xf numFmtId="3" fontId="13" fillId="0" borderId="10" xfId="129" applyNumberFormat="1" applyFont="1" applyBorder="1" applyAlignment="1">
      <alignment horizontal="left" vertical="center"/>
      <protection/>
    </xf>
    <xf numFmtId="3" fontId="13" fillId="0" borderId="10" xfId="129" applyNumberFormat="1" applyFont="1" applyBorder="1" applyAlignment="1">
      <alignment horizontal="left" vertical="center" wrapText="1"/>
      <protection/>
    </xf>
    <xf numFmtId="3" fontId="13" fillId="4" borderId="10" xfId="129" applyNumberFormat="1" applyFont="1" applyFill="1" applyBorder="1" applyAlignment="1">
      <alignment horizontal="center" vertical="center"/>
      <protection/>
    </xf>
    <xf numFmtId="0" fontId="12" fillId="4" borderId="10" xfId="94" applyFont="1" applyFill="1" applyBorder="1" applyAlignment="1">
      <alignment vertical="center" wrapText="1"/>
      <protection/>
    </xf>
    <xf numFmtId="3" fontId="12" fillId="4" borderId="10" xfId="129" applyNumberFormat="1" applyFont="1" applyFill="1" applyBorder="1" applyAlignment="1">
      <alignment horizontal="right" vertical="center"/>
      <protection/>
    </xf>
    <xf numFmtId="3" fontId="13" fillId="0" borderId="10" xfId="129" applyNumberFormat="1" applyFont="1" applyFill="1" applyBorder="1" applyAlignment="1">
      <alignment horizontal="center" vertical="center"/>
      <protection/>
    </xf>
    <xf numFmtId="3" fontId="12" fillId="0" borderId="10" xfId="129" applyNumberFormat="1" applyFont="1" applyFill="1" applyBorder="1" applyAlignment="1">
      <alignment horizontal="center" vertical="center"/>
      <protection/>
    </xf>
    <xf numFmtId="0" fontId="13" fillId="0" borderId="10" xfId="94" applyFont="1" applyFill="1" applyBorder="1" applyAlignment="1">
      <alignment vertical="center"/>
      <protection/>
    </xf>
    <xf numFmtId="3" fontId="12" fillId="4" borderId="10" xfId="129" applyNumberFormat="1" applyFont="1" applyFill="1" applyBorder="1" applyAlignment="1">
      <alignment vertical="center"/>
      <protection/>
    </xf>
    <xf numFmtId="0" fontId="9" fillId="25" borderId="58" xfId="103" applyFont="1" applyFill="1" applyBorder="1" applyAlignment="1">
      <alignment horizontal="center" vertical="center" wrapText="1"/>
      <protection/>
    </xf>
    <xf numFmtId="0" fontId="9" fillId="25" borderId="58" xfId="103" applyFont="1" applyFill="1" applyBorder="1" applyAlignment="1">
      <alignment horizontal="center" vertical="center" wrapText="1"/>
      <protection/>
    </xf>
    <xf numFmtId="0" fontId="8" fillId="0" borderId="27" xfId="103" applyFont="1" applyFill="1" applyBorder="1" applyAlignment="1">
      <alignment horizontal="center" vertical="top" wrapText="1"/>
      <protection/>
    </xf>
    <xf numFmtId="0" fontId="8" fillId="0" borderId="63" xfId="103" applyFont="1" applyFill="1" applyBorder="1" applyAlignment="1">
      <alignment vertical="top" wrapText="1"/>
      <protection/>
    </xf>
    <xf numFmtId="0" fontId="9" fillId="0" borderId="72" xfId="103" applyFont="1" applyFill="1" applyBorder="1" applyAlignment="1">
      <alignment horizontal="left" vertical="top"/>
      <protection/>
    </xf>
    <xf numFmtId="0" fontId="9" fillId="0" borderId="73" xfId="103" applyFont="1" applyFill="1" applyBorder="1" applyAlignment="1">
      <alignment horizontal="left" vertical="top"/>
      <protection/>
    </xf>
    <xf numFmtId="3" fontId="8" fillId="0" borderId="73" xfId="103" applyNumberFormat="1" applyFont="1" applyFill="1" applyBorder="1" applyAlignment="1">
      <alignment horizontal="left" vertical="center" wrapText="1"/>
      <protection/>
    </xf>
    <xf numFmtId="3" fontId="8" fillId="0" borderId="63" xfId="103" applyNumberFormat="1" applyFont="1" applyFill="1" applyBorder="1" applyAlignment="1">
      <alignment horizontal="left" vertical="center" wrapText="1"/>
      <protection/>
    </xf>
    <xf numFmtId="3" fontId="8" fillId="0" borderId="63" xfId="103" applyNumberFormat="1" applyFont="1" applyBorder="1">
      <alignment/>
      <protection/>
    </xf>
    <xf numFmtId="3" fontId="13" fillId="0" borderId="27" xfId="130" applyNumberFormat="1" applyFont="1" applyFill="1" applyBorder="1" applyAlignment="1">
      <alignment horizontal="center" vertical="center"/>
      <protection/>
    </xf>
    <xf numFmtId="0" fontId="13" fillId="0" borderId="27" xfId="96" applyFont="1" applyBorder="1" applyAlignment="1">
      <alignment vertical="center"/>
      <protection/>
    </xf>
    <xf numFmtId="0" fontId="13" fillId="0" borderId="61" xfId="96" applyFont="1" applyBorder="1" applyAlignment="1">
      <alignment vertical="center"/>
      <protection/>
    </xf>
    <xf numFmtId="0" fontId="9" fillId="0" borderId="74" xfId="103" applyFont="1" applyFill="1" applyBorder="1" applyAlignment="1">
      <alignment horizontal="left" vertical="top"/>
      <protection/>
    </xf>
    <xf numFmtId="3" fontId="8" fillId="0" borderId="74" xfId="103" applyNumberFormat="1" applyFont="1" applyFill="1" applyBorder="1" applyAlignment="1">
      <alignment horizontal="left" vertical="center" wrapText="1"/>
      <protection/>
    </xf>
    <xf numFmtId="3" fontId="8" fillId="0" borderId="27" xfId="103" applyNumberFormat="1" applyFont="1" applyFill="1" applyBorder="1" applyAlignment="1">
      <alignment horizontal="left" vertical="center" wrapText="1"/>
      <protection/>
    </xf>
    <xf numFmtId="3" fontId="8" fillId="0" borderId="27" xfId="103" applyNumberFormat="1" applyFont="1" applyBorder="1">
      <alignment/>
      <protection/>
    </xf>
    <xf numFmtId="0" fontId="8" fillId="0" borderId="27" xfId="103" applyFont="1" applyFill="1" applyBorder="1" applyAlignment="1">
      <alignment vertical="top" wrapText="1"/>
      <protection/>
    </xf>
    <xf numFmtId="3" fontId="13" fillId="0" borderId="61" xfId="107" applyNumberFormat="1" applyFont="1" applyFill="1" applyBorder="1" applyAlignment="1">
      <alignment vertical="center" wrapText="1"/>
      <protection/>
    </xf>
    <xf numFmtId="3" fontId="13" fillId="0" borderId="75" xfId="120" applyNumberFormat="1" applyFont="1" applyFill="1" applyBorder="1" applyAlignment="1">
      <alignment horizontal="left" vertical="center"/>
      <protection/>
    </xf>
    <xf numFmtId="3" fontId="13" fillId="0" borderId="27" xfId="120" applyNumberFormat="1" applyFont="1" applyFill="1" applyBorder="1" applyAlignment="1">
      <alignment horizontal="left" vertical="center"/>
      <protection/>
    </xf>
    <xf numFmtId="3" fontId="8" fillId="0" borderId="27" xfId="103" applyNumberFormat="1" applyFont="1" applyFill="1" applyBorder="1" applyAlignment="1">
      <alignment horizontal="right" vertical="center" wrapText="1"/>
      <protection/>
    </xf>
    <xf numFmtId="3" fontId="13" fillId="0" borderId="72" xfId="107" applyNumberFormat="1" applyFont="1" applyFill="1" applyBorder="1" applyAlignment="1">
      <alignment vertical="center" wrapText="1"/>
      <protection/>
    </xf>
    <xf numFmtId="0" fontId="0" fillId="0" borderId="73" xfId="120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 vertical="top" wrapText="1"/>
      <protection/>
    </xf>
    <xf numFmtId="0" fontId="8" fillId="25" borderId="27" xfId="103" applyFont="1" applyFill="1" applyBorder="1" applyAlignment="1">
      <alignment vertical="top" wrapText="1"/>
      <protection/>
    </xf>
    <xf numFmtId="0" fontId="9" fillId="25" borderId="61" xfId="103" applyFont="1" applyFill="1" applyBorder="1" applyAlignment="1">
      <alignment horizontal="left" vertical="top"/>
      <protection/>
    </xf>
    <xf numFmtId="0" fontId="9" fillId="25" borderId="74" xfId="103" applyFont="1" applyFill="1" applyBorder="1" applyAlignment="1">
      <alignment horizontal="left" vertical="top"/>
      <protection/>
    </xf>
    <xf numFmtId="3" fontId="9" fillId="25" borderId="74" xfId="103" applyNumberFormat="1" applyFont="1" applyFill="1" applyBorder="1" applyAlignment="1">
      <alignment horizontal="left" vertical="center" wrapText="1"/>
      <protection/>
    </xf>
    <xf numFmtId="3" fontId="9" fillId="25" borderId="27" xfId="103" applyNumberFormat="1" applyFont="1" applyFill="1" applyBorder="1" applyAlignment="1">
      <alignment horizontal="right" vertical="center" wrapText="1"/>
      <protection/>
    </xf>
    <xf numFmtId="0" fontId="8" fillId="26" borderId="27" xfId="103" applyFont="1" applyFill="1" applyBorder="1" applyAlignment="1">
      <alignment horizontal="center"/>
      <protection/>
    </xf>
    <xf numFmtId="0" fontId="8" fillId="26" borderId="27" xfId="103" applyFont="1" applyFill="1" applyBorder="1" applyAlignment="1">
      <alignment horizontal="center" vertical="center"/>
      <protection/>
    </xf>
    <xf numFmtId="0" fontId="8" fillId="0" borderId="61" xfId="96" applyFont="1" applyBorder="1" applyAlignment="1">
      <alignment vertical="center"/>
      <protection/>
    </xf>
    <xf numFmtId="0" fontId="9" fillId="26" borderId="74" xfId="103" applyFont="1" applyFill="1" applyBorder="1" applyAlignment="1">
      <alignment vertical="center"/>
      <protection/>
    </xf>
    <xf numFmtId="3" fontId="8" fillId="26" borderId="27" xfId="103" applyNumberFormat="1" applyFont="1" applyFill="1" applyBorder="1" applyAlignment="1">
      <alignment vertical="center"/>
      <protection/>
    </xf>
    <xf numFmtId="0" fontId="8" fillId="26" borderId="76" xfId="103" applyFont="1" applyFill="1" applyBorder="1" applyAlignment="1">
      <alignment horizontal="center"/>
      <protection/>
    </xf>
    <xf numFmtId="0" fontId="8" fillId="26" borderId="77" xfId="103" applyFont="1" applyFill="1" applyBorder="1" applyAlignment="1">
      <alignment horizontal="center"/>
      <protection/>
    </xf>
    <xf numFmtId="0" fontId="14" fillId="0" borderId="27" xfId="128" applyFont="1" applyFill="1" applyBorder="1" applyAlignment="1">
      <alignment horizontal="center" vertical="center"/>
      <protection/>
    </xf>
    <xf numFmtId="0" fontId="14" fillId="0" borderId="61" xfId="96" applyFont="1" applyBorder="1" applyAlignment="1">
      <alignment vertical="center"/>
      <protection/>
    </xf>
    <xf numFmtId="167" fontId="14" fillId="0" borderId="27" xfId="128" applyNumberFormat="1" applyFont="1" applyFill="1" applyBorder="1" applyAlignment="1">
      <alignment horizontal="center" vertical="center"/>
      <protection/>
    </xf>
    <xf numFmtId="3" fontId="14" fillId="0" borderId="61" xfId="109" applyNumberFormat="1" applyFont="1" applyBorder="1" applyAlignment="1">
      <alignment vertical="top" wrapText="1"/>
      <protection/>
    </xf>
    <xf numFmtId="0" fontId="8" fillId="26" borderId="74" xfId="103" applyFont="1" applyFill="1" applyBorder="1" applyAlignment="1">
      <alignment vertical="center"/>
      <protection/>
    </xf>
    <xf numFmtId="167" fontId="13" fillId="0" borderId="27" xfId="128" applyNumberFormat="1" applyFont="1" applyFill="1" applyBorder="1" applyAlignment="1">
      <alignment horizontal="center" vertical="center"/>
      <protection/>
    </xf>
    <xf numFmtId="49" fontId="13" fillId="0" borderId="61" xfId="109" applyNumberFormat="1" applyFont="1" applyBorder="1" applyAlignment="1">
      <alignment horizontal="left" vertical="center" wrapText="1"/>
      <protection/>
    </xf>
    <xf numFmtId="0" fontId="8" fillId="0" borderId="74" xfId="120" applyFont="1" applyFill="1" applyBorder="1" applyAlignment="1">
      <alignment horizontal="left" vertical="center" wrapText="1"/>
      <protection/>
    </xf>
    <xf numFmtId="49" fontId="13" fillId="0" borderId="75" xfId="109" applyNumberFormat="1" applyFont="1" applyBorder="1" applyAlignment="1">
      <alignment horizontal="left" vertical="center" wrapText="1"/>
      <protection/>
    </xf>
    <xf numFmtId="0" fontId="8" fillId="0" borderId="78" xfId="120" applyFont="1" applyFill="1" applyBorder="1" applyAlignment="1">
      <alignment horizontal="left" vertical="center" wrapText="1"/>
      <protection/>
    </xf>
    <xf numFmtId="0" fontId="8" fillId="0" borderId="27" xfId="120" applyFont="1" applyFill="1" applyBorder="1" applyAlignment="1">
      <alignment horizontal="left" vertical="center" wrapText="1"/>
      <protection/>
    </xf>
    <xf numFmtId="49" fontId="70" fillId="0" borderId="75" xfId="109" applyNumberFormat="1" applyFont="1" applyBorder="1" applyAlignment="1">
      <alignment horizontal="left" vertical="top" wrapText="1"/>
      <protection/>
    </xf>
    <xf numFmtId="0" fontId="8" fillId="0" borderId="61" xfId="103" applyFont="1" applyBorder="1" applyAlignment="1">
      <alignment vertical="center"/>
      <protection/>
    </xf>
    <xf numFmtId="49" fontId="8" fillId="26" borderId="61" xfId="120" applyNumberFormat="1" applyFont="1" applyFill="1" applyBorder="1" applyAlignment="1">
      <alignment horizontal="left" vertical="top" wrapText="1"/>
      <protection/>
    </xf>
    <xf numFmtId="0" fontId="8" fillId="26" borderId="79" xfId="128" applyFont="1" applyFill="1" applyBorder="1" applyAlignment="1">
      <alignment vertical="top" wrapText="1"/>
      <protection/>
    </xf>
    <xf numFmtId="0" fontId="20" fillId="26" borderId="79" xfId="128" applyFont="1" applyFill="1" applyBorder="1" applyAlignment="1">
      <alignment vertical="top" wrapText="1"/>
      <protection/>
    </xf>
    <xf numFmtId="49" fontId="8" fillId="0" borderId="79" xfId="109" applyNumberFormat="1" applyFont="1" applyFill="1" applyBorder="1" applyAlignment="1">
      <alignment horizontal="left" vertical="center" wrapText="1"/>
      <protection/>
    </xf>
    <xf numFmtId="0" fontId="8" fillId="0" borderId="27" xfId="103" applyFont="1" applyFill="1" applyBorder="1" applyAlignment="1">
      <alignment horizontal="center" vertical="center"/>
      <protection/>
    </xf>
    <xf numFmtId="3" fontId="8" fillId="0" borderId="27" xfId="103" applyNumberFormat="1" applyFont="1" applyBorder="1" applyAlignment="1">
      <alignment vertical="center"/>
      <protection/>
    </xf>
    <xf numFmtId="0" fontId="20" fillId="0" borderId="61" xfId="128" applyFont="1" applyBorder="1" applyAlignment="1">
      <alignment vertical="center"/>
      <protection/>
    </xf>
    <xf numFmtId="0" fontId="8" fillId="0" borderId="27" xfId="103" applyFont="1" applyBorder="1" applyAlignment="1">
      <alignment horizontal="center" vertical="center"/>
      <protection/>
    </xf>
    <xf numFmtId="49" fontId="0" fillId="0" borderId="79" xfId="109" applyNumberFormat="1" applyFont="1" applyFill="1" applyBorder="1" applyAlignment="1">
      <alignment horizontal="left" vertical="center" wrapText="1"/>
      <protection/>
    </xf>
    <xf numFmtId="3" fontId="66" fillId="0" borderId="80" xfId="120" applyNumberFormat="1" applyFont="1" applyFill="1" applyBorder="1" applyAlignment="1">
      <alignment horizontal="left" vertical="center" wrapText="1"/>
      <protection/>
    </xf>
    <xf numFmtId="3" fontId="8" fillId="0" borderId="27" xfId="120" applyNumberFormat="1" applyFont="1" applyFill="1" applyBorder="1" applyAlignment="1">
      <alignment horizontal="left" vertical="center" wrapText="1"/>
      <protection/>
    </xf>
    <xf numFmtId="0" fontId="8" fillId="0" borderId="61" xfId="103" applyFont="1" applyBorder="1" applyAlignment="1">
      <alignment vertical="center" wrapText="1"/>
      <protection/>
    </xf>
    <xf numFmtId="49" fontId="8" fillId="0" borderId="61" xfId="109" applyNumberFormat="1" applyFont="1" applyBorder="1" applyAlignment="1">
      <alignment horizontal="left" vertical="center" wrapText="1"/>
      <protection/>
    </xf>
    <xf numFmtId="3" fontId="66" fillId="0" borderId="74" xfId="120" applyNumberFormat="1" applyFont="1" applyFill="1" applyBorder="1" applyAlignment="1">
      <alignment horizontal="left" vertical="center" wrapText="1"/>
      <protection/>
    </xf>
    <xf numFmtId="3" fontId="8" fillId="0" borderId="74" xfId="120" applyNumberFormat="1" applyFont="1" applyFill="1" applyBorder="1" applyAlignment="1">
      <alignment horizontal="left" vertical="center" wrapText="1"/>
      <protection/>
    </xf>
    <xf numFmtId="0" fontId="66" fillId="0" borderId="74" xfId="120" applyFont="1" applyFill="1" applyBorder="1" applyAlignment="1">
      <alignment horizontal="left" vertical="center" wrapText="1"/>
      <protection/>
    </xf>
    <xf numFmtId="0" fontId="8" fillId="25" borderId="76" xfId="103" applyFont="1" applyFill="1" applyBorder="1" applyAlignment="1">
      <alignment/>
      <protection/>
    </xf>
    <xf numFmtId="0" fontId="8" fillId="25" borderId="77" xfId="103" applyFont="1" applyFill="1" applyBorder="1" applyAlignment="1">
      <alignment/>
      <protection/>
    </xf>
    <xf numFmtId="0" fontId="8" fillId="25" borderId="27" xfId="103" applyFont="1" applyFill="1" applyBorder="1" applyAlignment="1">
      <alignment horizontal="center" vertical="center"/>
      <protection/>
    </xf>
    <xf numFmtId="0" fontId="9" fillId="25" borderId="61" xfId="103" applyFont="1" applyFill="1" applyBorder="1" applyAlignment="1">
      <alignment vertical="center"/>
      <protection/>
    </xf>
    <xf numFmtId="0" fontId="68" fillId="25" borderId="74" xfId="103" applyFont="1" applyFill="1" applyBorder="1" applyAlignment="1">
      <alignment vertical="center"/>
      <protection/>
    </xf>
    <xf numFmtId="0" fontId="8" fillId="25" borderId="74" xfId="103" applyFont="1" applyFill="1" applyBorder="1" applyAlignment="1">
      <alignment vertical="center"/>
      <protection/>
    </xf>
    <xf numFmtId="3" fontId="9" fillId="25" borderId="27" xfId="103" applyNumberFormat="1" applyFont="1" applyFill="1" applyBorder="1" applyAlignment="1">
      <alignment horizontal="right" vertical="center"/>
      <protection/>
    </xf>
    <xf numFmtId="0" fontId="8" fillId="0" borderId="76" xfId="103" applyFont="1" applyFill="1" applyBorder="1" applyAlignment="1">
      <alignment/>
      <protection/>
    </xf>
    <xf numFmtId="0" fontId="8" fillId="0" borderId="77" xfId="103" applyFont="1" applyFill="1" applyBorder="1" applyAlignment="1">
      <alignment/>
      <protection/>
    </xf>
    <xf numFmtId="0" fontId="9" fillId="0" borderId="61" xfId="103" applyFont="1" applyFill="1" applyBorder="1" applyAlignment="1">
      <alignment horizontal="left" vertical="center"/>
      <protection/>
    </xf>
    <xf numFmtId="0" fontId="68" fillId="0" borderId="74" xfId="103" applyFont="1" applyFill="1" applyBorder="1" applyAlignment="1">
      <alignment horizontal="left" vertical="center"/>
      <protection/>
    </xf>
    <xf numFmtId="0" fontId="8" fillId="0" borderId="74" xfId="103" applyFont="1" applyFill="1" applyBorder="1" applyAlignment="1">
      <alignment horizontal="left" vertical="center"/>
      <protection/>
    </xf>
    <xf numFmtId="3" fontId="9" fillId="0" borderId="27" xfId="103" applyNumberFormat="1" applyFont="1" applyFill="1" applyBorder="1" applyAlignment="1">
      <alignment horizontal="right" vertical="center"/>
      <protection/>
    </xf>
    <xf numFmtId="0" fontId="9" fillId="0" borderId="27" xfId="103" applyFont="1" applyFill="1" applyBorder="1" applyAlignment="1">
      <alignment horizontal="center" vertical="center"/>
      <protection/>
    </xf>
    <xf numFmtId="3" fontId="8" fillId="0" borderId="27" xfId="103" applyNumberFormat="1" applyFont="1" applyFill="1" applyBorder="1" applyAlignment="1">
      <alignment horizontal="right" vertical="center"/>
      <protection/>
    </xf>
    <xf numFmtId="0" fontId="8" fillId="0" borderId="27" xfId="103" applyFont="1" applyFill="1" applyBorder="1" applyAlignment="1">
      <alignment/>
      <protection/>
    </xf>
    <xf numFmtId="0" fontId="8" fillId="0" borderId="74" xfId="103" applyFont="1" applyFill="1" applyBorder="1" applyAlignment="1">
      <alignment/>
      <protection/>
    </xf>
    <xf numFmtId="0" fontId="8" fillId="26" borderId="61" xfId="120" applyFont="1" applyFill="1" applyBorder="1" applyAlignment="1">
      <alignment vertical="top" wrapText="1"/>
      <protection/>
    </xf>
    <xf numFmtId="49" fontId="8" fillId="0" borderId="61" xfId="120" applyNumberFormat="1" applyFont="1" applyFill="1" applyBorder="1" applyAlignment="1">
      <alignment horizontal="left" vertical="top" wrapText="1"/>
      <protection/>
    </xf>
    <xf numFmtId="0" fontId="8" fillId="0" borderId="61" xfId="128" applyFont="1" applyBorder="1" applyAlignment="1">
      <alignment vertical="center"/>
      <protection/>
    </xf>
    <xf numFmtId="49" fontId="8" fillId="0" borderId="61" xfId="120" applyNumberFormat="1" applyFont="1" applyFill="1" applyBorder="1" applyAlignment="1">
      <alignment horizontal="left" vertical="center" wrapText="1"/>
      <protection/>
    </xf>
    <xf numFmtId="0" fontId="68" fillId="0" borderId="74" xfId="128" applyFont="1" applyFill="1" applyBorder="1" applyAlignment="1">
      <alignment vertical="center"/>
      <protection/>
    </xf>
    <xf numFmtId="0" fontId="8" fillId="0" borderId="74" xfId="128" applyFont="1" applyFill="1" applyBorder="1" applyAlignment="1">
      <alignment vertical="center"/>
      <protection/>
    </xf>
    <xf numFmtId="0" fontId="9" fillId="0" borderId="27" xfId="103" applyFont="1" applyBorder="1" applyAlignment="1">
      <alignment horizontal="center" vertical="center"/>
      <protection/>
    </xf>
    <xf numFmtId="0" fontId="9" fillId="0" borderId="61" xfId="103" applyFont="1" applyBorder="1" applyAlignment="1">
      <alignment vertical="center"/>
      <protection/>
    </xf>
    <xf numFmtId="49" fontId="13" fillId="0" borderId="61" xfId="120" applyNumberFormat="1" applyFont="1" applyFill="1" applyBorder="1" applyAlignment="1">
      <alignment horizontal="left" vertical="center" wrapText="1"/>
      <protection/>
    </xf>
    <xf numFmtId="0" fontId="8" fillId="0" borderId="64" xfId="99" applyFont="1" applyFill="1" applyBorder="1" applyAlignment="1">
      <alignment vertical="center" wrapText="1"/>
      <protection/>
    </xf>
    <xf numFmtId="0" fontId="8" fillId="0" borderId="79" xfId="120" applyFont="1" applyFill="1" applyBorder="1" applyAlignment="1">
      <alignment vertical="top" wrapText="1"/>
      <protection/>
    </xf>
    <xf numFmtId="0" fontId="9" fillId="26" borderId="27" xfId="103" applyFont="1" applyFill="1" applyBorder="1" applyAlignment="1">
      <alignment horizontal="center" vertical="top" wrapText="1"/>
      <protection/>
    </xf>
    <xf numFmtId="0" fontId="9" fillId="26" borderId="61" xfId="103" applyFont="1" applyFill="1" applyBorder="1" applyAlignment="1">
      <alignment vertical="top"/>
      <protection/>
    </xf>
    <xf numFmtId="0" fontId="8" fillId="26" borderId="61" xfId="108" applyFont="1" applyFill="1" applyBorder="1" applyAlignment="1">
      <alignment vertical="top" wrapText="1"/>
      <protection/>
    </xf>
    <xf numFmtId="0" fontId="68" fillId="0" borderId="74" xfId="103" applyFont="1" applyBorder="1" applyAlignment="1">
      <alignment vertical="center"/>
      <protection/>
    </xf>
    <xf numFmtId="0" fontId="8" fillId="0" borderId="74" xfId="103" applyFont="1" applyBorder="1" applyAlignment="1">
      <alignment vertical="center"/>
      <protection/>
    </xf>
    <xf numFmtId="0" fontId="8" fillId="26" borderId="79" xfId="108" applyFont="1" applyFill="1" applyBorder="1" applyAlignment="1">
      <alignment vertical="top" wrapText="1"/>
      <protection/>
    </xf>
    <xf numFmtId="0" fontId="8" fillId="0" borderId="79" xfId="108" applyFont="1" applyFill="1" applyBorder="1" applyAlignment="1">
      <alignment vertical="top" wrapText="1"/>
      <protection/>
    </xf>
    <xf numFmtId="0" fontId="8" fillId="26" borderId="27" xfId="103" applyFont="1" applyFill="1" applyBorder="1" applyAlignment="1">
      <alignment horizontal="center" vertical="top" wrapText="1"/>
      <protection/>
    </xf>
    <xf numFmtId="0" fontId="8" fillId="0" borderId="61" xfId="108" applyFont="1" applyBorder="1" applyAlignment="1">
      <alignment vertical="center" wrapText="1"/>
      <protection/>
    </xf>
    <xf numFmtId="0" fontId="9" fillId="0" borderId="61" xfId="103" applyFont="1" applyFill="1" applyBorder="1" applyAlignment="1">
      <alignment vertical="top"/>
      <protection/>
    </xf>
    <xf numFmtId="49" fontId="13" fillId="0" borderId="61" xfId="120" applyNumberFormat="1" applyFont="1" applyBorder="1" applyAlignment="1">
      <alignment horizontal="left" vertical="center" wrapText="1"/>
      <protection/>
    </xf>
    <xf numFmtId="3" fontId="13" fillId="0" borderId="61" xfId="120" applyNumberFormat="1" applyFont="1" applyFill="1" applyBorder="1" applyAlignment="1">
      <alignment horizontal="left" vertical="center" wrapText="1"/>
      <protection/>
    </xf>
    <xf numFmtId="49" fontId="8" fillId="0" borderId="61" xfId="120" applyNumberFormat="1" applyFont="1" applyFill="1" applyBorder="1" applyAlignment="1">
      <alignment vertical="center" wrapText="1"/>
      <protection/>
    </xf>
    <xf numFmtId="49" fontId="8" fillId="0" borderId="61" xfId="120" applyNumberFormat="1" applyFont="1" applyBorder="1" applyAlignment="1">
      <alignment vertical="center" wrapText="1"/>
      <protection/>
    </xf>
    <xf numFmtId="49" fontId="8" fillId="0" borderId="61" xfId="120" applyNumberFormat="1" applyFont="1" applyBorder="1" applyAlignment="1">
      <alignment horizontal="left" vertical="top" wrapText="1"/>
      <protection/>
    </xf>
    <xf numFmtId="0" fontId="8" fillId="26" borderId="79" xfId="120" applyFont="1" applyFill="1" applyBorder="1" applyAlignment="1">
      <alignment vertical="top" wrapText="1"/>
      <protection/>
    </xf>
    <xf numFmtId="49" fontId="8" fillId="26" borderId="61" xfId="120" applyNumberFormat="1" applyFont="1" applyFill="1" applyBorder="1" applyAlignment="1">
      <alignment vertical="top" wrapText="1"/>
      <protection/>
    </xf>
    <xf numFmtId="0" fontId="8" fillId="26" borderId="61" xfId="120" applyFont="1" applyFill="1" applyBorder="1" applyAlignment="1">
      <alignment horizontal="left" vertical="top" wrapText="1"/>
      <protection/>
    </xf>
    <xf numFmtId="3" fontId="13" fillId="26" borderId="61" xfId="120" applyNumberFormat="1" applyFont="1" applyFill="1" applyBorder="1" applyAlignment="1">
      <alignment horizontal="left" vertical="center" wrapText="1"/>
      <protection/>
    </xf>
    <xf numFmtId="49" fontId="8" fillId="0" borderId="61" xfId="120" applyNumberFormat="1" applyFont="1" applyFill="1" applyBorder="1" applyAlignment="1">
      <alignment vertical="top" wrapText="1"/>
      <protection/>
    </xf>
    <xf numFmtId="49" fontId="8" fillId="0" borderId="61" xfId="109" applyNumberFormat="1" applyFont="1" applyFill="1" applyBorder="1" applyAlignment="1">
      <alignment horizontal="left" vertical="center" wrapText="1"/>
      <protection/>
    </xf>
    <xf numFmtId="49" fontId="8" fillId="0" borderId="79" xfId="110" applyNumberFormat="1" applyFont="1" applyBorder="1" applyAlignment="1">
      <alignment horizontal="left" vertical="top" wrapText="1"/>
      <protection/>
    </xf>
    <xf numFmtId="0" fontId="8" fillId="0" borderId="61" xfId="103" applyFont="1" applyFill="1" applyBorder="1" applyAlignment="1">
      <alignment vertical="top"/>
      <protection/>
    </xf>
    <xf numFmtId="0" fontId="8" fillId="0" borderId="27" xfId="103" applyFont="1" applyFill="1" applyBorder="1" applyAlignment="1">
      <alignment horizontal="left" vertical="center"/>
      <protection/>
    </xf>
    <xf numFmtId="3" fontId="13" fillId="0" borderId="72" xfId="109" applyNumberFormat="1" applyFont="1" applyBorder="1" applyAlignment="1">
      <alignment vertical="top" wrapText="1"/>
      <protection/>
    </xf>
    <xf numFmtId="0" fontId="68" fillId="0" borderId="81" xfId="103" applyFont="1" applyFill="1" applyBorder="1" applyAlignment="1">
      <alignment horizontal="left" vertical="center"/>
      <protection/>
    </xf>
    <xf numFmtId="3" fontId="8" fillId="0" borderId="61" xfId="109" applyNumberFormat="1" applyFont="1" applyBorder="1" applyAlignment="1">
      <alignment vertical="center" wrapText="1"/>
      <protection/>
    </xf>
    <xf numFmtId="3" fontId="8" fillId="0" borderId="61" xfId="109" applyNumberFormat="1" applyFont="1" applyFill="1" applyBorder="1" applyAlignment="1">
      <alignment vertical="center" wrapText="1"/>
      <protection/>
    </xf>
    <xf numFmtId="0" fontId="8" fillId="0" borderId="61" xfId="120" applyFont="1" applyFill="1" applyBorder="1">
      <alignment/>
      <protection/>
    </xf>
    <xf numFmtId="49" fontId="0" fillId="0" borderId="61" xfId="120" applyNumberFormat="1" applyFont="1" applyBorder="1" applyAlignment="1">
      <alignment vertical="center" wrapText="1"/>
      <protection/>
    </xf>
    <xf numFmtId="49" fontId="0" fillId="0" borderId="61" xfId="109" applyNumberFormat="1" applyFont="1" applyFill="1" applyBorder="1" applyAlignment="1">
      <alignment horizontal="left" vertical="center" wrapText="1"/>
      <protection/>
    </xf>
    <xf numFmtId="0" fontId="8" fillId="0" borderId="61" xfId="100" applyFont="1" applyFill="1" applyBorder="1" applyAlignment="1">
      <alignment vertical="top" wrapText="1"/>
      <protection/>
    </xf>
    <xf numFmtId="0" fontId="9" fillId="25" borderId="61" xfId="103" applyFont="1" applyFill="1" applyBorder="1" applyAlignment="1">
      <alignment horizontal="left" vertical="center"/>
      <protection/>
    </xf>
    <xf numFmtId="0" fontId="68" fillId="25" borderId="74" xfId="103" applyFont="1" applyFill="1" applyBorder="1" applyAlignment="1">
      <alignment horizontal="left" vertical="center"/>
      <protection/>
    </xf>
    <xf numFmtId="0" fontId="8" fillId="25" borderId="74" xfId="103" applyFont="1" applyFill="1" applyBorder="1" applyAlignment="1">
      <alignment horizontal="left" vertical="center"/>
      <protection/>
    </xf>
    <xf numFmtId="0" fontId="9" fillId="26" borderId="61" xfId="103" applyFont="1" applyFill="1" applyBorder="1" applyAlignment="1">
      <alignment horizontal="left" vertical="center"/>
      <protection/>
    </xf>
    <xf numFmtId="0" fontId="68" fillId="26" borderId="74" xfId="103" applyFont="1" applyFill="1" applyBorder="1" applyAlignment="1">
      <alignment horizontal="left" vertical="center"/>
      <protection/>
    </xf>
    <xf numFmtId="0" fontId="8" fillId="26" borderId="74" xfId="103" applyFont="1" applyFill="1" applyBorder="1" applyAlignment="1">
      <alignment horizontal="left" vertical="center"/>
      <protection/>
    </xf>
    <xf numFmtId="0" fontId="13" fillId="0" borderId="61" xfId="120" applyFont="1" applyBorder="1" applyAlignment="1">
      <alignment horizontal="left" vertical="top" wrapText="1"/>
      <protection/>
    </xf>
    <xf numFmtId="0" fontId="13" fillId="0" borderId="61" xfId="120" applyFont="1" applyBorder="1" applyAlignment="1">
      <alignment wrapText="1"/>
      <protection/>
    </xf>
    <xf numFmtId="49" fontId="8" fillId="26" borderId="79" xfId="120" applyNumberFormat="1" applyFont="1" applyFill="1" applyBorder="1" applyAlignment="1">
      <alignment horizontal="left" vertical="top" wrapText="1"/>
      <protection/>
    </xf>
    <xf numFmtId="0" fontId="12" fillId="0" borderId="74" xfId="128" applyFont="1" applyFill="1" applyBorder="1" applyAlignment="1">
      <alignment vertical="center"/>
      <protection/>
    </xf>
    <xf numFmtId="0" fontId="13" fillId="0" borderId="74" xfId="128" applyFont="1" applyFill="1" applyBorder="1" applyAlignment="1">
      <alignment vertical="center"/>
      <protection/>
    </xf>
    <xf numFmtId="49" fontId="8" fillId="0" borderId="61" xfId="109" applyNumberFormat="1" applyFont="1" applyFill="1" applyBorder="1" applyAlignment="1">
      <alignment vertical="center" wrapText="1"/>
      <protection/>
    </xf>
    <xf numFmtId="0" fontId="66" fillId="0" borderId="74" xfId="103" applyFont="1" applyFill="1" applyBorder="1" applyAlignment="1">
      <alignment vertical="center"/>
      <protection/>
    </xf>
    <xf numFmtId="0" fontId="8" fillId="0" borderId="74" xfId="103" applyFont="1" applyFill="1" applyBorder="1" applyAlignment="1">
      <alignment vertical="center"/>
      <protection/>
    </xf>
    <xf numFmtId="49" fontId="8" fillId="0" borderId="61" xfId="120" applyNumberFormat="1" applyFont="1" applyFill="1" applyBorder="1" applyAlignment="1">
      <alignment horizontal="left" vertical="top" wrapText="1"/>
      <protection/>
    </xf>
    <xf numFmtId="0" fontId="5" fillId="0" borderId="27" xfId="103" applyFont="1" applyBorder="1">
      <alignment/>
      <protection/>
    </xf>
    <xf numFmtId="0" fontId="8" fillId="0" borderId="27" xfId="103" applyFont="1" applyBorder="1" applyAlignment="1">
      <alignment/>
      <protection/>
    </xf>
    <xf numFmtId="0" fontId="13" fillId="0" borderId="61" xfId="120" applyFont="1" applyFill="1" applyBorder="1" applyAlignment="1">
      <alignment horizontal="left" vertical="top" wrapText="1"/>
      <protection/>
    </xf>
    <xf numFmtId="0" fontId="13" fillId="0" borderId="61" xfId="120" applyFont="1" applyBorder="1">
      <alignment/>
      <protection/>
    </xf>
    <xf numFmtId="0" fontId="8" fillId="0" borderId="61" xfId="99" applyFont="1" applyFill="1" applyBorder="1" applyAlignment="1">
      <alignment horizontal="left" vertical="center" wrapText="1"/>
      <protection/>
    </xf>
    <xf numFmtId="0" fontId="8" fillId="26" borderId="61" xfId="99" applyFont="1" applyFill="1" applyBorder="1" applyAlignment="1">
      <alignment vertical="top" wrapText="1"/>
      <protection/>
    </xf>
    <xf numFmtId="0" fontId="9" fillId="0" borderId="74" xfId="103" applyFont="1" applyBorder="1" applyAlignment="1">
      <alignment vertical="center"/>
      <protection/>
    </xf>
    <xf numFmtId="0" fontId="68" fillId="26" borderId="74" xfId="103" applyFont="1" applyFill="1" applyBorder="1" applyAlignment="1">
      <alignment vertical="top"/>
      <protection/>
    </xf>
    <xf numFmtId="0" fontId="8" fillId="26" borderId="74" xfId="103" applyFont="1" applyFill="1" applyBorder="1" applyAlignment="1">
      <alignment vertical="top"/>
      <protection/>
    </xf>
    <xf numFmtId="167" fontId="8" fillId="26" borderId="27" xfId="103" applyNumberFormat="1" applyFont="1" applyFill="1" applyBorder="1" applyAlignment="1">
      <alignment horizontal="center" vertical="top" wrapText="1"/>
      <protection/>
    </xf>
    <xf numFmtId="49" fontId="8" fillId="0" borderId="61" xfId="120" applyNumberFormat="1" applyFont="1" applyBorder="1" applyAlignment="1">
      <alignment horizontal="left" vertical="center" wrapText="1"/>
      <protection/>
    </xf>
    <xf numFmtId="0" fontId="8" fillId="0" borderId="61" xfId="99" applyFont="1" applyFill="1" applyBorder="1" applyAlignment="1">
      <alignment vertical="center" wrapText="1"/>
      <protection/>
    </xf>
    <xf numFmtId="0" fontId="8" fillId="0" borderId="61" xfId="99" applyFont="1" applyFill="1" applyBorder="1" applyAlignment="1">
      <alignment vertical="top"/>
      <protection/>
    </xf>
    <xf numFmtId="0" fontId="8" fillId="26" borderId="61" xfId="103" applyFont="1" applyFill="1" applyBorder="1" applyAlignment="1">
      <alignment vertical="top" wrapText="1"/>
      <protection/>
    </xf>
    <xf numFmtId="0" fontId="66" fillId="26" borderId="74" xfId="103" applyFont="1" applyFill="1" applyBorder="1" applyAlignment="1">
      <alignment horizontal="center" vertical="top"/>
      <protection/>
    </xf>
    <xf numFmtId="0" fontId="8" fillId="26" borderId="74" xfId="103" applyFont="1" applyFill="1" applyBorder="1" applyAlignment="1">
      <alignment horizontal="center" vertical="top"/>
      <protection/>
    </xf>
    <xf numFmtId="0" fontId="8" fillId="0" borderId="61" xfId="99" applyFont="1" applyFill="1" applyBorder="1" applyAlignment="1">
      <alignment horizontal="left" vertical="top"/>
      <protection/>
    </xf>
    <xf numFmtId="0" fontId="8" fillId="26" borderId="61" xfId="103" applyFont="1" applyFill="1" applyBorder="1" applyAlignment="1">
      <alignment vertical="top"/>
      <protection/>
    </xf>
    <xf numFmtId="0" fontId="8" fillId="0" borderId="61" xfId="101" applyFont="1" applyFill="1" applyBorder="1" applyAlignment="1">
      <alignment vertical="top"/>
      <protection/>
    </xf>
    <xf numFmtId="0" fontId="8" fillId="0" borderId="61" xfId="101" applyFont="1" applyFill="1" applyBorder="1" applyAlignment="1">
      <alignment vertical="top"/>
      <protection/>
    </xf>
    <xf numFmtId="0" fontId="8" fillId="0" borderId="61" xfId="101" applyFont="1" applyFill="1" applyBorder="1" applyAlignment="1">
      <alignment vertical="top" wrapText="1"/>
      <protection/>
    </xf>
    <xf numFmtId="0" fontId="8" fillId="0" borderId="61" xfId="103" applyFont="1" applyFill="1" applyBorder="1" applyAlignment="1">
      <alignment vertical="top" wrapText="1"/>
      <protection/>
    </xf>
    <xf numFmtId="0" fontId="13" fillId="0" borderId="61" xfId="120" applyFont="1" applyFill="1" applyBorder="1" applyAlignment="1">
      <alignment wrapText="1"/>
      <protection/>
    </xf>
    <xf numFmtId="0" fontId="8" fillId="26" borderId="74" xfId="103" applyFont="1" applyFill="1" applyBorder="1" applyAlignment="1">
      <alignment horizontal="center" vertical="center"/>
      <protection/>
    </xf>
    <xf numFmtId="0" fontId="13" fillId="0" borderId="61" xfId="120" applyFont="1" applyBorder="1" applyAlignment="1">
      <alignment horizontal="left"/>
      <protection/>
    </xf>
    <xf numFmtId="0" fontId="8" fillId="0" borderId="79" xfId="100" applyFont="1" applyFill="1" applyBorder="1" applyAlignment="1">
      <alignment vertical="top" wrapText="1"/>
      <protection/>
    </xf>
    <xf numFmtId="0" fontId="8" fillId="0" borderId="61" xfId="103" applyFont="1" applyBorder="1">
      <alignment/>
      <protection/>
    </xf>
    <xf numFmtId="0" fontId="8" fillId="0" borderId="61" xfId="103" applyFont="1" applyFill="1" applyBorder="1" applyAlignment="1">
      <alignment vertical="top" wrapText="1"/>
      <protection/>
    </xf>
    <xf numFmtId="0" fontId="8" fillId="0" borderId="61" xfId="96" applyFont="1" applyFill="1" applyBorder="1" applyAlignment="1">
      <alignment horizontal="left" vertical="center" wrapText="1"/>
      <protection/>
    </xf>
    <xf numFmtId="0" fontId="8" fillId="0" borderId="61" xfId="95" applyFont="1" applyFill="1" applyBorder="1" applyAlignment="1">
      <alignment horizontal="left" vertical="center" wrapText="1"/>
      <protection/>
    </xf>
    <xf numFmtId="0" fontId="8" fillId="0" borderId="61" xfId="101" applyFont="1" applyFill="1" applyBorder="1" applyAlignment="1">
      <alignment vertical="top" wrapText="1"/>
      <protection/>
    </xf>
    <xf numFmtId="0" fontId="8" fillId="26" borderId="61" xfId="103" applyFont="1" applyFill="1" applyBorder="1" applyAlignment="1">
      <alignment horizontal="left" vertical="top" wrapText="1"/>
      <protection/>
    </xf>
    <xf numFmtId="3" fontId="8" fillId="0" borderId="61" xfId="120" applyNumberFormat="1" applyFont="1" applyFill="1" applyBorder="1" applyAlignment="1">
      <alignment vertical="center" wrapText="1"/>
      <protection/>
    </xf>
    <xf numFmtId="49" fontId="8" fillId="0" borderId="61" xfId="109" applyNumberFormat="1" applyFont="1" applyFill="1" applyBorder="1" applyAlignment="1">
      <alignment horizontal="left" vertical="center"/>
      <protection/>
    </xf>
    <xf numFmtId="0" fontId="5" fillId="0" borderId="74" xfId="103" applyBorder="1">
      <alignment/>
      <protection/>
    </xf>
    <xf numFmtId="0" fontId="8" fillId="0" borderId="74" xfId="103" applyFont="1" applyBorder="1">
      <alignment/>
      <protection/>
    </xf>
    <xf numFmtId="49" fontId="0" fillId="0" borderId="61" xfId="120" applyNumberFormat="1" applyFont="1" applyBorder="1" applyAlignment="1">
      <alignment horizontal="left" vertical="center" wrapText="1"/>
      <protection/>
    </xf>
    <xf numFmtId="0" fontId="66" fillId="26" borderId="74" xfId="103" applyFont="1" applyFill="1" applyBorder="1" applyAlignment="1">
      <alignment vertical="top"/>
      <protection/>
    </xf>
    <xf numFmtId="0" fontId="13" fillId="0" borderId="61" xfId="99" applyFont="1" applyFill="1" applyBorder="1" applyAlignment="1">
      <alignment vertical="top" wrapText="1"/>
      <protection/>
    </xf>
    <xf numFmtId="0" fontId="8" fillId="0" borderId="81" xfId="103" applyFont="1" applyFill="1" applyBorder="1" applyAlignment="1">
      <alignment horizontal="left" vertical="center"/>
      <protection/>
    </xf>
    <xf numFmtId="3" fontId="13" fillId="0" borderId="64" xfId="0" applyNumberFormat="1" applyFont="1" applyBorder="1" applyAlignment="1">
      <alignment vertical="center"/>
    </xf>
    <xf numFmtId="0" fontId="8" fillId="25" borderId="27" xfId="103" applyFont="1" applyFill="1" applyBorder="1" applyAlignment="1">
      <alignment/>
      <protection/>
    </xf>
    <xf numFmtId="3" fontId="9" fillId="25" borderId="27" xfId="103" applyNumberFormat="1" applyFont="1" applyFill="1" applyBorder="1" applyAlignment="1">
      <alignment vertical="center"/>
      <protection/>
    </xf>
    <xf numFmtId="0" fontId="8" fillId="0" borderId="27" xfId="103" applyFont="1" applyFill="1" applyBorder="1" applyAlignment="1">
      <alignment horizontal="center"/>
      <protection/>
    </xf>
    <xf numFmtId="0" fontId="9" fillId="0" borderId="61" xfId="103" applyFont="1" applyFill="1" applyBorder="1" applyAlignment="1">
      <alignment vertical="center"/>
      <protection/>
    </xf>
    <xf numFmtId="0" fontId="68" fillId="0" borderId="74" xfId="103" applyFont="1" applyFill="1" applyBorder="1" applyAlignment="1">
      <alignment vertical="center"/>
      <protection/>
    </xf>
    <xf numFmtId="3" fontId="9" fillId="0" borderId="27" xfId="103" applyNumberFormat="1" applyFont="1" applyFill="1" applyBorder="1" applyAlignment="1">
      <alignment vertical="center"/>
      <protection/>
    </xf>
    <xf numFmtId="0" fontId="8" fillId="0" borderId="61" xfId="103" applyFont="1" applyFill="1" applyBorder="1" applyAlignment="1">
      <alignment vertical="center"/>
      <protection/>
    </xf>
    <xf numFmtId="3" fontId="8" fillId="0" borderId="27" xfId="103" applyNumberFormat="1" applyFont="1" applyFill="1" applyBorder="1" applyAlignment="1">
      <alignment vertical="center"/>
      <protection/>
    </xf>
    <xf numFmtId="0" fontId="8" fillId="26" borderId="61" xfId="103" applyFont="1" applyFill="1" applyBorder="1" applyAlignment="1">
      <alignment vertical="top" wrapText="1"/>
      <protection/>
    </xf>
    <xf numFmtId="0" fontId="8" fillId="0" borderId="61" xfId="120" applyFont="1" applyFill="1" applyBorder="1" applyAlignment="1">
      <alignment vertical="center" wrapText="1"/>
      <protection/>
    </xf>
    <xf numFmtId="0" fontId="9" fillId="26" borderId="61" xfId="103" applyFont="1" applyFill="1" applyBorder="1" applyAlignment="1">
      <alignment vertical="center"/>
      <protection/>
    </xf>
    <xf numFmtId="0" fontId="68" fillId="26" borderId="74" xfId="103" applyFont="1" applyFill="1" applyBorder="1" applyAlignment="1">
      <alignment vertical="center"/>
      <protection/>
    </xf>
    <xf numFmtId="3" fontId="9" fillId="26" borderId="27" xfId="103" applyNumberFormat="1" applyFont="1" applyFill="1" applyBorder="1" applyAlignment="1">
      <alignment vertical="center"/>
      <protection/>
    </xf>
    <xf numFmtId="0" fontId="8" fillId="25" borderId="27" xfId="103" applyFont="1" applyFill="1" applyBorder="1" applyAlignment="1">
      <alignment horizontal="center"/>
      <protection/>
    </xf>
    <xf numFmtId="3" fontId="13" fillId="0" borderId="64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26" borderId="61" xfId="96" applyFont="1" applyFill="1" applyBorder="1" applyAlignment="1">
      <alignment horizontal="left" vertical="center" wrapText="1"/>
      <protection/>
    </xf>
    <xf numFmtId="0" fontId="8" fillId="0" borderId="61" xfId="103" applyFont="1" applyFill="1" applyBorder="1" applyAlignment="1">
      <alignment vertical="center" wrapText="1"/>
      <protection/>
    </xf>
    <xf numFmtId="3" fontId="8" fillId="26" borderId="27" xfId="103" applyNumberFormat="1" applyFont="1" applyFill="1" applyBorder="1" applyAlignment="1">
      <alignment horizontal="right" vertical="center" wrapText="1"/>
      <protection/>
    </xf>
    <xf numFmtId="0" fontId="8" fillId="0" borderId="27" xfId="103" applyFont="1" applyBorder="1" applyAlignment="1">
      <alignment horizontal="center"/>
      <protection/>
    </xf>
    <xf numFmtId="0" fontId="66" fillId="0" borderId="61" xfId="101" applyFont="1" applyFill="1" applyBorder="1" applyAlignment="1">
      <alignment vertical="center"/>
      <protection/>
    </xf>
    <xf numFmtId="0" fontId="8" fillId="25" borderId="27" xfId="103" applyFont="1" applyFill="1" applyBorder="1">
      <alignment/>
      <protection/>
    </xf>
    <xf numFmtId="0" fontId="9" fillId="25" borderId="61" xfId="103" applyFont="1" applyFill="1" applyBorder="1">
      <alignment/>
      <protection/>
    </xf>
    <xf numFmtId="0" fontId="9" fillId="25" borderId="74" xfId="103" applyFont="1" applyFill="1" applyBorder="1">
      <alignment/>
      <protection/>
    </xf>
    <xf numFmtId="0" fontId="8" fillId="25" borderId="74" xfId="103" applyFont="1" applyFill="1" applyBorder="1">
      <alignment/>
      <protection/>
    </xf>
    <xf numFmtId="3" fontId="9" fillId="25" borderId="27" xfId="103" applyNumberFormat="1" applyFont="1" applyFill="1" applyBorder="1">
      <alignment/>
      <protection/>
    </xf>
    <xf numFmtId="0" fontId="9" fillId="25" borderId="27" xfId="103" applyFont="1" applyFill="1" applyBorder="1">
      <alignment/>
      <protection/>
    </xf>
    <xf numFmtId="0" fontId="9" fillId="25" borderId="27" xfId="103" applyFont="1" applyFill="1" applyBorder="1" applyAlignment="1">
      <alignment horizontal="center"/>
      <protection/>
    </xf>
    <xf numFmtId="0" fontId="9" fillId="25" borderId="61" xfId="96" applyFont="1" applyFill="1" applyBorder="1" applyAlignment="1">
      <alignment vertical="center" wrapText="1"/>
      <protection/>
    </xf>
    <xf numFmtId="3" fontId="8" fillId="0" borderId="27" xfId="103" applyNumberFormat="1" applyFont="1" applyBorder="1" applyAlignment="1">
      <alignment horizontal="center"/>
      <protection/>
    </xf>
    <xf numFmtId="0" fontId="8" fillId="0" borderId="27" xfId="103" applyFont="1" applyBorder="1">
      <alignment/>
      <protection/>
    </xf>
    <xf numFmtId="167" fontId="8" fillId="0" borderId="27" xfId="103" applyNumberFormat="1" applyFont="1" applyBorder="1" applyAlignment="1">
      <alignment horizontal="center"/>
      <protection/>
    </xf>
    <xf numFmtId="0" fontId="8" fillId="0" borderId="78" xfId="103" applyFont="1" applyBorder="1">
      <alignment/>
      <protection/>
    </xf>
    <xf numFmtId="0" fontId="12" fillId="25" borderId="82" xfId="128" applyFont="1" applyFill="1" applyBorder="1" applyAlignment="1">
      <alignment horizontal="center" vertical="center"/>
      <protection/>
    </xf>
    <xf numFmtId="0" fontId="12" fillId="25" borderId="83" xfId="128" applyFont="1" applyFill="1" applyBorder="1" applyAlignment="1">
      <alignment horizontal="center" vertical="center"/>
      <protection/>
    </xf>
    <xf numFmtId="0" fontId="12" fillId="25" borderId="84" xfId="128" applyFont="1" applyFill="1" applyBorder="1" applyAlignment="1">
      <alignment horizontal="center" vertical="center"/>
      <protection/>
    </xf>
    <xf numFmtId="0" fontId="12" fillId="25" borderId="85" xfId="128" applyFont="1" applyFill="1" applyBorder="1" applyAlignment="1">
      <alignment horizontal="center" vertical="center"/>
      <protection/>
    </xf>
    <xf numFmtId="0" fontId="12" fillId="25" borderId="57" xfId="128" applyFont="1" applyFill="1" applyBorder="1" applyAlignment="1">
      <alignment horizontal="center" vertical="top" wrapText="1"/>
      <protection/>
    </xf>
    <xf numFmtId="0" fontId="12" fillId="25" borderId="59" xfId="128" applyFont="1" applyFill="1" applyBorder="1" applyAlignment="1">
      <alignment horizontal="center" vertical="top" wrapText="1"/>
      <protection/>
    </xf>
    <xf numFmtId="0" fontId="12" fillId="25" borderId="86" xfId="128" applyFont="1" applyFill="1" applyBorder="1" applyAlignment="1">
      <alignment horizontal="center" vertical="top"/>
      <protection/>
    </xf>
    <xf numFmtId="0" fontId="12" fillId="25" borderId="58" xfId="128" applyFont="1" applyFill="1" applyBorder="1" applyAlignment="1">
      <alignment horizontal="center" vertical="top"/>
      <protection/>
    </xf>
    <xf numFmtId="0" fontId="12" fillId="25" borderId="76" xfId="128" applyFont="1" applyFill="1" applyBorder="1" applyAlignment="1">
      <alignment horizontal="center" vertical="center" wrapText="1"/>
      <protection/>
    </xf>
    <xf numFmtId="0" fontId="12" fillId="25" borderId="79" xfId="128" applyFont="1" applyFill="1" applyBorder="1" applyAlignment="1">
      <alignment horizontal="center" vertical="center" wrapText="1"/>
      <protection/>
    </xf>
    <xf numFmtId="0" fontId="12" fillId="25" borderId="87" xfId="128" applyFont="1" applyFill="1" applyBorder="1" applyAlignment="1">
      <alignment horizontal="center" vertical="center" wrapText="1"/>
      <protection/>
    </xf>
    <xf numFmtId="0" fontId="13" fillId="0" borderId="27" xfId="128" applyFont="1" applyBorder="1" applyAlignment="1">
      <alignment horizontal="center" vertical="center"/>
      <protection/>
    </xf>
    <xf numFmtId="0" fontId="9" fillId="0" borderId="61" xfId="128" applyFont="1" applyBorder="1" applyAlignment="1">
      <alignment vertical="center"/>
      <protection/>
    </xf>
    <xf numFmtId="0" fontId="12" fillId="0" borderId="88" xfId="128" applyFont="1" applyBorder="1" applyAlignment="1">
      <alignment vertical="center"/>
      <protection/>
    </xf>
    <xf numFmtId="0" fontId="12" fillId="0" borderId="27" xfId="128" applyFont="1" applyBorder="1" applyAlignment="1">
      <alignment vertical="center"/>
      <protection/>
    </xf>
    <xf numFmtId="0" fontId="13" fillId="0" borderId="27" xfId="128" applyFont="1" applyBorder="1" applyAlignment="1">
      <alignment vertical="center"/>
      <protection/>
    </xf>
    <xf numFmtId="0" fontId="13" fillId="0" borderId="27" xfId="128" applyFont="1" applyFill="1" applyBorder="1" applyAlignment="1">
      <alignment horizontal="center" vertical="center"/>
      <protection/>
    </xf>
    <xf numFmtId="0" fontId="12" fillId="0" borderId="27" xfId="128" applyFont="1" applyFill="1" applyBorder="1" applyAlignment="1">
      <alignment vertical="center"/>
      <protection/>
    </xf>
    <xf numFmtId="3" fontId="12" fillId="0" borderId="27" xfId="128" applyNumberFormat="1" applyFont="1" applyFill="1" applyBorder="1" applyAlignment="1">
      <alignment vertical="center"/>
      <protection/>
    </xf>
    <xf numFmtId="0" fontId="14" fillId="0" borderId="89" xfId="96" applyFont="1" applyBorder="1" applyAlignment="1">
      <alignment vertical="center"/>
      <protection/>
    </xf>
    <xf numFmtId="0" fontId="12" fillId="0" borderId="77" xfId="128" applyFont="1" applyFill="1" applyBorder="1" applyAlignment="1">
      <alignment vertical="center"/>
      <protection/>
    </xf>
    <xf numFmtId="0" fontId="14" fillId="0" borderId="90" xfId="96" applyFont="1" applyBorder="1" applyAlignment="1">
      <alignment vertical="center"/>
      <protection/>
    </xf>
    <xf numFmtId="0" fontId="13" fillId="0" borderId="27" xfId="128" applyNumberFormat="1" applyFont="1" applyFill="1" applyBorder="1" applyAlignment="1">
      <alignment horizontal="center" vertical="center"/>
      <protection/>
    </xf>
    <xf numFmtId="3" fontId="13" fillId="0" borderId="27" xfId="128" applyNumberFormat="1" applyFont="1" applyBorder="1" applyAlignment="1">
      <alignment vertical="center"/>
      <protection/>
    </xf>
    <xf numFmtId="3" fontId="8" fillId="0" borderId="86" xfId="109" applyNumberFormat="1" applyFont="1" applyBorder="1" applyAlignment="1">
      <alignment vertical="top" wrapText="1"/>
      <protection/>
    </xf>
    <xf numFmtId="0" fontId="13" fillId="0" borderId="27" xfId="128" applyFont="1" applyFill="1" applyBorder="1" applyAlignment="1">
      <alignment vertical="center"/>
      <protection/>
    </xf>
    <xf numFmtId="3" fontId="13" fillId="0" borderId="61" xfId="109" applyNumberFormat="1" applyFont="1" applyBorder="1" applyAlignment="1">
      <alignment vertical="top" wrapText="1"/>
      <protection/>
    </xf>
    <xf numFmtId="3" fontId="13" fillId="0" borderId="79" xfId="109" applyNumberFormat="1" applyFont="1" applyBorder="1" applyAlignment="1">
      <alignment vertical="top" wrapText="1"/>
      <protection/>
    </xf>
    <xf numFmtId="0" fontId="13" fillId="27" borderId="64" xfId="93" applyFont="1" applyFill="1" applyBorder="1" applyAlignment="1">
      <alignment horizontal="left" vertical="center" wrapText="1"/>
      <protection/>
    </xf>
    <xf numFmtId="0" fontId="12" fillId="0" borderId="91" xfId="128" applyFont="1" applyFill="1" applyBorder="1" applyAlignment="1">
      <alignment vertical="center"/>
      <protection/>
    </xf>
    <xf numFmtId="0" fontId="12" fillId="0" borderId="92" xfId="128" applyFont="1" applyFill="1" applyBorder="1" applyAlignment="1">
      <alignment vertical="center"/>
      <protection/>
    </xf>
    <xf numFmtId="3" fontId="8" fillId="0" borderId="90" xfId="109" applyNumberFormat="1" applyFont="1" applyBorder="1" applyAlignment="1">
      <alignment vertical="top" wrapText="1"/>
      <protection/>
    </xf>
    <xf numFmtId="0" fontId="13" fillId="0" borderId="93" xfId="128" applyFont="1" applyFill="1" applyBorder="1" applyAlignment="1">
      <alignment vertical="center"/>
      <protection/>
    </xf>
    <xf numFmtId="49" fontId="22" fillId="0" borderId="90" xfId="109" applyNumberFormat="1" applyFont="1" applyBorder="1" applyAlignment="1">
      <alignment horizontal="left" vertical="top" wrapText="1"/>
      <protection/>
    </xf>
    <xf numFmtId="49" fontId="22" fillId="0" borderId="72" xfId="109" applyNumberFormat="1" applyFont="1" applyBorder="1" applyAlignment="1">
      <alignment horizontal="left" vertical="top" wrapText="1"/>
      <protection/>
    </xf>
    <xf numFmtId="0" fontId="8" fillId="0" borderId="91" xfId="103" applyFont="1" applyFill="1" applyBorder="1" applyAlignment="1">
      <alignment horizontal="left" vertical="center"/>
      <protection/>
    </xf>
    <xf numFmtId="0" fontId="8" fillId="0" borderId="92" xfId="103" applyFont="1" applyFill="1" applyBorder="1" applyAlignment="1">
      <alignment horizontal="left" vertical="center"/>
      <protection/>
    </xf>
    <xf numFmtId="0" fontId="12" fillId="0" borderId="81" xfId="128" applyFont="1" applyFill="1" applyBorder="1" applyAlignment="1">
      <alignment vertical="center"/>
      <protection/>
    </xf>
    <xf numFmtId="49" fontId="70" fillId="0" borderId="72" xfId="109" applyNumberFormat="1" applyFont="1" applyBorder="1" applyAlignment="1">
      <alignment horizontal="left" vertical="top" wrapText="1"/>
      <protection/>
    </xf>
    <xf numFmtId="0" fontId="14" fillId="0" borderId="27" xfId="128" applyNumberFormat="1" applyFont="1" applyFill="1" applyBorder="1" applyAlignment="1">
      <alignment horizontal="center" vertical="center"/>
      <protection/>
    </xf>
    <xf numFmtId="3" fontId="13" fillId="0" borderId="27" xfId="120" applyNumberFormat="1" applyFont="1" applyBorder="1" applyAlignment="1">
      <alignment vertical="center"/>
      <protection/>
    </xf>
    <xf numFmtId="3" fontId="13" fillId="0" borderId="86" xfId="120" applyNumberFormat="1" applyFont="1" applyBorder="1" applyAlignment="1">
      <alignment vertical="center"/>
      <protection/>
    </xf>
    <xf numFmtId="3" fontId="13" fillId="0" borderId="74" xfId="120" applyNumberFormat="1" applyFont="1" applyBorder="1" applyAlignment="1">
      <alignment vertical="center"/>
      <protection/>
    </xf>
    <xf numFmtId="0" fontId="13" fillId="0" borderId="79" xfId="128" applyFont="1" applyFill="1" applyBorder="1" applyAlignment="1">
      <alignment vertical="center"/>
      <protection/>
    </xf>
    <xf numFmtId="3" fontId="8" fillId="0" borderId="61" xfId="109" applyNumberFormat="1" applyFont="1" applyBorder="1" applyAlignment="1">
      <alignment vertical="top" wrapText="1"/>
      <protection/>
    </xf>
    <xf numFmtId="3" fontId="8" fillId="0" borderId="72" xfId="109" applyNumberFormat="1" applyFont="1" applyBorder="1" applyAlignment="1">
      <alignment vertical="top" wrapText="1"/>
      <protection/>
    </xf>
    <xf numFmtId="49" fontId="22" fillId="0" borderId="79" xfId="109" applyNumberFormat="1" applyFont="1" applyFill="1" applyBorder="1" applyAlignment="1">
      <alignment horizontal="left" vertical="center" wrapText="1"/>
      <protection/>
    </xf>
    <xf numFmtId="0" fontId="25" fillId="0" borderId="74" xfId="120" applyFont="1" applyFill="1" applyBorder="1" applyAlignment="1">
      <alignment horizontal="left" vertical="center" wrapText="1"/>
      <protection/>
    </xf>
    <xf numFmtId="0" fontId="25" fillId="0" borderId="27" xfId="120" applyFont="1" applyFill="1" applyBorder="1" applyAlignment="1">
      <alignment horizontal="left" vertical="center" wrapText="1"/>
      <protection/>
    </xf>
    <xf numFmtId="3" fontId="25" fillId="0" borderId="74" xfId="120" applyNumberFormat="1" applyFont="1" applyFill="1" applyBorder="1" applyAlignment="1">
      <alignment horizontal="left" vertical="center" wrapText="1"/>
      <protection/>
    </xf>
    <xf numFmtId="3" fontId="25" fillId="0" borderId="27" xfId="120" applyNumberFormat="1" applyFont="1" applyFill="1" applyBorder="1" applyAlignment="1">
      <alignment horizontal="left" vertical="center" wrapText="1"/>
      <protection/>
    </xf>
    <xf numFmtId="0" fontId="13" fillId="0" borderId="61" xfId="108" applyFont="1" applyFill="1" applyBorder="1" applyAlignment="1">
      <alignment vertical="center" wrapText="1"/>
      <protection/>
    </xf>
    <xf numFmtId="3" fontId="13" fillId="0" borderId="27" xfId="120" applyNumberFormat="1" applyFont="1" applyFill="1" applyBorder="1" applyAlignment="1">
      <alignment horizontal="left" vertical="center" wrapText="1"/>
      <protection/>
    </xf>
    <xf numFmtId="0" fontId="13" fillId="25" borderId="27" xfId="128" applyFont="1" applyFill="1" applyBorder="1" applyAlignment="1">
      <alignment horizontal="center" vertical="center"/>
      <protection/>
    </xf>
    <xf numFmtId="0" fontId="12" fillId="25" borderId="61" xfId="128" applyFont="1" applyFill="1" applyBorder="1" applyAlignment="1">
      <alignment vertical="center"/>
      <protection/>
    </xf>
    <xf numFmtId="0" fontId="12" fillId="25" borderId="74" xfId="128" applyFont="1" applyFill="1" applyBorder="1" applyAlignment="1">
      <alignment vertical="center"/>
      <protection/>
    </xf>
    <xf numFmtId="0" fontId="13" fillId="25" borderId="27" xfId="128" applyFont="1" applyFill="1" applyBorder="1" applyAlignment="1">
      <alignment vertical="center"/>
      <protection/>
    </xf>
    <xf numFmtId="3" fontId="12" fillId="25" borderId="27" xfId="128" applyNumberFormat="1" applyFont="1" applyFill="1" applyBorder="1" applyAlignment="1">
      <alignment vertical="center"/>
      <protection/>
    </xf>
    <xf numFmtId="0" fontId="12" fillId="0" borderId="27" xfId="128" applyFont="1" applyFill="1" applyBorder="1" applyAlignment="1">
      <alignment horizontal="center" vertical="center"/>
      <protection/>
    </xf>
    <xf numFmtId="0" fontId="12" fillId="0" borderId="27" xfId="128" applyFont="1" applyBorder="1" applyAlignment="1">
      <alignment horizontal="center" vertical="center"/>
      <protection/>
    </xf>
    <xf numFmtId="3" fontId="8" fillId="26" borderId="61" xfId="120" applyNumberFormat="1" applyFont="1" applyFill="1" applyBorder="1" applyAlignment="1">
      <alignment horizontal="left" vertical="top" wrapText="1"/>
      <protection/>
    </xf>
    <xf numFmtId="0" fontId="13" fillId="0" borderId="61" xfId="128" applyFont="1" applyFill="1" applyBorder="1" applyAlignment="1">
      <alignment vertical="center"/>
      <protection/>
    </xf>
    <xf numFmtId="167" fontId="13" fillId="0" borderId="27" xfId="128" applyNumberFormat="1" applyFont="1" applyBorder="1" applyAlignment="1">
      <alignment horizontal="center" vertical="center"/>
      <protection/>
    </xf>
    <xf numFmtId="49" fontId="13" fillId="0" borderId="61" xfId="120" applyNumberFormat="1" applyFont="1" applyFill="1" applyBorder="1" applyAlignment="1">
      <alignment horizontal="left" vertical="center" wrapText="1"/>
      <protection/>
    </xf>
    <xf numFmtId="0" fontId="66" fillId="0" borderId="27" xfId="103" applyFont="1" applyFill="1" applyBorder="1" applyAlignment="1">
      <alignment horizontal="left" vertical="center"/>
      <protection/>
    </xf>
    <xf numFmtId="49" fontId="13" fillId="0" borderId="61" xfId="111" applyNumberFormat="1" applyFont="1" applyBorder="1" applyAlignment="1">
      <alignment horizontal="left" vertical="center" wrapText="1"/>
      <protection/>
    </xf>
    <xf numFmtId="0" fontId="13" fillId="26" borderId="27" xfId="128" applyFont="1" applyFill="1" applyBorder="1" applyAlignment="1">
      <alignment horizontal="center" vertical="center"/>
      <protection/>
    </xf>
    <xf numFmtId="0" fontId="9" fillId="0" borderId="61" xfId="128" applyFont="1" applyFill="1" applyBorder="1" applyAlignment="1">
      <alignment vertical="center"/>
      <protection/>
    </xf>
    <xf numFmtId="3" fontId="13" fillId="0" borderId="61" xfId="120" applyNumberFormat="1" applyFont="1" applyBorder="1" applyAlignment="1">
      <alignment horizontal="left" vertical="center" wrapText="1"/>
      <protection/>
    </xf>
    <xf numFmtId="49" fontId="22" fillId="0" borderId="61" xfId="120" applyNumberFormat="1" applyFont="1" applyFill="1" applyBorder="1" applyAlignment="1">
      <alignment vertical="center" wrapText="1"/>
      <protection/>
    </xf>
    <xf numFmtId="49" fontId="13" fillId="0" borderId="72" xfId="120" applyNumberFormat="1" applyFont="1" applyBorder="1" applyAlignment="1">
      <alignment horizontal="left" vertical="center" wrapText="1"/>
      <protection/>
    </xf>
    <xf numFmtId="49" fontId="13" fillId="0" borderId="79" xfId="120" applyNumberFormat="1" applyFont="1" applyBorder="1" applyAlignment="1">
      <alignment horizontal="left" vertical="center" wrapText="1"/>
      <protection/>
    </xf>
    <xf numFmtId="0" fontId="13" fillId="0" borderId="61" xfId="128" applyFont="1" applyFill="1" applyBorder="1" applyAlignment="1">
      <alignment vertical="center"/>
      <protection/>
    </xf>
    <xf numFmtId="3" fontId="22" fillId="0" borderId="61" xfId="120" applyNumberFormat="1" applyFont="1" applyFill="1" applyBorder="1" applyAlignment="1">
      <alignment vertical="center" wrapText="1"/>
      <protection/>
    </xf>
    <xf numFmtId="3" fontId="13" fillId="0" borderId="61" xfId="111" applyNumberFormat="1" applyFont="1" applyFill="1" applyBorder="1" applyAlignment="1">
      <alignment horizontal="left" vertical="center" wrapText="1"/>
      <protection/>
    </xf>
    <xf numFmtId="49" fontId="13" fillId="0" borderId="61" xfId="111" applyNumberFormat="1" applyFont="1" applyFill="1" applyBorder="1" applyAlignment="1">
      <alignment vertical="center" wrapText="1"/>
      <protection/>
    </xf>
    <xf numFmtId="49" fontId="13" fillId="0" borderId="61" xfId="111" applyNumberFormat="1" applyFont="1" applyBorder="1" applyAlignment="1">
      <alignment horizontal="left" vertical="center" wrapText="1"/>
      <protection/>
    </xf>
    <xf numFmtId="0" fontId="13" fillId="0" borderId="61" xfId="120" applyFont="1" applyBorder="1" applyAlignment="1">
      <alignment horizontal="left" wrapText="1"/>
      <protection/>
    </xf>
    <xf numFmtId="0" fontId="9" fillId="0" borderId="74" xfId="103" applyFont="1" applyFill="1" applyBorder="1" applyAlignment="1">
      <alignment horizontal="left" vertical="center"/>
      <protection/>
    </xf>
    <xf numFmtId="0" fontId="8" fillId="26" borderId="79" xfId="120" applyFont="1" applyFill="1" applyBorder="1" applyAlignment="1">
      <alignment horizontal="left" vertical="top" wrapText="1"/>
      <protection/>
    </xf>
    <xf numFmtId="0" fontId="13" fillId="0" borderId="61" xfId="120" applyFont="1" applyFill="1" applyBorder="1">
      <alignment/>
      <protection/>
    </xf>
    <xf numFmtId="167" fontId="12" fillId="0" borderId="27" xfId="128" applyNumberFormat="1" applyFont="1" applyBorder="1" applyAlignment="1">
      <alignment horizontal="center" vertical="center"/>
      <protection/>
    </xf>
    <xf numFmtId="0" fontId="9" fillId="0" borderId="61" xfId="128" applyFont="1" applyFill="1" applyBorder="1" applyAlignment="1">
      <alignment vertical="center" wrapText="1"/>
      <protection/>
    </xf>
    <xf numFmtId="49" fontId="8" fillId="26" borderId="86" xfId="120" applyNumberFormat="1" applyFont="1" applyFill="1" applyBorder="1" applyAlignment="1">
      <alignment horizontal="left" vertical="top" wrapText="1"/>
      <protection/>
    </xf>
    <xf numFmtId="0" fontId="8" fillId="0" borderId="61" xfId="120" applyFont="1" applyBorder="1" applyAlignment="1">
      <alignment vertical="top" wrapText="1"/>
      <protection/>
    </xf>
    <xf numFmtId="49" fontId="22" fillId="0" borderId="61" xfId="109" applyNumberFormat="1" applyFont="1" applyFill="1" applyBorder="1" applyAlignment="1">
      <alignment horizontal="left" vertical="center" wrapText="1"/>
      <protection/>
    </xf>
    <xf numFmtId="0" fontId="12" fillId="25" borderId="27" xfId="128" applyFont="1" applyFill="1" applyBorder="1" applyAlignment="1">
      <alignment horizontal="center" vertical="center"/>
      <protection/>
    </xf>
    <xf numFmtId="0" fontId="12" fillId="26" borderId="61" xfId="128" applyFont="1" applyFill="1" applyBorder="1" applyAlignment="1">
      <alignment vertical="center"/>
      <protection/>
    </xf>
    <xf numFmtId="0" fontId="12" fillId="26" borderId="74" xfId="128" applyFont="1" applyFill="1" applyBorder="1" applyAlignment="1">
      <alignment vertical="center"/>
      <protection/>
    </xf>
    <xf numFmtId="0" fontId="13" fillId="26" borderId="27" xfId="128" applyFont="1" applyFill="1" applyBorder="1" applyAlignment="1">
      <alignment vertical="center"/>
      <protection/>
    </xf>
    <xf numFmtId="3" fontId="13" fillId="26" borderId="27" xfId="128" applyNumberFormat="1" applyFont="1" applyFill="1" applyBorder="1" applyAlignment="1">
      <alignment vertical="center"/>
      <protection/>
    </xf>
    <xf numFmtId="0" fontId="8" fillId="0" borderId="64" xfId="92" applyFont="1" applyFill="1" applyBorder="1" applyAlignment="1">
      <alignment vertical="center" wrapText="1"/>
      <protection/>
    </xf>
    <xf numFmtId="3" fontId="13" fillId="0" borderId="61" xfId="109" applyNumberFormat="1" applyFont="1" applyFill="1" applyBorder="1" applyAlignment="1">
      <alignment vertical="center" wrapText="1"/>
      <protection/>
    </xf>
    <xf numFmtId="0" fontId="66" fillId="26" borderId="27" xfId="103" applyFont="1" applyFill="1" applyBorder="1" applyAlignment="1">
      <alignment vertical="top"/>
      <protection/>
    </xf>
    <xf numFmtId="0" fontId="8" fillId="0" borderId="61" xfId="128" applyFont="1" applyFill="1" applyBorder="1" applyAlignment="1">
      <alignment vertical="center" wrapText="1"/>
      <protection/>
    </xf>
    <xf numFmtId="0" fontId="12" fillId="25" borderId="27" xfId="128" applyFont="1" applyFill="1" applyBorder="1" applyAlignment="1">
      <alignment horizontal="center" vertical="center" wrapText="1"/>
      <protection/>
    </xf>
    <xf numFmtId="0" fontId="9" fillId="25" borderId="61" xfId="128" applyFont="1" applyFill="1" applyBorder="1" applyAlignment="1">
      <alignment vertical="center" wrapText="1"/>
      <protection/>
    </xf>
    <xf numFmtId="0" fontId="9" fillId="25" borderId="74" xfId="128" applyFont="1" applyFill="1" applyBorder="1" applyAlignment="1">
      <alignment vertical="center" wrapText="1"/>
      <protection/>
    </xf>
    <xf numFmtId="0" fontId="8" fillId="25" borderId="27" xfId="128" applyFont="1" applyFill="1" applyBorder="1" applyAlignment="1">
      <alignment vertical="center" wrapText="1"/>
      <protection/>
    </xf>
    <xf numFmtId="3" fontId="12" fillId="25" borderId="27" xfId="128" applyNumberFormat="1" applyFont="1" applyFill="1" applyBorder="1" applyAlignment="1">
      <alignment vertical="center" wrapText="1"/>
      <protection/>
    </xf>
    <xf numFmtId="0" fontId="12" fillId="0" borderId="27" xfId="128" applyFont="1" applyFill="1" applyBorder="1" applyAlignment="1">
      <alignment horizontal="center" vertical="center" wrapText="1"/>
      <protection/>
    </xf>
    <xf numFmtId="0" fontId="9" fillId="0" borderId="74" xfId="128" applyFont="1" applyFill="1" applyBorder="1" applyAlignment="1">
      <alignment vertical="center" wrapText="1"/>
      <protection/>
    </xf>
    <xf numFmtId="0" fontId="8" fillId="0" borderId="27" xfId="128" applyFont="1" applyFill="1" applyBorder="1" applyAlignment="1">
      <alignment vertical="center" wrapText="1"/>
      <protection/>
    </xf>
    <xf numFmtId="3" fontId="12" fillId="0" borderId="27" xfId="128" applyNumberFormat="1" applyFont="1" applyFill="1" applyBorder="1" applyAlignment="1">
      <alignment vertical="center" wrapText="1"/>
      <protection/>
    </xf>
    <xf numFmtId="0" fontId="13" fillId="0" borderId="27" xfId="128" applyFont="1" applyFill="1" applyBorder="1" applyAlignment="1">
      <alignment horizontal="center" vertical="center" wrapText="1"/>
      <protection/>
    </xf>
    <xf numFmtId="0" fontId="13" fillId="0" borderId="61" xfId="128" applyFont="1" applyFill="1" applyBorder="1" applyAlignment="1">
      <alignment vertical="center" wrapText="1"/>
      <protection/>
    </xf>
    <xf numFmtId="0" fontId="8" fillId="0" borderId="74" xfId="128" applyFont="1" applyFill="1" applyBorder="1" applyAlignment="1">
      <alignment vertical="center" wrapText="1"/>
      <protection/>
    </xf>
    <xf numFmtId="0" fontId="9" fillId="0" borderId="61" xfId="128" applyFont="1" applyFill="1" applyBorder="1" applyAlignment="1">
      <alignment horizontal="left" vertical="center"/>
      <protection/>
    </xf>
    <xf numFmtId="0" fontId="13" fillId="0" borderId="61" xfId="128" applyFont="1" applyFill="1" applyBorder="1" applyAlignment="1">
      <alignment horizontal="left" vertical="center"/>
      <protection/>
    </xf>
    <xf numFmtId="0" fontId="9" fillId="0" borderId="74" xfId="128" applyFont="1" applyBorder="1" applyAlignment="1">
      <alignment vertical="center"/>
      <protection/>
    </xf>
    <xf numFmtId="0" fontId="8" fillId="0" borderId="27" xfId="128" applyFont="1" applyBorder="1" applyAlignment="1">
      <alignment vertical="center"/>
      <protection/>
    </xf>
    <xf numFmtId="0" fontId="13" fillId="0" borderId="61" xfId="128" applyFont="1" applyBorder="1" applyAlignment="1">
      <alignment vertical="center"/>
      <protection/>
    </xf>
    <xf numFmtId="0" fontId="8" fillId="0" borderId="74" xfId="128" applyFont="1" applyBorder="1" applyAlignment="1">
      <alignment vertical="center"/>
      <protection/>
    </xf>
    <xf numFmtId="0" fontId="8" fillId="25" borderId="27" xfId="128" applyFont="1" applyFill="1" applyBorder="1" applyAlignment="1">
      <alignment horizontal="center" vertical="center"/>
      <protection/>
    </xf>
    <xf numFmtId="0" fontId="9" fillId="25" borderId="61" xfId="128" applyFont="1" applyFill="1" applyBorder="1" applyAlignment="1">
      <alignment vertical="center"/>
      <protection/>
    </xf>
    <xf numFmtId="0" fontId="9" fillId="25" borderId="74" xfId="128" applyFont="1" applyFill="1" applyBorder="1" applyAlignment="1">
      <alignment vertical="center"/>
      <protection/>
    </xf>
    <xf numFmtId="0" fontId="8" fillId="25" borderId="27" xfId="128" applyFont="1" applyFill="1" applyBorder="1" applyAlignment="1">
      <alignment vertical="center"/>
      <protection/>
    </xf>
    <xf numFmtId="3" fontId="9" fillId="25" borderId="27" xfId="128" applyNumberFormat="1" applyFont="1" applyFill="1" applyBorder="1" applyAlignment="1">
      <alignment vertical="center"/>
      <protection/>
    </xf>
    <xf numFmtId="3" fontId="12" fillId="4" borderId="27" xfId="128" applyNumberFormat="1" applyFont="1" applyFill="1" applyBorder="1" applyAlignment="1">
      <alignment vertical="center"/>
      <protection/>
    </xf>
    <xf numFmtId="0" fontId="8" fillId="26" borderId="27" xfId="128" applyNumberFormat="1" applyFont="1" applyFill="1" applyBorder="1" applyAlignment="1">
      <alignment horizontal="center" vertical="center"/>
      <protection/>
    </xf>
    <xf numFmtId="0" fontId="8" fillId="26" borderId="27" xfId="128" applyFont="1" applyFill="1" applyBorder="1" applyAlignment="1">
      <alignment horizontal="center" vertical="center"/>
      <protection/>
    </xf>
    <xf numFmtId="0" fontId="8" fillId="26" borderId="74" xfId="128" applyFont="1" applyFill="1" applyBorder="1" applyAlignment="1">
      <alignment vertical="center"/>
      <protection/>
    </xf>
    <xf numFmtId="0" fontId="8" fillId="26" borderId="27" xfId="128" applyFont="1" applyFill="1" applyBorder="1" applyAlignment="1">
      <alignment vertical="center"/>
      <protection/>
    </xf>
    <xf numFmtId="3" fontId="9" fillId="26" borderId="27" xfId="128" applyNumberFormat="1" applyFont="1" applyFill="1" applyBorder="1" applyAlignment="1">
      <alignment vertical="center"/>
      <protection/>
    </xf>
    <xf numFmtId="0" fontId="12" fillId="25" borderId="27" xfId="128" applyFont="1" applyFill="1" applyBorder="1" applyAlignment="1">
      <alignment vertical="center"/>
      <protection/>
    </xf>
    <xf numFmtId="0" fontId="13" fillId="0" borderId="0" xfId="128" applyFont="1" applyBorder="1" applyAlignment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20" fillId="4" borderId="10" xfId="11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116" applyNumberFormat="1" applyFont="1" applyBorder="1" applyAlignment="1">
      <alignment horizontal="right" vertical="center" wrapText="1"/>
      <protection/>
    </xf>
    <xf numFmtId="3" fontId="8" fillId="0" borderId="10" xfId="116" applyNumberFormat="1" applyFont="1" applyBorder="1" applyAlignment="1">
      <alignment horizontal="right" vertical="center"/>
      <protection/>
    </xf>
    <xf numFmtId="0" fontId="8" fillId="0" borderId="10" xfId="116" applyFont="1" applyFill="1" applyBorder="1" applyAlignment="1">
      <alignment vertical="center" wrapText="1"/>
      <protection/>
    </xf>
    <xf numFmtId="3" fontId="8" fillId="0" borderId="10" xfId="116" applyNumberFormat="1" applyFont="1" applyFill="1" applyBorder="1" applyAlignment="1">
      <alignment horizontal="right" vertical="center"/>
      <protection/>
    </xf>
    <xf numFmtId="3" fontId="8" fillId="0" borderId="10" xfId="116" applyNumberFormat="1" applyFont="1" applyFill="1" applyBorder="1" applyAlignment="1">
      <alignment horizontal="right" vertical="center" wrapText="1"/>
      <protection/>
    </xf>
    <xf numFmtId="0" fontId="8" fillId="0" borderId="10" xfId="122" applyFont="1" applyFill="1" applyBorder="1" applyAlignment="1">
      <alignment vertical="center" wrapText="1"/>
      <protection/>
    </xf>
    <xf numFmtId="3" fontId="8" fillId="0" borderId="10" xfId="122" applyNumberFormat="1" applyFont="1" applyFill="1" applyBorder="1" applyAlignment="1">
      <alignment horizontal="right" vertical="center"/>
      <protection/>
    </xf>
    <xf numFmtId="0" fontId="8" fillId="4" borderId="10" xfId="116" applyFont="1" applyFill="1" applyBorder="1" applyAlignment="1">
      <alignment horizontal="center" vertical="center"/>
      <protection/>
    </xf>
    <xf numFmtId="0" fontId="9" fillId="4" borderId="10" xfId="116" applyFont="1" applyFill="1" applyBorder="1" applyAlignment="1">
      <alignment vertical="center"/>
      <protection/>
    </xf>
    <xf numFmtId="3" fontId="9" fillId="4" borderId="10" xfId="116" applyNumberFormat="1" applyFont="1" applyFill="1" applyBorder="1" applyAlignment="1">
      <alignment horizontal="right" vertical="center"/>
      <protection/>
    </xf>
    <xf numFmtId="0" fontId="8" fillId="0" borderId="10" xfId="116" applyFont="1" applyFill="1" applyBorder="1" applyAlignment="1">
      <alignment vertical="center"/>
      <protection/>
    </xf>
    <xf numFmtId="0" fontId="8" fillId="0" borderId="10" xfId="122" applyFont="1" applyFill="1" applyBorder="1" applyAlignment="1">
      <alignment vertical="center"/>
      <protection/>
    </xf>
    <xf numFmtId="0" fontId="78" fillId="4" borderId="65" xfId="122" applyFont="1" applyFill="1" applyBorder="1" applyAlignment="1">
      <alignment vertical="center"/>
      <protection/>
    </xf>
    <xf numFmtId="0" fontId="78" fillId="4" borderId="66" xfId="122" applyFont="1" applyFill="1" applyBorder="1" applyAlignment="1">
      <alignment vertical="center"/>
      <protection/>
    </xf>
    <xf numFmtId="0" fontId="9" fillId="4" borderId="66" xfId="122" applyFont="1" applyFill="1" applyBorder="1" applyAlignment="1">
      <alignment vertical="center"/>
      <protection/>
    </xf>
    <xf numFmtId="0" fontId="9" fillId="4" borderId="68" xfId="122" applyFont="1" applyFill="1" applyBorder="1" applyAlignment="1">
      <alignment horizontal="center" vertical="center" wrapText="1"/>
      <protection/>
    </xf>
    <xf numFmtId="0" fontId="9" fillId="4" borderId="69" xfId="122" applyFont="1" applyFill="1" applyBorder="1" applyAlignment="1">
      <alignment horizontal="center" vertical="center" wrapText="1"/>
      <protection/>
    </xf>
    <xf numFmtId="0" fontId="9" fillId="4" borderId="69" xfId="122" applyFont="1" applyFill="1" applyBorder="1" applyAlignment="1">
      <alignment horizontal="center"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9" fillId="0" borderId="10" xfId="122" applyFont="1" applyBorder="1" applyAlignment="1">
      <alignment vertical="center"/>
      <protection/>
    </xf>
    <xf numFmtId="0" fontId="8" fillId="0" borderId="50" xfId="122" applyFont="1" applyBorder="1" applyAlignment="1">
      <alignment vertical="center"/>
      <protection/>
    </xf>
    <xf numFmtId="3" fontId="8" fillId="27" borderId="50" xfId="122" applyNumberFormat="1" applyFont="1" applyFill="1" applyBorder="1" applyAlignment="1">
      <alignment vertical="center"/>
      <protection/>
    </xf>
    <xf numFmtId="3" fontId="9" fillId="0" borderId="10" xfId="122" applyNumberFormat="1" applyFont="1" applyBorder="1" applyAlignment="1">
      <alignment vertical="center"/>
      <protection/>
    </xf>
    <xf numFmtId="3" fontId="8" fillId="0" borderId="10" xfId="122" applyNumberFormat="1" applyFont="1" applyBorder="1" applyAlignment="1">
      <alignment vertical="center"/>
      <protection/>
    </xf>
    <xf numFmtId="3" fontId="8" fillId="27" borderId="10" xfId="122" applyNumberFormat="1" applyFont="1" applyFill="1" applyBorder="1" applyAlignment="1">
      <alignment vertical="center"/>
      <protection/>
    </xf>
    <xf numFmtId="0" fontId="8" fillId="0" borderId="10" xfId="122" applyFont="1" applyBorder="1" applyAlignment="1">
      <alignment horizontal="center" vertical="center"/>
      <protection/>
    </xf>
    <xf numFmtId="3" fontId="13" fillId="0" borderId="10" xfId="129" applyNumberFormat="1" applyFont="1" applyFill="1" applyBorder="1" applyAlignment="1">
      <alignment vertical="center" wrapText="1"/>
      <protection/>
    </xf>
    <xf numFmtId="3" fontId="13" fillId="0" borderId="48" xfId="129" applyNumberFormat="1" applyFont="1" applyFill="1" applyBorder="1" applyAlignment="1">
      <alignment vertical="center"/>
      <protection/>
    </xf>
    <xf numFmtId="3" fontId="8" fillId="0" borderId="10" xfId="68" applyNumberFormat="1" applyFont="1" applyBorder="1" applyAlignment="1">
      <alignment vertical="center"/>
    </xf>
    <xf numFmtId="3" fontId="8" fillId="27" borderId="10" xfId="68" applyNumberFormat="1" applyFont="1" applyFill="1" applyBorder="1" applyAlignment="1">
      <alignment vertical="center"/>
    </xf>
    <xf numFmtId="0" fontId="8" fillId="0" borderId="10" xfId="126" applyFont="1" applyFill="1" applyBorder="1" applyAlignment="1">
      <alignment vertical="center" wrapText="1"/>
      <protection/>
    </xf>
    <xf numFmtId="3" fontId="8" fillId="0" borderId="48" xfId="122" applyNumberFormat="1" applyFont="1" applyFill="1" applyBorder="1" applyAlignment="1">
      <alignment vertical="center"/>
      <protection/>
    </xf>
    <xf numFmtId="0" fontId="9" fillId="4" borderId="10" xfId="122" applyFont="1" applyFill="1" applyBorder="1" applyAlignment="1">
      <alignment horizontal="center" vertical="center"/>
      <protection/>
    </xf>
    <xf numFmtId="3" fontId="9" fillId="4" borderId="10" xfId="122" applyNumberFormat="1" applyFont="1" applyFill="1" applyBorder="1" applyAlignment="1">
      <alignment vertical="center"/>
      <protection/>
    </xf>
    <xf numFmtId="3" fontId="9" fillId="4" borderId="10" xfId="68" applyNumberFormat="1" applyFont="1" applyFill="1" applyBorder="1" applyAlignment="1">
      <alignment vertical="center"/>
    </xf>
    <xf numFmtId="3" fontId="20" fillId="0" borderId="10" xfId="122" applyNumberFormat="1" applyFont="1" applyBorder="1" applyAlignment="1">
      <alignment vertical="center"/>
      <protection/>
    </xf>
    <xf numFmtId="3" fontId="8" fillId="0" borderId="48" xfId="68" applyNumberFormat="1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48" xfId="0" applyNumberFormat="1" applyFont="1" applyFill="1" applyBorder="1" applyAlignment="1">
      <alignment vertical="center" wrapText="1"/>
    </xf>
    <xf numFmtId="3" fontId="13" fillId="0" borderId="48" xfId="0" applyNumberFormat="1" applyFont="1" applyFill="1" applyBorder="1" applyAlignment="1">
      <alignment horizontal="right" vertical="center" wrapText="1"/>
    </xf>
    <xf numFmtId="0" fontId="8" fillId="4" borderId="10" xfId="122" applyFont="1" applyFill="1" applyBorder="1" applyAlignment="1">
      <alignment horizontal="center" vertical="center"/>
      <protection/>
    </xf>
    <xf numFmtId="3" fontId="8" fillId="0" borderId="64" xfId="122" applyNumberFormat="1" applyFont="1" applyBorder="1" applyAlignment="1">
      <alignment vertical="center" wrapText="1"/>
      <protection/>
    </xf>
    <xf numFmtId="0" fontId="13" fillId="0" borderId="64" xfId="122" applyFont="1" applyFill="1" applyBorder="1" applyAlignment="1">
      <alignment vertical="center" wrapText="1"/>
      <protection/>
    </xf>
    <xf numFmtId="0" fontId="13" fillId="0" borderId="10" xfId="122" applyFont="1" applyFill="1" applyBorder="1" applyAlignment="1">
      <alignment vertical="center" wrapText="1"/>
      <protection/>
    </xf>
    <xf numFmtId="0" fontId="13" fillId="0" borderId="48" xfId="122" applyFont="1" applyFill="1" applyBorder="1" applyAlignment="1">
      <alignment vertical="center"/>
      <protection/>
    </xf>
    <xf numFmtId="0" fontId="8" fillId="0" borderId="64" xfId="122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top" wrapText="1"/>
    </xf>
    <xf numFmtId="1" fontId="13" fillId="0" borderId="64" xfId="122" applyNumberFormat="1" applyFont="1" applyFill="1" applyBorder="1" applyAlignment="1">
      <alignment vertical="center" wrapText="1"/>
      <protection/>
    </xf>
    <xf numFmtId="3" fontId="8" fillId="0" borderId="10" xfId="68" applyNumberFormat="1" applyFont="1" applyFill="1" applyBorder="1" applyAlignment="1">
      <alignment vertical="center"/>
    </xf>
    <xf numFmtId="49" fontId="8" fillId="0" borderId="10" xfId="122" applyNumberFormat="1" applyFont="1" applyBorder="1" applyAlignment="1">
      <alignment vertical="center" wrapText="1"/>
      <protection/>
    </xf>
    <xf numFmtId="3" fontId="8" fillId="0" borderId="64" xfId="0" applyNumberFormat="1" applyFont="1" applyBorder="1" applyAlignment="1">
      <alignment vertical="center" wrapText="1"/>
    </xf>
    <xf numFmtId="0" fontId="8" fillId="0" borderId="0" xfId="103" applyFont="1" applyFill="1" applyBorder="1" applyAlignment="1">
      <alignment vertical="center"/>
      <protection/>
    </xf>
    <xf numFmtId="0" fontId="13" fillId="0" borderId="64" xfId="122" applyFont="1" applyBorder="1" applyAlignment="1">
      <alignment vertical="center" wrapText="1"/>
      <protection/>
    </xf>
    <xf numFmtId="3" fontId="8" fillId="0" borderId="50" xfId="122" applyNumberFormat="1" applyFont="1" applyBorder="1" applyAlignment="1">
      <alignment vertical="center" wrapText="1"/>
      <protection/>
    </xf>
    <xf numFmtId="0" fontId="8" fillId="0" borderId="50" xfId="122" applyFont="1" applyFill="1" applyBorder="1" applyAlignment="1">
      <alignment vertical="center" wrapText="1"/>
      <protection/>
    </xf>
    <xf numFmtId="0" fontId="8" fillId="0" borderId="10" xfId="122" applyFont="1" applyBorder="1" applyAlignment="1">
      <alignment vertical="center" wrapText="1"/>
      <protection/>
    </xf>
    <xf numFmtId="3" fontId="8" fillId="0" borderId="10" xfId="122" applyNumberFormat="1" applyFont="1" applyBorder="1" applyAlignment="1">
      <alignment vertical="center" wrapText="1"/>
      <protection/>
    </xf>
    <xf numFmtId="0" fontId="8" fillId="0" borderId="55" xfId="97" applyFont="1" applyBorder="1" applyAlignment="1">
      <alignment vertical="center" wrapText="1"/>
      <protection/>
    </xf>
    <xf numFmtId="0" fontId="13" fillId="0" borderId="10" xfId="122" applyFont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 vertical="center"/>
    </xf>
    <xf numFmtId="3" fontId="8" fillId="0" borderId="10" xfId="122" applyNumberFormat="1" applyFont="1" applyFill="1" applyBorder="1" applyAlignment="1">
      <alignment vertical="center" wrapText="1"/>
      <protection/>
    </xf>
    <xf numFmtId="0" fontId="9" fillId="0" borderId="10" xfId="122" applyFont="1" applyFill="1" applyBorder="1" applyAlignment="1">
      <alignment horizontal="center" vertical="center"/>
      <protection/>
    </xf>
    <xf numFmtId="3" fontId="9" fillId="0" borderId="10" xfId="122" applyNumberFormat="1" applyFont="1" applyFill="1" applyBorder="1" applyAlignment="1">
      <alignment vertical="center"/>
      <protection/>
    </xf>
    <xf numFmtId="3" fontId="9" fillId="0" borderId="10" xfId="68" applyNumberFormat="1" applyFont="1" applyFill="1" applyBorder="1" applyAlignment="1">
      <alignment vertical="center"/>
    </xf>
    <xf numFmtId="0" fontId="8" fillId="0" borderId="10" xfId="122" applyFont="1" applyFill="1" applyBorder="1" applyAlignment="1">
      <alignment horizontal="center" vertical="center"/>
      <protection/>
    </xf>
    <xf numFmtId="3" fontId="8" fillId="0" borderId="10" xfId="122" applyNumberFormat="1" applyFont="1" applyFill="1" applyBorder="1" applyAlignment="1">
      <alignment vertical="center"/>
      <protection/>
    </xf>
    <xf numFmtId="3" fontId="9" fillId="4" borderId="10" xfId="93" applyNumberFormat="1" applyFont="1" applyFill="1" applyBorder="1" applyAlignment="1">
      <alignment vertical="center" wrapText="1"/>
      <protection/>
    </xf>
    <xf numFmtId="3" fontId="12" fillId="4" borderId="10" xfId="129" applyNumberFormat="1" applyFont="1" applyFill="1" applyBorder="1" applyAlignment="1">
      <alignment horizontal="center" vertical="center" wrapText="1"/>
      <protection/>
    </xf>
    <xf numFmtId="3" fontId="16" fillId="4" borderId="10" xfId="129" applyNumberFormat="1" applyFont="1" applyFill="1" applyBorder="1" applyAlignment="1">
      <alignment horizontal="center" vertical="center" wrapText="1"/>
      <protection/>
    </xf>
    <xf numFmtId="3" fontId="13" fillId="0" borderId="50" xfId="129" applyNumberFormat="1" applyFont="1" applyFill="1" applyBorder="1" applyAlignment="1">
      <alignment horizontal="center" vertical="center" wrapText="1"/>
      <protection/>
    </xf>
    <xf numFmtId="3" fontId="12" fillId="0" borderId="94" xfId="129" applyNumberFormat="1" applyFont="1" applyFill="1" applyBorder="1" applyAlignment="1">
      <alignment vertical="center"/>
      <protection/>
    </xf>
    <xf numFmtId="3" fontId="13" fillId="0" borderId="94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2" fillId="0" borderId="50" xfId="129" applyNumberFormat="1" applyFont="1" applyFill="1" applyBorder="1" applyAlignment="1">
      <alignment horizontal="center" vertical="center" wrapText="1"/>
      <protection/>
    </xf>
    <xf numFmtId="3" fontId="13" fillId="0" borderId="95" xfId="129" applyNumberFormat="1" applyFont="1" applyFill="1" applyBorder="1" applyAlignment="1">
      <alignment vertical="center"/>
      <protection/>
    </xf>
    <xf numFmtId="3" fontId="13" fillId="0" borderId="96" xfId="0" applyNumberFormat="1" applyFont="1" applyBorder="1" applyAlignment="1">
      <alignment vertical="center"/>
    </xf>
    <xf numFmtId="3" fontId="12" fillId="0" borderId="71" xfId="129" applyNumberFormat="1" applyFont="1" applyFill="1" applyBorder="1" applyAlignment="1">
      <alignment vertical="center"/>
      <protection/>
    </xf>
    <xf numFmtId="3" fontId="13" fillId="0" borderId="64" xfId="129" applyNumberFormat="1" applyFont="1" applyFill="1" applyBorder="1" applyAlignment="1">
      <alignment vertical="center"/>
      <protection/>
    </xf>
    <xf numFmtId="3" fontId="13" fillId="0" borderId="44" xfId="0" applyNumberFormat="1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3" fontId="13" fillId="0" borderId="10" xfId="129" applyNumberFormat="1" applyFont="1" applyFill="1" applyBorder="1" applyAlignment="1">
      <alignment horizontal="right" vertical="center" wrapText="1"/>
      <protection/>
    </xf>
    <xf numFmtId="0" fontId="13" fillId="0" borderId="48" xfId="0" applyFont="1" applyBorder="1" applyAlignment="1">
      <alignment vertical="center"/>
    </xf>
    <xf numFmtId="3" fontId="13" fillId="0" borderId="48" xfId="0" applyNumberFormat="1" applyFont="1" applyFill="1" applyBorder="1" applyAlignment="1">
      <alignment horizontal="center" vertical="center"/>
    </xf>
    <xf numFmtId="3" fontId="13" fillId="0" borderId="64" xfId="0" applyNumberFormat="1" applyFont="1" applyFill="1" applyBorder="1" applyAlignment="1">
      <alignment horizontal="left"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0" fontId="13" fillId="24" borderId="48" xfId="0" applyFont="1" applyFill="1" applyBorder="1" applyAlignment="1">
      <alignment horizontal="center" vertical="center"/>
    </xf>
    <xf numFmtId="3" fontId="13" fillId="24" borderId="48" xfId="0" applyNumberFormat="1" applyFont="1" applyFill="1" applyBorder="1" applyAlignment="1">
      <alignment vertical="center"/>
    </xf>
    <xf numFmtId="3" fontId="13" fillId="24" borderId="48" xfId="0" applyNumberFormat="1" applyFont="1" applyFill="1" applyBorder="1" applyAlignment="1">
      <alignment horizontal="center" vertical="center"/>
    </xf>
    <xf numFmtId="3" fontId="13" fillId="4" borderId="10" xfId="129" applyNumberFormat="1" applyFont="1" applyFill="1" applyBorder="1" applyAlignment="1">
      <alignment horizontal="center" vertical="center" wrapText="1"/>
      <protection/>
    </xf>
    <xf numFmtId="3" fontId="12" fillId="4" borderId="71" xfId="129" applyNumberFormat="1" applyFont="1" applyFill="1" applyBorder="1" applyAlignment="1">
      <alignment vertical="center"/>
      <protection/>
    </xf>
    <xf numFmtId="3" fontId="13" fillId="4" borderId="94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2" fillId="4" borderId="10" xfId="129" applyNumberFormat="1" applyFont="1" applyFill="1" applyBorder="1" applyAlignment="1">
      <alignment horizontal="right" vertical="center" wrapText="1"/>
      <protection/>
    </xf>
    <xf numFmtId="3" fontId="13" fillId="4" borderId="44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horizontal="center" vertical="center"/>
    </xf>
    <xf numFmtId="3" fontId="13" fillId="4" borderId="5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horizontal="center" vertical="center"/>
    </xf>
    <xf numFmtId="0" fontId="14" fillId="0" borderId="64" xfId="93" applyFont="1" applyBorder="1" applyAlignment="1">
      <alignment vertical="center"/>
      <protection/>
    </xf>
    <xf numFmtId="3" fontId="13" fillId="0" borderId="48" xfId="0" applyNumberFormat="1" applyFont="1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 vertical="center" wrapText="1"/>
    </xf>
    <xf numFmtId="3" fontId="13" fillId="0" borderId="94" xfId="0" applyNumberFormat="1" applyFont="1" applyFill="1" applyBorder="1" applyAlignment="1">
      <alignment horizontal="center" vertical="center" wrapText="1"/>
    </xf>
    <xf numFmtId="3" fontId="14" fillId="0" borderId="64" xfId="0" applyNumberFormat="1" applyFont="1" applyFill="1" applyBorder="1" applyAlignment="1">
      <alignment vertical="center"/>
    </xf>
    <xf numFmtId="0" fontId="13" fillId="0" borderId="94" xfId="0" applyFont="1" applyBorder="1" applyAlignment="1">
      <alignment horizontal="center" vertical="center"/>
    </xf>
    <xf numFmtId="3" fontId="13" fillId="0" borderId="64" xfId="0" applyNumberFormat="1" applyFont="1" applyBorder="1" applyAlignment="1">
      <alignment horizontal="left" vertical="center"/>
    </xf>
    <xf numFmtId="3" fontId="12" fillId="4" borderId="10" xfId="0" applyNumberFormat="1" applyFont="1" applyFill="1" applyBorder="1" applyAlignment="1">
      <alignment horizontal="center" vertical="center"/>
    </xf>
    <xf numFmtId="0" fontId="12" fillId="4" borderId="64" xfId="93" applyFont="1" applyFill="1" applyBorder="1" applyAlignment="1">
      <alignment vertical="center"/>
      <protection/>
    </xf>
    <xf numFmtId="3" fontId="12" fillId="4" borderId="94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2" fillId="4" borderId="64" xfId="0" applyNumberFormat="1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3" fontId="13" fillId="0" borderId="94" xfId="0" applyNumberFormat="1" applyFont="1" applyFill="1" applyBorder="1" applyAlignment="1">
      <alignment vertical="center"/>
    </xf>
    <xf numFmtId="3" fontId="12" fillId="0" borderId="10" xfId="129" applyNumberFormat="1" applyFont="1" applyFill="1" applyBorder="1" applyAlignment="1">
      <alignment horizontal="right" vertical="center" wrapText="1"/>
      <protection/>
    </xf>
    <xf numFmtId="3" fontId="13" fillId="0" borderId="44" xfId="0" applyNumberFormat="1" applyFont="1" applyFill="1" applyBorder="1" applyAlignment="1">
      <alignment vertical="center"/>
    </xf>
    <xf numFmtId="3" fontId="13" fillId="0" borderId="7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71" xfId="0" applyFont="1" applyBorder="1" applyAlignment="1">
      <alignment vertical="center"/>
    </xf>
    <xf numFmtId="3" fontId="13" fillId="0" borderId="94" xfId="0" applyNumberFormat="1" applyFont="1" applyFill="1" applyBorder="1" applyAlignment="1">
      <alignment horizontal="left" vertical="center"/>
    </xf>
    <xf numFmtId="3" fontId="12" fillId="4" borderId="44" xfId="0" applyNumberFormat="1" applyFont="1" applyFill="1" applyBorder="1" applyAlignment="1">
      <alignment vertical="center"/>
    </xf>
    <xf numFmtId="3" fontId="12" fillId="0" borderId="94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13" fillId="0" borderId="64" xfId="129" applyNumberFormat="1" applyFont="1" applyFill="1" applyBorder="1" applyAlignment="1">
      <alignment horizontal="right"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3" fontId="12" fillId="0" borderId="64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4" fillId="0" borderId="10" xfId="129" applyNumberFormat="1" applyFont="1" applyFill="1" applyBorder="1" applyAlignment="1">
      <alignment horizontal="right" vertical="center" wrapText="1"/>
      <protection/>
    </xf>
    <xf numFmtId="0" fontId="8" fillId="0" borderId="10" xfId="98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center"/>
    </xf>
    <xf numFmtId="3" fontId="13" fillId="24" borderId="64" xfId="0" applyNumberFormat="1" applyFont="1" applyFill="1" applyBorder="1" applyAlignment="1">
      <alignment vertical="center"/>
    </xf>
    <xf numFmtId="3" fontId="13" fillId="24" borderId="71" xfId="0" applyNumberFormat="1" applyFont="1" applyFill="1" applyBorder="1" applyAlignment="1">
      <alignment vertical="center"/>
    </xf>
    <xf numFmtId="3" fontId="13" fillId="24" borderId="10" xfId="0" applyNumberFormat="1" applyFont="1" applyFill="1" applyBorder="1" applyAlignment="1">
      <alignment horizontal="center" vertical="center"/>
    </xf>
    <xf numFmtId="3" fontId="13" fillId="0" borderId="71" xfId="0" applyNumberFormat="1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94" xfId="0" applyFont="1" applyBorder="1" applyAlignment="1">
      <alignment vertical="center" wrapText="1"/>
    </xf>
    <xf numFmtId="0" fontId="9" fillId="4" borderId="10" xfId="98" applyFont="1" applyFill="1" applyBorder="1" applyAlignment="1">
      <alignment horizontal="center"/>
      <protection/>
    </xf>
    <xf numFmtId="0" fontId="12" fillId="4" borderId="64" xfId="98" applyFont="1" applyFill="1" applyBorder="1" applyAlignment="1">
      <alignment vertical="center"/>
      <protection/>
    </xf>
    <xf numFmtId="0" fontId="65" fillId="4" borderId="94" xfId="0" applyFont="1" applyFill="1" applyBorder="1" applyAlignment="1">
      <alignment vertical="center"/>
    </xf>
    <xf numFmtId="0" fontId="65" fillId="4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vertical="center" wrapText="1"/>
    </xf>
    <xf numFmtId="3" fontId="15" fillId="0" borderId="64" xfId="0" applyNumberFormat="1" applyFont="1" applyBorder="1" applyAlignment="1">
      <alignment vertical="center"/>
    </xf>
    <xf numFmtId="3" fontId="12" fillId="4" borderId="71" xfId="0" applyNumberFormat="1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3" fontId="13" fillId="0" borderId="7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0" fontId="13" fillId="0" borderId="12" xfId="122" applyFont="1" applyBorder="1" applyAlignment="1">
      <alignment vertical="center"/>
      <protection/>
    </xf>
    <xf numFmtId="0" fontId="13" fillId="0" borderId="13" xfId="122" applyFont="1" applyBorder="1" applyAlignment="1">
      <alignment vertical="center"/>
      <protection/>
    </xf>
    <xf numFmtId="0" fontId="13" fillId="0" borderId="12" xfId="122" applyFont="1" applyFill="1" applyBorder="1" applyAlignment="1">
      <alignment vertical="center"/>
      <protection/>
    </xf>
    <xf numFmtId="0" fontId="13" fillId="0" borderId="13" xfId="122" applyFont="1" applyFill="1" applyBorder="1" applyAlignment="1">
      <alignment vertical="center"/>
      <protection/>
    </xf>
    <xf numFmtId="3" fontId="13" fillId="0" borderId="12" xfId="0" applyNumberFormat="1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horizontal="left" vertical="center"/>
    </xf>
    <xf numFmtId="3" fontId="12" fillId="4" borderId="97" xfId="129" applyNumberFormat="1" applyFont="1" applyFill="1" applyBorder="1" applyAlignment="1">
      <alignment horizontal="center" vertical="center" wrapText="1"/>
      <protection/>
    </xf>
    <xf numFmtId="3" fontId="12" fillId="4" borderId="98" xfId="129" applyNumberFormat="1" applyFont="1" applyFill="1" applyBorder="1" applyAlignment="1">
      <alignment horizontal="center" vertical="center" wrapText="1"/>
      <protection/>
    </xf>
    <xf numFmtId="3" fontId="16" fillId="4" borderId="38" xfId="129" applyNumberFormat="1" applyFont="1" applyFill="1" applyBorder="1" applyAlignment="1">
      <alignment horizontal="center" vertical="center" wrapText="1"/>
      <protection/>
    </xf>
    <xf numFmtId="3" fontId="16" fillId="4" borderId="39" xfId="129" applyNumberFormat="1" applyFont="1" applyFill="1" applyBorder="1" applyAlignment="1">
      <alignment horizontal="center" vertical="center" wrapText="1"/>
      <protection/>
    </xf>
    <xf numFmtId="3" fontId="16" fillId="4" borderId="99" xfId="129" applyNumberFormat="1" applyFont="1" applyFill="1" applyBorder="1" applyAlignment="1">
      <alignment horizontal="center" vertical="center"/>
      <protection/>
    </xf>
    <xf numFmtId="3" fontId="16" fillId="4" borderId="100" xfId="129" applyNumberFormat="1" applyFont="1" applyFill="1" applyBorder="1" applyAlignment="1">
      <alignment horizontal="center" vertical="center"/>
      <protection/>
    </xf>
    <xf numFmtId="3" fontId="16" fillId="4" borderId="101" xfId="129" applyNumberFormat="1" applyFont="1" applyFill="1" applyBorder="1" applyAlignment="1">
      <alignment horizontal="center" vertical="center"/>
      <protection/>
    </xf>
    <xf numFmtId="3" fontId="16" fillId="4" borderId="102" xfId="129" applyNumberFormat="1" applyFont="1" applyFill="1" applyBorder="1" applyAlignment="1">
      <alignment horizontal="center" vertical="center"/>
      <protection/>
    </xf>
    <xf numFmtId="3" fontId="13" fillId="0" borderId="12" xfId="0" applyNumberFormat="1" applyFont="1" applyBorder="1" applyAlignment="1">
      <alignment vertical="center"/>
    </xf>
    <xf numFmtId="0" fontId="12" fillId="4" borderId="103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4" borderId="10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9" fillId="4" borderId="18" xfId="12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9" fillId="4" borderId="64" xfId="122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4" borderId="64" xfId="122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9" fillId="4" borderId="55" xfId="122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3" fontId="16" fillId="4" borderId="105" xfId="0" applyNumberFormat="1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2" fillId="4" borderId="105" xfId="0" applyFont="1" applyFill="1" applyBorder="1" applyAlignment="1">
      <alignment horizontal="center" vertical="center" wrapText="1"/>
    </xf>
    <xf numFmtId="0" fontId="9" fillId="4" borderId="12" xfId="12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4" borderId="12" xfId="12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7" xfId="0" applyFont="1" applyFill="1" applyBorder="1" applyAlignment="1">
      <alignment horizontal="center" vertical="center" wrapText="1"/>
    </xf>
    <xf numFmtId="0" fontId="9" fillId="4" borderId="97" xfId="97" applyFont="1" applyFill="1" applyBorder="1" applyAlignment="1">
      <alignment horizontal="center"/>
      <protection/>
    </xf>
    <xf numFmtId="0" fontId="9" fillId="4" borderId="108" xfId="97" applyFont="1" applyFill="1" applyBorder="1" applyAlignment="1">
      <alignment horizontal="center"/>
      <protection/>
    </xf>
    <xf numFmtId="0" fontId="3" fillId="4" borderId="38" xfId="0" applyFont="1" applyFill="1" applyBorder="1" applyAlignment="1">
      <alignment horizontal="center" vertical="center" wrapText="1"/>
    </xf>
    <xf numFmtId="3" fontId="12" fillId="25" borderId="53" xfId="104" applyNumberFormat="1" applyFont="1" applyFill="1" applyBorder="1" applyAlignment="1">
      <alignment horizontal="center" vertical="center"/>
      <protection/>
    </xf>
    <xf numFmtId="3" fontId="12" fillId="25" borderId="109" xfId="104" applyNumberFormat="1" applyFont="1" applyFill="1" applyBorder="1" applyAlignment="1">
      <alignment horizontal="center" vertical="center"/>
      <protection/>
    </xf>
    <xf numFmtId="3" fontId="12" fillId="25" borderId="10" xfId="104" applyNumberFormat="1" applyFont="1" applyFill="1" applyBorder="1" applyAlignment="1">
      <alignment horizontal="center"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12" fillId="4" borderId="10" xfId="93" applyFont="1" applyFill="1" applyBorder="1" applyAlignment="1">
      <alignment horizontal="center" vertical="center" wrapText="1"/>
      <protection/>
    </xf>
    <xf numFmtId="0" fontId="2" fillId="4" borderId="55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9" fillId="4" borderId="97" xfId="93" applyFont="1" applyFill="1" applyBorder="1" applyAlignment="1">
      <alignment horizontal="center" vertical="center"/>
      <protection/>
    </xf>
    <xf numFmtId="0" fontId="9" fillId="4" borderId="108" xfId="93" applyFont="1" applyFill="1" applyBorder="1" applyAlignment="1">
      <alignment horizontal="center" vertical="center"/>
      <protection/>
    </xf>
    <xf numFmtId="0" fontId="9" fillId="4" borderId="98" xfId="93" applyFont="1" applyFill="1" applyBorder="1" applyAlignment="1">
      <alignment horizontal="center" vertical="center"/>
      <protection/>
    </xf>
    <xf numFmtId="3" fontId="13" fillId="0" borderId="13" xfId="129" applyNumberFormat="1" applyFont="1" applyFill="1" applyBorder="1" applyAlignment="1">
      <alignment vertical="center" wrapText="1"/>
      <protection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3" fillId="24" borderId="12" xfId="0" applyNumberFormat="1" applyFont="1" applyFill="1" applyBorder="1" applyAlignment="1">
      <alignment horizontal="left" vertical="center"/>
    </xf>
    <xf numFmtId="3" fontId="13" fillId="24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2" fillId="4" borderId="12" xfId="93" applyFont="1" applyFill="1" applyBorder="1" applyAlignment="1">
      <alignment vertical="center" wrapText="1"/>
      <protection/>
    </xf>
    <xf numFmtId="0" fontId="12" fillId="4" borderId="13" xfId="93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0" fontId="8" fillId="0" borderId="12" xfId="98" applyFont="1" applyFill="1" applyBorder="1" applyAlignment="1">
      <alignment vertical="center" wrapText="1"/>
      <protection/>
    </xf>
    <xf numFmtId="0" fontId="13" fillId="0" borderId="12" xfId="125" applyFont="1" applyFill="1" applyBorder="1" applyAlignment="1">
      <alignment vertical="center" wrapText="1"/>
      <protection/>
    </xf>
    <xf numFmtId="0" fontId="13" fillId="0" borderId="13" xfId="125" applyFont="1" applyFill="1" applyBorder="1" applyAlignment="1">
      <alignment vertical="center" wrapText="1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9" fillId="4" borderId="110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12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0" borderId="12" xfId="98" applyFont="1" applyFill="1" applyBorder="1" applyAlignment="1">
      <alignment vertical="center"/>
      <protection/>
    </xf>
    <xf numFmtId="0" fontId="22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122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left" vertical="center"/>
    </xf>
    <xf numFmtId="0" fontId="64" fillId="27" borderId="12" xfId="93" applyFont="1" applyFill="1" applyBorder="1" applyAlignment="1">
      <alignment horizontal="left" vertical="center" wrapText="1"/>
      <protection/>
    </xf>
    <xf numFmtId="0" fontId="64" fillId="27" borderId="15" xfId="93" applyFont="1" applyFill="1" applyBorder="1" applyAlignment="1">
      <alignment horizontal="left" vertical="center" wrapText="1"/>
      <protection/>
    </xf>
    <xf numFmtId="0" fontId="13" fillId="0" borderId="12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center" wrapText="1"/>
    </xf>
    <xf numFmtId="0" fontId="8" fillId="0" borderId="12" xfId="122" applyFont="1" applyFill="1" applyBorder="1" applyAlignment="1">
      <alignment vertical="center" wrapText="1"/>
      <protection/>
    </xf>
    <xf numFmtId="3" fontId="13" fillId="0" borderId="40" xfId="107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0" fontId="13" fillId="0" borderId="12" xfId="122" applyFont="1" applyBorder="1" applyAlignment="1">
      <alignment vertical="center" wrapText="1"/>
      <protection/>
    </xf>
    <xf numFmtId="0" fontId="13" fillId="0" borderId="15" xfId="122" applyFont="1" applyBorder="1" applyAlignment="1">
      <alignment vertical="center" wrapText="1"/>
      <protection/>
    </xf>
    <xf numFmtId="49" fontId="22" fillId="0" borderId="1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3" fontId="13" fillId="0" borderId="12" xfId="123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0" fontId="13" fillId="0" borderId="15" xfId="122" applyFont="1" applyBorder="1" applyAlignment="1">
      <alignment vertical="center"/>
      <protection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3" fontId="13" fillId="0" borderId="15" xfId="129" applyNumberFormat="1" applyFont="1" applyFill="1" applyBorder="1" applyAlignment="1">
      <alignment horizontal="left" vertical="center" wrapText="1"/>
      <protection/>
    </xf>
    <xf numFmtId="0" fontId="1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3" fontId="13" fillId="24" borderId="15" xfId="0" applyNumberFormat="1" applyFont="1" applyFill="1" applyBorder="1" applyAlignment="1">
      <alignment horizontal="left" vertical="center"/>
    </xf>
    <xf numFmtId="3" fontId="16" fillId="4" borderId="111" xfId="12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6" fillId="4" borderId="20" xfId="129" applyNumberFormat="1" applyFont="1" applyFill="1" applyBorder="1" applyAlignment="1">
      <alignment horizontal="center" vertical="center" wrapText="1"/>
      <protection/>
    </xf>
    <xf numFmtId="0" fontId="0" fillId="0" borderId="112" xfId="0" applyBorder="1" applyAlignment="1">
      <alignment horizontal="center" vertical="center"/>
    </xf>
    <xf numFmtId="3" fontId="16" fillId="4" borderId="21" xfId="129" applyNumberFormat="1" applyFont="1" applyFill="1" applyBorder="1" applyAlignment="1">
      <alignment horizontal="center" vertical="center" wrapText="1"/>
      <protection/>
    </xf>
    <xf numFmtId="3" fontId="16" fillId="4" borderId="113" xfId="129" applyNumberFormat="1" applyFont="1" applyFill="1" applyBorder="1" applyAlignment="1">
      <alignment horizontal="center" vertical="center"/>
      <protection/>
    </xf>
    <xf numFmtId="0" fontId="0" fillId="0" borderId="1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27" borderId="12" xfId="93" applyFont="1" applyFill="1" applyBorder="1" applyAlignment="1">
      <alignment horizontal="left" vertical="center" wrapText="1"/>
      <protection/>
    </xf>
    <xf numFmtId="0" fontId="13" fillId="27" borderId="15" xfId="93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122" applyFont="1" applyFill="1" applyBorder="1" applyAlignment="1">
      <alignment vertical="center"/>
      <protection/>
    </xf>
    <xf numFmtId="3" fontId="79" fillId="4" borderId="110" xfId="0" applyNumberFormat="1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3" fontId="13" fillId="0" borderId="64" xfId="129" applyNumberFormat="1" applyFont="1" applyFill="1" applyBorder="1" applyAlignment="1">
      <alignment horizontal="left" vertical="center"/>
      <protection/>
    </xf>
    <xf numFmtId="0" fontId="13" fillId="0" borderId="48" xfId="0" applyFont="1" applyBorder="1" applyAlignment="1">
      <alignment horizontal="left" vertical="center"/>
    </xf>
    <xf numFmtId="3" fontId="16" fillId="4" borderId="111" xfId="12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13" fillId="0" borderId="64" xfId="129" applyNumberFormat="1" applyFont="1" applyFill="1" applyBorder="1" applyAlignment="1">
      <alignment vertical="center"/>
      <protection/>
    </xf>
    <xf numFmtId="3" fontId="13" fillId="0" borderId="48" xfId="129" applyNumberFormat="1" applyFont="1" applyFill="1" applyBorder="1" applyAlignment="1">
      <alignment vertical="center"/>
      <protection/>
    </xf>
    <xf numFmtId="3" fontId="16" fillId="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20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13" fillId="0" borderId="48" xfId="129" applyNumberFormat="1" applyFont="1" applyFill="1" applyBorder="1" applyAlignment="1">
      <alignment horizontal="left" vertical="center"/>
      <protection/>
    </xf>
    <xf numFmtId="3" fontId="13" fillId="0" borderId="64" xfId="0" applyNumberFormat="1" applyFont="1" applyBorder="1" applyAlignment="1">
      <alignment vertical="center" wrapText="1"/>
    </xf>
    <xf numFmtId="3" fontId="13" fillId="0" borderId="71" xfId="0" applyNumberFormat="1" applyFont="1" applyBorder="1" applyAlignment="1">
      <alignment vertical="center" wrapText="1"/>
    </xf>
    <xf numFmtId="3" fontId="13" fillId="0" borderId="64" xfId="0" applyNumberFormat="1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2" fillId="4" borderId="64" xfId="93" applyFont="1" applyFill="1" applyBorder="1" applyAlignment="1">
      <alignment vertical="center" wrapText="1"/>
      <protection/>
    </xf>
    <xf numFmtId="0" fontId="0" fillId="0" borderId="71" xfId="0" applyBorder="1" applyAlignment="1">
      <alignment vertical="center"/>
    </xf>
    <xf numFmtId="3" fontId="15" fillId="0" borderId="64" xfId="0" applyNumberFormat="1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64" xfId="122" applyFont="1" applyBorder="1" applyAlignment="1">
      <alignment vertical="center" wrapText="1"/>
      <protection/>
    </xf>
    <xf numFmtId="0" fontId="13" fillId="0" borderId="71" xfId="122" applyFont="1" applyBorder="1" applyAlignment="1">
      <alignment vertical="center" wrapText="1"/>
      <protection/>
    </xf>
    <xf numFmtId="3" fontId="13" fillId="0" borderId="64" xfId="123" applyNumberFormat="1" applyFont="1" applyFill="1" applyBorder="1" applyAlignment="1">
      <alignment vertical="center" wrapText="1"/>
      <protection/>
    </xf>
    <xf numFmtId="0" fontId="0" fillId="0" borderId="71" xfId="0" applyFill="1" applyBorder="1" applyAlignment="1">
      <alignment vertical="center" wrapText="1"/>
    </xf>
    <xf numFmtId="0" fontId="64" fillId="27" borderId="64" xfId="93" applyFont="1" applyFill="1" applyBorder="1" applyAlignment="1">
      <alignment horizontal="left" vertical="center" wrapText="1"/>
      <protection/>
    </xf>
    <xf numFmtId="0" fontId="64" fillId="27" borderId="71" xfId="93" applyFont="1" applyFill="1" applyBorder="1" applyAlignment="1">
      <alignment horizontal="left" vertical="center" wrapText="1"/>
      <protection/>
    </xf>
    <xf numFmtId="0" fontId="8" fillId="0" borderId="64" xfId="122" applyFont="1" applyFill="1" applyBorder="1" applyAlignment="1">
      <alignment vertical="center" wrapText="1"/>
      <protection/>
    </xf>
    <xf numFmtId="3" fontId="12" fillId="0" borderId="115" xfId="0" applyNumberFormat="1" applyFont="1" applyBorder="1" applyAlignment="1">
      <alignment vertical="center" wrapText="1"/>
    </xf>
    <xf numFmtId="0" fontId="0" fillId="0" borderId="115" xfId="0" applyBorder="1" applyAlignment="1">
      <alignment vertical="center" wrapText="1"/>
    </xf>
    <xf numFmtId="0" fontId="13" fillId="0" borderId="64" xfId="98" applyFont="1" applyFill="1" applyBorder="1" applyAlignment="1">
      <alignment vertical="center"/>
      <protection/>
    </xf>
    <xf numFmtId="0" fontId="22" fillId="0" borderId="71" xfId="0" applyFont="1" applyBorder="1" applyAlignment="1">
      <alignment vertical="center"/>
    </xf>
    <xf numFmtId="3" fontId="13" fillId="0" borderId="64" xfId="0" applyNumberFormat="1" applyFont="1" applyBorder="1" applyAlignment="1">
      <alignment horizontal="left" vertical="center"/>
    </xf>
    <xf numFmtId="3" fontId="13" fillId="0" borderId="71" xfId="0" applyNumberFormat="1" applyFont="1" applyBorder="1" applyAlignment="1">
      <alignment horizontal="left" vertical="center"/>
    </xf>
    <xf numFmtId="3" fontId="13" fillId="0" borderId="64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71" xfId="0" applyNumberFormat="1" applyFont="1" applyBorder="1" applyAlignment="1">
      <alignment vertical="center"/>
    </xf>
    <xf numFmtId="3" fontId="13" fillId="0" borderId="64" xfId="0" applyNumberFormat="1" applyFont="1" applyFill="1" applyBorder="1" applyAlignment="1">
      <alignment horizontal="left" vertical="center" wrapText="1"/>
    </xf>
    <xf numFmtId="3" fontId="13" fillId="0" borderId="71" xfId="0" applyNumberFormat="1" applyFont="1" applyFill="1" applyBorder="1" applyAlignment="1">
      <alignment horizontal="left" vertical="center" wrapText="1"/>
    </xf>
    <xf numFmtId="0" fontId="13" fillId="0" borderId="64" xfId="122" applyFont="1" applyBorder="1" applyAlignment="1">
      <alignment vertical="center"/>
      <protection/>
    </xf>
    <xf numFmtId="0" fontId="13" fillId="0" borderId="71" xfId="122" applyFont="1" applyBorder="1" applyAlignment="1">
      <alignment vertical="center"/>
      <protection/>
    </xf>
    <xf numFmtId="3" fontId="13" fillId="0" borderId="64" xfId="0" applyNumberFormat="1" applyFont="1" applyBorder="1" applyAlignment="1">
      <alignment horizontal="left" vertical="center" wrapText="1"/>
    </xf>
    <xf numFmtId="3" fontId="13" fillId="0" borderId="48" xfId="0" applyNumberFormat="1" applyFont="1" applyBorder="1" applyAlignment="1">
      <alignment horizontal="left" vertical="center" wrapText="1"/>
    </xf>
    <xf numFmtId="3" fontId="13" fillId="0" borderId="64" xfId="129" applyNumberFormat="1" applyFont="1" applyFill="1" applyBorder="1" applyAlignment="1">
      <alignment horizontal="left" vertical="center" wrapText="1"/>
      <protection/>
    </xf>
    <xf numFmtId="3" fontId="13" fillId="0" borderId="71" xfId="129" applyNumberFormat="1" applyFont="1" applyFill="1" applyBorder="1" applyAlignment="1">
      <alignment horizontal="left" vertical="center" wrapText="1"/>
      <protection/>
    </xf>
    <xf numFmtId="3" fontId="13" fillId="0" borderId="48" xfId="0" applyNumberFormat="1" applyFont="1" applyFill="1" applyBorder="1" applyAlignment="1">
      <alignment horizontal="left" vertical="center" wrapText="1"/>
    </xf>
    <xf numFmtId="0" fontId="13" fillId="0" borderId="64" xfId="122" applyFont="1" applyFill="1" applyBorder="1" applyAlignment="1">
      <alignment vertical="center" wrapText="1"/>
      <protection/>
    </xf>
    <xf numFmtId="0" fontId="0" fillId="0" borderId="71" xfId="0" applyFont="1" applyFill="1" applyBorder="1" applyAlignment="1">
      <alignment vertical="center" wrapText="1"/>
    </xf>
    <xf numFmtId="3" fontId="13" fillId="0" borderId="48" xfId="0" applyNumberFormat="1" applyFont="1" applyBorder="1" applyAlignment="1">
      <alignment horizontal="left" vertical="center"/>
    </xf>
    <xf numFmtId="49" fontId="13" fillId="0" borderId="64" xfId="0" applyNumberFormat="1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left" vertical="center"/>
    </xf>
    <xf numFmtId="3" fontId="13" fillId="0" borderId="95" xfId="107" applyNumberFormat="1" applyFont="1" applyBorder="1" applyAlignment="1">
      <alignment horizontal="left" vertical="center" wrapText="1"/>
      <protection/>
    </xf>
    <xf numFmtId="0" fontId="0" fillId="0" borderId="94" xfId="0" applyBorder="1" applyAlignment="1">
      <alignment vertical="center" wrapText="1"/>
    </xf>
    <xf numFmtId="0" fontId="13" fillId="0" borderId="64" xfId="122" applyFont="1" applyFill="1" applyBorder="1" applyAlignment="1">
      <alignment vertical="center"/>
      <protection/>
    </xf>
    <xf numFmtId="0" fontId="13" fillId="0" borderId="71" xfId="122" applyFont="1" applyFill="1" applyBorder="1" applyAlignment="1">
      <alignment vertical="center"/>
      <protection/>
    </xf>
    <xf numFmtId="49" fontId="13" fillId="0" borderId="64" xfId="0" applyNumberFormat="1" applyFont="1" applyFill="1" applyBorder="1" applyAlignment="1">
      <alignment horizontal="left" vertical="center" wrapText="1"/>
    </xf>
    <xf numFmtId="49" fontId="13" fillId="0" borderId="48" xfId="0" applyNumberFormat="1" applyFont="1" applyFill="1" applyBorder="1" applyAlignment="1">
      <alignment horizontal="left" vertical="center" wrapText="1"/>
    </xf>
    <xf numFmtId="3" fontId="13" fillId="0" borderId="64" xfId="0" applyNumberFormat="1" applyFont="1" applyFill="1" applyBorder="1" applyAlignment="1">
      <alignment horizontal="left" vertical="center"/>
    </xf>
    <xf numFmtId="3" fontId="13" fillId="0" borderId="48" xfId="0" applyNumberFormat="1" applyFont="1" applyFill="1" applyBorder="1" applyAlignment="1">
      <alignment horizontal="left" vertical="center"/>
    </xf>
    <xf numFmtId="3" fontId="16" fillId="4" borderId="65" xfId="129" applyNumberFormat="1" applyFont="1" applyFill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 vertical="center"/>
    </xf>
    <xf numFmtId="3" fontId="16" fillId="4" borderId="66" xfId="129" applyNumberFormat="1" applyFont="1" applyFill="1" applyBorder="1" applyAlignment="1">
      <alignment horizontal="center" vertical="center" wrapText="1"/>
      <protection/>
    </xf>
    <xf numFmtId="3" fontId="16" fillId="4" borderId="117" xfId="129" applyNumberFormat="1" applyFont="1" applyFill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13" fillId="0" borderId="64" xfId="0" applyNumberFormat="1" applyFont="1" applyFill="1" applyBorder="1" applyAlignment="1">
      <alignment vertical="center" wrapText="1"/>
    </xf>
    <xf numFmtId="3" fontId="13" fillId="0" borderId="48" xfId="0" applyNumberFormat="1" applyFont="1" applyFill="1" applyBorder="1" applyAlignment="1">
      <alignment vertical="center" wrapText="1"/>
    </xf>
    <xf numFmtId="0" fontId="13" fillId="0" borderId="64" xfId="126" applyFont="1" applyFill="1" applyBorder="1" applyAlignment="1">
      <alignment vertical="center" wrapText="1"/>
      <protection/>
    </xf>
    <xf numFmtId="0" fontId="13" fillId="0" borderId="48" xfId="126" applyFont="1" applyFill="1" applyBorder="1" applyAlignment="1">
      <alignment vertical="center" wrapText="1"/>
      <protection/>
    </xf>
    <xf numFmtId="3" fontId="14" fillId="0" borderId="64" xfId="0" applyNumberFormat="1" applyFont="1" applyFill="1" applyBorder="1" applyAlignment="1">
      <alignment vertical="center"/>
    </xf>
    <xf numFmtId="3" fontId="14" fillId="0" borderId="48" xfId="0" applyNumberFormat="1" applyFont="1" applyFill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0" fontId="13" fillId="0" borderId="48" xfId="122" applyFont="1" applyBorder="1" applyAlignment="1">
      <alignment vertical="center"/>
      <protection/>
    </xf>
    <xf numFmtId="3" fontId="8" fillId="0" borderId="64" xfId="122" applyNumberFormat="1" applyFont="1" applyFill="1" applyBorder="1" applyAlignment="1">
      <alignment horizontal="left" vertical="center" wrapText="1"/>
      <protection/>
    </xf>
    <xf numFmtId="3" fontId="8" fillId="0" borderId="48" xfId="122" applyNumberFormat="1" applyFont="1" applyFill="1" applyBorder="1" applyAlignment="1">
      <alignment horizontal="left" vertical="center" wrapText="1"/>
      <protection/>
    </xf>
    <xf numFmtId="3" fontId="13" fillId="0" borderId="48" xfId="129" applyNumberFormat="1" applyFont="1" applyFill="1" applyBorder="1" applyAlignment="1">
      <alignment horizontal="left" vertical="center" wrapText="1"/>
      <protection/>
    </xf>
    <xf numFmtId="3" fontId="13" fillId="0" borderId="64" xfId="129" applyNumberFormat="1" applyFont="1" applyBorder="1" applyAlignment="1">
      <alignment horizontal="left" vertical="center"/>
      <protection/>
    </xf>
    <xf numFmtId="3" fontId="13" fillId="0" borderId="48" xfId="129" applyNumberFormat="1" applyFont="1" applyBorder="1" applyAlignment="1">
      <alignment horizontal="left" vertical="center"/>
      <protection/>
    </xf>
    <xf numFmtId="0" fontId="13" fillId="0" borderId="48" xfId="0" applyFont="1" applyBorder="1" applyAlignment="1">
      <alignment vertical="center"/>
    </xf>
    <xf numFmtId="3" fontId="14" fillId="0" borderId="64" xfId="0" applyNumberFormat="1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9" fillId="25" borderId="120" xfId="103" applyFont="1" applyFill="1" applyBorder="1" applyAlignment="1">
      <alignment horizontal="center" vertical="center" wrapText="1"/>
      <protection/>
    </xf>
    <xf numFmtId="0" fontId="9" fillId="25" borderId="121" xfId="103" applyFont="1" applyFill="1" applyBorder="1" applyAlignment="1">
      <alignment horizontal="center" vertical="center" wrapText="1"/>
      <protection/>
    </xf>
    <xf numFmtId="0" fontId="9" fillId="25" borderId="88" xfId="103" applyFont="1" applyFill="1" applyBorder="1" applyAlignment="1">
      <alignment horizontal="center" vertical="center" wrapText="1"/>
      <protection/>
    </xf>
    <xf numFmtId="0" fontId="9" fillId="4" borderId="27" xfId="103" applyFont="1" applyFill="1" applyBorder="1" applyAlignment="1">
      <alignment horizontal="center" vertical="center" wrapText="1"/>
      <protection/>
    </xf>
    <xf numFmtId="0" fontId="9" fillId="4" borderId="61" xfId="103" applyFont="1" applyFill="1" applyBorder="1" applyAlignment="1">
      <alignment horizontal="center" vertical="center" wrapText="1"/>
      <protection/>
    </xf>
    <xf numFmtId="0" fontId="9" fillId="4" borderId="80" xfId="103" applyFont="1" applyFill="1" applyBorder="1" applyAlignment="1">
      <alignment horizontal="center" vertical="center" wrapText="1"/>
      <protection/>
    </xf>
    <xf numFmtId="0" fontId="9" fillId="4" borderId="74" xfId="103" applyFont="1" applyFill="1" applyBorder="1" applyAlignment="1">
      <alignment horizontal="center" vertical="center" wrapText="1"/>
      <protection/>
    </xf>
    <xf numFmtId="0" fontId="20" fillId="25" borderId="83" xfId="103" applyFont="1" applyFill="1" applyBorder="1" applyAlignment="1">
      <alignment horizontal="center" vertical="center" wrapText="1"/>
      <protection/>
    </xf>
    <xf numFmtId="0" fontId="2" fillId="0" borderId="59" xfId="0" applyFont="1" applyBorder="1" applyAlignment="1">
      <alignment horizontal="center" wrapText="1"/>
    </xf>
    <xf numFmtId="0" fontId="9" fillId="25" borderId="82" xfId="103" applyFont="1" applyFill="1" applyBorder="1" applyAlignment="1">
      <alignment horizontal="center" vertical="center" wrapText="1"/>
      <protection/>
    </xf>
    <xf numFmtId="0" fontId="3" fillId="0" borderId="57" xfId="0" applyFont="1" applyBorder="1" applyAlignment="1">
      <alignment horizontal="center" vertical="center" wrapText="1"/>
    </xf>
    <xf numFmtId="0" fontId="9" fillId="25" borderId="83" xfId="103" applyFont="1" applyFill="1" applyBorder="1" applyAlignment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9" fillId="25" borderId="84" xfId="103" applyFont="1" applyFill="1" applyBorder="1" applyAlignment="1">
      <alignment horizontal="center" vertical="center" wrapText="1"/>
      <protection/>
    </xf>
    <xf numFmtId="0" fontId="3" fillId="0" borderId="85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12" fillId="4" borderId="64" xfId="128" applyFont="1" applyFill="1" applyBorder="1" applyAlignment="1">
      <alignment horizontal="center" vertical="center" wrapText="1"/>
      <protection/>
    </xf>
    <xf numFmtId="0" fontId="12" fillId="4" borderId="71" xfId="128" applyFont="1" applyFill="1" applyBorder="1" applyAlignment="1">
      <alignment horizontal="center" vertical="center" wrapText="1"/>
      <protection/>
    </xf>
    <xf numFmtId="0" fontId="12" fillId="4" borderId="48" xfId="128" applyFont="1" applyFill="1" applyBorder="1" applyAlignment="1">
      <alignment horizontal="center" vertical="center" wrapText="1"/>
      <protection/>
    </xf>
    <xf numFmtId="3" fontId="14" fillId="0" borderId="61" xfId="120" applyNumberFormat="1" applyFont="1" applyBorder="1" applyAlignment="1">
      <alignment vertical="center"/>
      <protection/>
    </xf>
    <xf numFmtId="3" fontId="14" fillId="0" borderId="74" xfId="120" applyNumberFormat="1" applyFont="1" applyBorder="1" applyAlignment="1">
      <alignment vertical="center"/>
      <protection/>
    </xf>
    <xf numFmtId="0" fontId="12" fillId="25" borderId="120" xfId="128" applyFont="1" applyFill="1" applyBorder="1" applyAlignment="1">
      <alignment horizontal="center" vertical="center" wrapText="1"/>
      <protection/>
    </xf>
    <xf numFmtId="0" fontId="12" fillId="25" borderId="121" xfId="128" applyFont="1" applyFill="1" applyBorder="1" applyAlignment="1">
      <alignment horizontal="center" vertical="center" wrapText="1"/>
      <protection/>
    </xf>
    <xf numFmtId="0" fontId="12" fillId="25" borderId="122" xfId="128" applyFont="1" applyFill="1" applyBorder="1" applyAlignment="1">
      <alignment horizontal="center" vertical="center" wrapText="1"/>
      <protection/>
    </xf>
    <xf numFmtId="0" fontId="12" fillId="25" borderId="83" xfId="128" applyFont="1" applyFill="1" applyBorder="1" applyAlignment="1">
      <alignment horizontal="center" vertical="center" wrapText="1"/>
      <protection/>
    </xf>
    <xf numFmtId="0" fontId="0" fillId="0" borderId="123" xfId="0" applyBorder="1" applyAlignment="1">
      <alignment horizontal="center" vertical="center" wrapText="1"/>
    </xf>
    <xf numFmtId="0" fontId="9" fillId="4" borderId="10" xfId="116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55" xfId="116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wrapText="1"/>
    </xf>
    <xf numFmtId="0" fontId="20" fillId="4" borderId="55" xfId="116" applyFont="1" applyFill="1" applyBorder="1" applyAlignment="1">
      <alignment horizontal="center" vertical="center" wrapText="1"/>
      <protection/>
    </xf>
    <xf numFmtId="0" fontId="20" fillId="4" borderId="50" xfId="116" applyFont="1" applyFill="1" applyBorder="1" applyAlignment="1">
      <alignment horizontal="center" vertical="center" wrapText="1"/>
      <protection/>
    </xf>
    <xf numFmtId="3" fontId="16" fillId="25" borderId="124" xfId="117" applyNumberFormat="1" applyFont="1" applyFill="1" applyBorder="1" applyAlignment="1">
      <alignment horizontal="center" vertical="center" wrapText="1"/>
      <protection/>
    </xf>
    <xf numFmtId="0" fontId="0" fillId="0" borderId="125" xfId="0" applyBorder="1" applyAlignment="1">
      <alignment horizontal="center" vertical="center" wrapText="1"/>
    </xf>
    <xf numFmtId="3" fontId="16" fillId="25" borderId="27" xfId="117" applyNumberFormat="1" applyFont="1" applyFill="1" applyBorder="1" applyAlignment="1">
      <alignment horizontal="center" vertical="center" wrapText="1"/>
      <protection/>
    </xf>
    <xf numFmtId="3" fontId="16" fillId="25" borderId="126" xfId="117" applyNumberFormat="1" applyFont="1" applyFill="1" applyBorder="1" applyAlignment="1">
      <alignment horizontal="center" vertical="center" wrapText="1"/>
      <protection/>
    </xf>
    <xf numFmtId="3" fontId="16" fillId="25" borderId="127" xfId="117" applyNumberFormat="1" applyFont="1" applyFill="1" applyBorder="1" applyAlignment="1">
      <alignment horizontal="center" vertical="center" wrapText="1"/>
      <protection/>
    </xf>
    <xf numFmtId="3" fontId="16" fillId="25" borderId="128" xfId="117" applyNumberFormat="1" applyFont="1" applyFill="1" applyBorder="1" applyAlignment="1">
      <alignment horizontal="center" wrapText="1"/>
      <protection/>
    </xf>
    <xf numFmtId="3" fontId="16" fillId="25" borderId="129" xfId="117" applyNumberFormat="1" applyFont="1" applyFill="1" applyBorder="1" applyAlignment="1">
      <alignment horizontal="center" vertical="center" wrapText="1"/>
      <protection/>
    </xf>
    <xf numFmtId="3" fontId="16" fillId="25" borderId="34" xfId="117" applyNumberFormat="1" applyFont="1" applyFill="1" applyBorder="1" applyAlignment="1">
      <alignment horizontal="center" vertical="center" wrapText="1"/>
      <protection/>
    </xf>
    <xf numFmtId="3" fontId="16" fillId="25" borderId="130" xfId="117" applyNumberFormat="1" applyFont="1" applyFill="1" applyBorder="1" applyAlignment="1">
      <alignment horizontal="center" vertical="center" wrapText="1"/>
      <protection/>
    </xf>
    <xf numFmtId="3" fontId="16" fillId="25" borderId="131" xfId="117" applyNumberFormat="1" applyFont="1" applyFill="1" applyBorder="1" applyAlignment="1">
      <alignment horizontal="center" vertical="center" wrapText="1"/>
      <protection/>
    </xf>
    <xf numFmtId="3" fontId="16" fillId="25" borderId="132" xfId="117" applyNumberFormat="1" applyFont="1" applyFill="1" applyBorder="1" applyAlignment="1">
      <alignment horizontal="center" vertical="center" wrapText="1"/>
      <protection/>
    </xf>
    <xf numFmtId="3" fontId="16" fillId="25" borderId="133" xfId="117" applyNumberFormat="1" applyFont="1" applyFill="1" applyBorder="1" applyAlignment="1">
      <alignment horizontal="center" vertical="center" wrapText="1"/>
      <protection/>
    </xf>
    <xf numFmtId="3" fontId="16" fillId="25" borderId="30" xfId="117" applyNumberFormat="1" applyFont="1" applyFill="1" applyBorder="1" applyAlignment="1">
      <alignment horizontal="center" vertical="center" wrapText="1"/>
      <protection/>
    </xf>
    <xf numFmtId="3" fontId="16" fillId="25" borderId="35" xfId="117" applyNumberFormat="1" applyFont="1" applyFill="1" applyBorder="1" applyAlignment="1">
      <alignment horizontal="center" vertical="center" wrapText="1"/>
      <protection/>
    </xf>
    <xf numFmtId="3" fontId="9" fillId="4" borderId="134" xfId="113" applyNumberFormat="1" applyFont="1" applyFill="1" applyBorder="1" applyAlignment="1">
      <alignment horizontal="center" vertical="center" wrapText="1"/>
      <protection/>
    </xf>
    <xf numFmtId="0" fontId="9" fillId="0" borderId="135" xfId="0" applyFont="1" applyBorder="1" applyAlignment="1">
      <alignment/>
    </xf>
    <xf numFmtId="0" fontId="9" fillId="0" borderId="136" xfId="0" applyFont="1" applyBorder="1" applyAlignment="1">
      <alignment/>
    </xf>
    <xf numFmtId="0" fontId="9" fillId="4" borderId="38" xfId="113" applyFont="1" applyFill="1" applyBorder="1" applyAlignment="1">
      <alignment horizontal="center" vertical="center" wrapText="1"/>
      <protection/>
    </xf>
    <xf numFmtId="0" fontId="9" fillId="4" borderId="137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34" xfId="113" applyFont="1" applyFill="1" applyBorder="1" applyAlignment="1">
      <alignment horizontal="center" vertical="center" wrapText="1"/>
      <protection/>
    </xf>
    <xf numFmtId="0" fontId="9" fillId="4" borderId="10" xfId="11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3" fontId="9" fillId="4" borderId="138" xfId="113" applyNumberFormat="1" applyFont="1" applyFill="1" applyBorder="1" applyAlignment="1">
      <alignment horizontal="center" vertical="center" wrapText="1"/>
      <protection/>
    </xf>
    <xf numFmtId="0" fontId="9" fillId="0" borderId="104" xfId="0" applyFont="1" applyBorder="1" applyAlignment="1">
      <alignment/>
    </xf>
    <xf numFmtId="0" fontId="9" fillId="0" borderId="139" xfId="0" applyFont="1" applyBorder="1" applyAlignment="1">
      <alignment/>
    </xf>
    <xf numFmtId="0" fontId="9" fillId="4" borderId="10" xfId="11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</cellXfs>
  <cellStyles count="13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KÖLTSÉGVETÉS_2013 (1)" xfId="102"/>
    <cellStyle name="Normál_   7   x_Másolat eredetije2014. műk-beru-felúj." xfId="103"/>
    <cellStyle name="Normál_  3   _2010.évi állami" xfId="104"/>
    <cellStyle name="Normál_16.sz. melléklet" xfId="105"/>
    <cellStyle name="Normál_18. sz. melléklet" xfId="106"/>
    <cellStyle name="Normál_2012. évi beszámoló 5.a 6a" xfId="107"/>
    <cellStyle name="Normál_2012_költségvetés_MCS_111215_Másolat eredetije2014. műk-beru-felúj." xfId="108"/>
    <cellStyle name="Normál_213_évi_költségvetés_MCS" xfId="109"/>
    <cellStyle name="Normál_7_Másolat eredetije2014. műk-beru-felúj." xfId="110"/>
    <cellStyle name="Normál_8_Másolat eredetije2014. műk-beru-felúj." xfId="111"/>
    <cellStyle name="Normál_Beillesztendő 17. tábla 2013.IV.név" xfId="112"/>
    <cellStyle name="Normál_Európai Uniós pályázatok 2009.01.15. átdolgozott" xfId="113"/>
    <cellStyle name="Normál_Hitelek 2014" xfId="114"/>
    <cellStyle name="Normál_Intézmények 2014" xfId="115"/>
    <cellStyle name="Normál_INTKIA96" xfId="116"/>
    <cellStyle name="Normál_KÖLTSÉGVETÉS_2013 (1)" xfId="117"/>
    <cellStyle name="Normál_KTGVTERV" xfId="118"/>
    <cellStyle name="Normál_Létszám 2014. évi ktgvetés" xfId="119"/>
    <cellStyle name="Normál_Másolat eredetije2014. műk-beru-felúj." xfId="120"/>
    <cellStyle name="Normál_Munka1" xfId="121"/>
    <cellStyle name="Normál_Munka2 (2)" xfId="122"/>
    <cellStyle name="Normál_Munka2 (2)_2012. évi beszámoló 5.a 6a" xfId="123"/>
    <cellStyle name="Normál_Munka2 (2)_KÖLTSÉGVETÉS_2013 (1)" xfId="124"/>
    <cellStyle name="Normál_Munka3 (2)" xfId="125"/>
    <cellStyle name="Normál_Munka3 (2)_2014 II negyedévi ei  módosítás" xfId="126"/>
    <cellStyle name="Normál_Munka3 (2)_2014.I.negyedévi ei. módosítás" xfId="127"/>
    <cellStyle name="Normál_Munka3 (2)_Másolat eredetije2014. műk-beru-felúj." xfId="128"/>
    <cellStyle name="Normál_ÖKIADELÖ" xfId="129"/>
    <cellStyle name="Normál_ÖKIADELÖ_Másolat eredetije2014. műk-beru-felúj." xfId="130"/>
    <cellStyle name="Normal_tanusitv" xfId="131"/>
    <cellStyle name="Note" xfId="132"/>
    <cellStyle name="Output" xfId="133"/>
    <cellStyle name="Összesen" xfId="134"/>
    <cellStyle name="Currency" xfId="135"/>
    <cellStyle name="Currency [0]" xfId="136"/>
    <cellStyle name="Rossz" xfId="137"/>
    <cellStyle name="Semleges" xfId="138"/>
    <cellStyle name="Számítás" xfId="139"/>
    <cellStyle name="Percent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523\2014.I.negyed&#233;vi%20ei.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4\0627\2014%20II%20negyed&#233;vi%20ei%20%20m&#243;dos&#237;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2">
          <cell r="J32">
            <v>42600</v>
          </cell>
          <cell r="K32">
            <v>16200</v>
          </cell>
        </row>
        <row r="121">
          <cell r="J121">
            <v>30299</v>
          </cell>
          <cell r="K121">
            <v>248324</v>
          </cell>
        </row>
        <row r="231">
          <cell r="J231">
            <v>307743</v>
          </cell>
          <cell r="K231">
            <v>6368</v>
          </cell>
        </row>
        <row r="241">
          <cell r="J241">
            <v>560</v>
          </cell>
          <cell r="K241">
            <v>-300</v>
          </cell>
        </row>
        <row r="244">
          <cell r="J244">
            <v>0</v>
          </cell>
          <cell r="K244">
            <v>0</v>
          </cell>
        </row>
        <row r="250">
          <cell r="J250">
            <v>0</v>
          </cell>
          <cell r="K250">
            <v>7550</v>
          </cell>
        </row>
        <row r="253">
          <cell r="J253">
            <v>250</v>
          </cell>
          <cell r="K253">
            <v>0</v>
          </cell>
        </row>
        <row r="256">
          <cell r="J256">
            <v>0</v>
          </cell>
        </row>
      </sheetData>
      <sheetData sheetId="7">
        <row r="44">
          <cell r="J44">
            <v>-2500</v>
          </cell>
          <cell r="K44">
            <v>2500</v>
          </cell>
        </row>
        <row r="155">
          <cell r="J155">
            <v>2456</v>
          </cell>
          <cell r="K155">
            <v>4300</v>
          </cell>
        </row>
        <row r="175">
          <cell r="J175">
            <v>7292</v>
          </cell>
          <cell r="K175">
            <v>0</v>
          </cell>
        </row>
        <row r="181">
          <cell r="J181">
            <v>0</v>
          </cell>
          <cell r="K181">
            <v>13970</v>
          </cell>
        </row>
        <row r="185">
          <cell r="K185">
            <v>0</v>
          </cell>
        </row>
      </sheetData>
      <sheetData sheetId="13">
        <row r="20">
          <cell r="C20">
            <v>40614</v>
          </cell>
          <cell r="D20">
            <v>37876</v>
          </cell>
          <cell r="E20">
            <v>0</v>
          </cell>
          <cell r="F20">
            <v>10900</v>
          </cell>
          <cell r="G20">
            <v>0</v>
          </cell>
          <cell r="H20">
            <v>394</v>
          </cell>
          <cell r="I20">
            <v>0</v>
          </cell>
          <cell r="J20">
            <v>200339</v>
          </cell>
          <cell r="L20">
            <v>0</v>
          </cell>
        </row>
      </sheetData>
      <sheetData sheetId="14">
        <row r="20">
          <cell r="C20">
            <v>66585</v>
          </cell>
          <cell r="D20">
            <v>12329</v>
          </cell>
          <cell r="E20">
            <v>142599</v>
          </cell>
          <cell r="F20">
            <v>0</v>
          </cell>
          <cell r="G20">
            <v>7966</v>
          </cell>
          <cell r="H20">
            <v>73182</v>
          </cell>
          <cell r="I20">
            <v>29876</v>
          </cell>
          <cell r="J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táj.1."/>
      <sheetName val="táj.2."/>
    </sheetNames>
    <sheetDataSet>
      <sheetData sheetId="6">
        <row r="7">
          <cell r="J7">
            <v>0</v>
          </cell>
          <cell r="K7">
            <v>0</v>
          </cell>
        </row>
        <row r="33">
          <cell r="J33">
            <v>20682</v>
          </cell>
          <cell r="K33">
            <v>0</v>
          </cell>
        </row>
        <row r="123">
          <cell r="J123">
            <v>6757</v>
          </cell>
          <cell r="K123">
            <v>-33986</v>
          </cell>
        </row>
        <row r="234">
          <cell r="J234">
            <v>-42384</v>
          </cell>
          <cell r="K234">
            <v>0</v>
          </cell>
        </row>
        <row r="245">
          <cell r="J245">
            <v>2500</v>
          </cell>
          <cell r="K245">
            <v>0</v>
          </cell>
        </row>
        <row r="248">
          <cell r="J248">
            <v>0</v>
          </cell>
          <cell r="K248">
            <v>0</v>
          </cell>
        </row>
        <row r="255">
          <cell r="J255">
            <v>0</v>
          </cell>
          <cell r="K255">
            <v>0</v>
          </cell>
        </row>
        <row r="258">
          <cell r="J258">
            <v>0</v>
          </cell>
          <cell r="K258">
            <v>130</v>
          </cell>
        </row>
        <row r="261">
          <cell r="J261">
            <v>0</v>
          </cell>
        </row>
      </sheetData>
      <sheetData sheetId="7">
        <row r="48">
          <cell r="J48">
            <v>-17000</v>
          </cell>
          <cell r="K48">
            <v>17000</v>
          </cell>
        </row>
        <row r="159">
          <cell r="J159">
            <v>-2219</v>
          </cell>
          <cell r="K159">
            <v>0</v>
          </cell>
        </row>
        <row r="179">
          <cell r="J179">
            <v>0</v>
          </cell>
          <cell r="K179">
            <v>0</v>
          </cell>
        </row>
        <row r="185">
          <cell r="J185">
            <v>0</v>
          </cell>
          <cell r="K185">
            <v>0</v>
          </cell>
        </row>
        <row r="189">
          <cell r="K189">
            <v>0</v>
          </cell>
        </row>
      </sheetData>
      <sheetData sheetId="10">
        <row r="8">
          <cell r="D8">
            <v>56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6">
          <cell r="D16">
            <v>650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8">
          <cell r="D28">
            <v>1266</v>
          </cell>
          <cell r="E28">
            <v>-33986</v>
          </cell>
          <cell r="F28">
            <v>0</v>
          </cell>
          <cell r="G28">
            <v>22388</v>
          </cell>
          <cell r="H28">
            <v>0</v>
          </cell>
          <cell r="I28">
            <v>0</v>
          </cell>
          <cell r="J28">
            <v>400</v>
          </cell>
          <cell r="K28">
            <v>0</v>
          </cell>
          <cell r="L28">
            <v>0</v>
          </cell>
          <cell r="M2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63842</v>
          </cell>
          <cell r="H39">
            <v>2500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56">
          <cell r="D56">
            <v>267813</v>
          </cell>
          <cell r="E56">
            <v>-77421</v>
          </cell>
          <cell r="F56">
            <v>0</v>
          </cell>
          <cell r="G56">
            <v>168959</v>
          </cell>
          <cell r="H56">
            <v>0</v>
          </cell>
          <cell r="I56">
            <v>0</v>
          </cell>
          <cell r="J56">
            <v>0</v>
          </cell>
          <cell r="K56">
            <v>-20000</v>
          </cell>
          <cell r="L56">
            <v>14000</v>
          </cell>
          <cell r="M56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500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11">
        <row r="23">
          <cell r="F23">
            <v>0</v>
          </cell>
          <cell r="G23">
            <v>0</v>
          </cell>
          <cell r="H23">
            <v>1500</v>
          </cell>
          <cell r="I23">
            <v>173196</v>
          </cell>
          <cell r="J23">
            <v>3850</v>
          </cell>
          <cell r="O23">
            <v>0</v>
          </cell>
        </row>
        <row r="26">
          <cell r="K26">
            <v>0</v>
          </cell>
          <cell r="L26">
            <v>0</v>
          </cell>
          <cell r="M26">
            <v>0</v>
          </cell>
        </row>
        <row r="61">
          <cell r="F61">
            <v>5851</v>
          </cell>
          <cell r="G61">
            <v>1597</v>
          </cell>
          <cell r="H61">
            <v>10372</v>
          </cell>
          <cell r="I61">
            <v>0</v>
          </cell>
          <cell r="J61">
            <v>10000</v>
          </cell>
          <cell r="N61">
            <v>0</v>
          </cell>
          <cell r="O61">
            <v>0</v>
          </cell>
        </row>
        <row r="64">
          <cell r="K64">
            <v>20682</v>
          </cell>
          <cell r="L64">
            <v>-17000</v>
          </cell>
          <cell r="M64">
            <v>17000</v>
          </cell>
        </row>
        <row r="77">
          <cell r="F77">
            <v>655</v>
          </cell>
          <cell r="G77">
            <v>80</v>
          </cell>
          <cell r="H77">
            <v>-1581</v>
          </cell>
          <cell r="I77">
            <v>0</v>
          </cell>
          <cell r="J77">
            <v>-3058</v>
          </cell>
          <cell r="N77">
            <v>0</v>
          </cell>
          <cell r="O77">
            <v>0</v>
          </cell>
        </row>
        <row r="80">
          <cell r="K80">
            <v>6757</v>
          </cell>
          <cell r="L80">
            <v>-2219</v>
          </cell>
          <cell r="M80">
            <v>-33986</v>
          </cell>
        </row>
        <row r="84">
          <cell r="H84">
            <v>13208</v>
          </cell>
          <cell r="J84">
            <v>13208</v>
          </cell>
        </row>
        <row r="87">
          <cell r="K87">
            <v>-42384</v>
          </cell>
          <cell r="L87">
            <v>0</v>
          </cell>
          <cell r="M87">
            <v>0</v>
          </cell>
        </row>
        <row r="93">
          <cell r="F93">
            <v>0</v>
          </cell>
          <cell r="G93">
            <v>0</v>
          </cell>
          <cell r="H93">
            <v>2500</v>
          </cell>
          <cell r="I93">
            <v>0</v>
          </cell>
          <cell r="J93">
            <v>0</v>
          </cell>
          <cell r="N93">
            <v>0</v>
          </cell>
          <cell r="O93">
            <v>61342</v>
          </cell>
        </row>
        <row r="96">
          <cell r="K96">
            <v>2500</v>
          </cell>
          <cell r="L96">
            <v>0</v>
          </cell>
          <cell r="M96">
            <v>0</v>
          </cell>
        </row>
        <row r="100">
          <cell r="F100">
            <v>0</v>
          </cell>
          <cell r="G100">
            <v>0</v>
          </cell>
          <cell r="H100">
            <v>6000</v>
          </cell>
          <cell r="I100">
            <v>0</v>
          </cell>
          <cell r="J100">
            <v>0</v>
          </cell>
          <cell r="N100">
            <v>0</v>
          </cell>
          <cell r="O100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</row>
        <row r="114">
          <cell r="F114">
            <v>0</v>
          </cell>
          <cell r="G114">
            <v>0</v>
          </cell>
          <cell r="H114">
            <v>46610</v>
          </cell>
          <cell r="I114">
            <v>0</v>
          </cell>
          <cell r="J114">
            <v>12897</v>
          </cell>
          <cell r="N114">
            <v>0</v>
          </cell>
          <cell r="O114">
            <v>133387</v>
          </cell>
        </row>
        <row r="117">
          <cell r="K117">
            <v>0</v>
          </cell>
          <cell r="L117">
            <v>0</v>
          </cell>
          <cell r="M117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8">
          <cell r="F128">
            <v>8062</v>
          </cell>
          <cell r="G128">
            <v>4031</v>
          </cell>
          <cell r="H128">
            <v>-13076</v>
          </cell>
          <cell r="I128">
            <v>0</v>
          </cell>
          <cell r="J128">
            <v>2353</v>
          </cell>
          <cell r="N128">
            <v>0</v>
          </cell>
          <cell r="O128">
            <v>0</v>
          </cell>
        </row>
        <row r="130">
          <cell r="K130">
            <v>0</v>
          </cell>
          <cell r="L130">
            <v>0</v>
          </cell>
          <cell r="M130">
            <v>130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-43350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</sheetData>
      <sheetData sheetId="12">
        <row r="3">
          <cell r="C3">
            <v>7506</v>
          </cell>
          <cell r="K3">
            <v>129</v>
          </cell>
          <cell r="M3">
            <v>7635</v>
          </cell>
        </row>
        <row r="4">
          <cell r="D4">
            <v>2000</v>
          </cell>
          <cell r="K4">
            <v>1322</v>
          </cell>
          <cell r="M4">
            <v>3322</v>
          </cell>
        </row>
        <row r="5">
          <cell r="D5">
            <v>15000</v>
          </cell>
          <cell r="K5">
            <v>584</v>
          </cell>
          <cell r="M5">
            <v>15584</v>
          </cell>
        </row>
        <row r="6">
          <cell r="K6">
            <v>699</v>
          </cell>
          <cell r="M6">
            <v>699</v>
          </cell>
        </row>
        <row r="7">
          <cell r="K7">
            <v>438</v>
          </cell>
          <cell r="M7">
            <v>438</v>
          </cell>
        </row>
        <row r="8">
          <cell r="K8">
            <v>336</v>
          </cell>
          <cell r="M8">
            <v>336</v>
          </cell>
        </row>
        <row r="9">
          <cell r="K9">
            <v>363</v>
          </cell>
          <cell r="M9">
            <v>363</v>
          </cell>
        </row>
        <row r="10">
          <cell r="K10">
            <v>371</v>
          </cell>
          <cell r="M10">
            <v>371</v>
          </cell>
        </row>
        <row r="11">
          <cell r="C11">
            <v>1000</v>
          </cell>
          <cell r="F11">
            <v>2910</v>
          </cell>
          <cell r="K11">
            <v>702</v>
          </cell>
          <cell r="M11">
            <v>4612</v>
          </cell>
        </row>
        <row r="12">
          <cell r="C12">
            <v>17160</v>
          </cell>
          <cell r="D12">
            <v>1200</v>
          </cell>
          <cell r="K12">
            <v>392</v>
          </cell>
          <cell r="M12">
            <v>18752</v>
          </cell>
        </row>
        <row r="13">
          <cell r="F13">
            <v>380</v>
          </cell>
          <cell r="K13">
            <v>-1</v>
          </cell>
          <cell r="M13">
            <v>379</v>
          </cell>
        </row>
        <row r="14">
          <cell r="C14">
            <v>9836</v>
          </cell>
          <cell r="K14">
            <v>2642</v>
          </cell>
          <cell r="M14">
            <v>12478</v>
          </cell>
        </row>
        <row r="15">
          <cell r="C15">
            <v>400</v>
          </cell>
          <cell r="F15">
            <v>-400</v>
          </cell>
          <cell r="G15">
            <v>400</v>
          </cell>
          <cell r="H15">
            <v>60</v>
          </cell>
          <cell r="K15">
            <v>315</v>
          </cell>
          <cell r="M15">
            <v>775</v>
          </cell>
        </row>
        <row r="16">
          <cell r="K16">
            <v>1181</v>
          </cell>
          <cell r="M16">
            <v>1181</v>
          </cell>
        </row>
        <row r="17">
          <cell r="K17">
            <v>367</v>
          </cell>
          <cell r="M17">
            <v>367</v>
          </cell>
        </row>
        <row r="18">
          <cell r="K18">
            <v>-15</v>
          </cell>
          <cell r="M18">
            <v>-15</v>
          </cell>
        </row>
        <row r="19">
          <cell r="F19">
            <v>300</v>
          </cell>
          <cell r="K19">
            <v>28</v>
          </cell>
          <cell r="M19">
            <v>328</v>
          </cell>
        </row>
        <row r="20">
          <cell r="C20">
            <v>35902</v>
          </cell>
          <cell r="D20">
            <v>18200</v>
          </cell>
          <cell r="E20">
            <v>0</v>
          </cell>
          <cell r="F20">
            <v>3190</v>
          </cell>
          <cell r="G20">
            <v>400</v>
          </cell>
          <cell r="H20">
            <v>60</v>
          </cell>
          <cell r="I20">
            <v>0</v>
          </cell>
          <cell r="J20">
            <v>0</v>
          </cell>
          <cell r="L20">
            <v>0</v>
          </cell>
        </row>
      </sheetData>
      <sheetData sheetId="13">
        <row r="3">
          <cell r="C3">
            <v>5639</v>
          </cell>
          <cell r="D3">
            <v>1250</v>
          </cell>
          <cell r="E3">
            <v>617</v>
          </cell>
          <cell r="G3">
            <v>129</v>
          </cell>
          <cell r="L3">
            <v>7635</v>
          </cell>
        </row>
        <row r="4">
          <cell r="C4">
            <v>935</v>
          </cell>
          <cell r="D4">
            <v>-1513</v>
          </cell>
          <cell r="E4">
            <v>900</v>
          </cell>
          <cell r="G4">
            <v>1000</v>
          </cell>
          <cell r="H4">
            <v>2000</v>
          </cell>
          <cell r="L4">
            <v>3322</v>
          </cell>
        </row>
        <row r="5">
          <cell r="C5">
            <v>827</v>
          </cell>
          <cell r="D5">
            <v>-443</v>
          </cell>
          <cell r="E5">
            <v>150</v>
          </cell>
          <cell r="G5">
            <v>50</v>
          </cell>
          <cell r="H5">
            <v>7842</v>
          </cell>
          <cell r="I5">
            <v>7158</v>
          </cell>
          <cell r="L5">
            <v>15584</v>
          </cell>
        </row>
        <row r="6">
          <cell r="C6">
            <v>398</v>
          </cell>
          <cell r="D6">
            <v>1</v>
          </cell>
          <cell r="H6">
            <v>300</v>
          </cell>
          <cell r="L6">
            <v>699</v>
          </cell>
        </row>
        <row r="7">
          <cell r="C7">
            <v>99</v>
          </cell>
          <cell r="D7">
            <v>-61</v>
          </cell>
          <cell r="E7">
            <v>150</v>
          </cell>
          <cell r="G7">
            <v>50</v>
          </cell>
          <cell r="H7">
            <v>200</v>
          </cell>
          <cell r="L7">
            <v>438</v>
          </cell>
        </row>
        <row r="8">
          <cell r="C8">
            <v>95</v>
          </cell>
          <cell r="D8">
            <v>-159</v>
          </cell>
          <cell r="E8">
            <v>150</v>
          </cell>
          <cell r="G8">
            <v>50</v>
          </cell>
          <cell r="H8">
            <v>200</v>
          </cell>
          <cell r="L8">
            <v>336</v>
          </cell>
        </row>
        <row r="9">
          <cell r="C9">
            <v>164</v>
          </cell>
          <cell r="D9">
            <v>-101</v>
          </cell>
          <cell r="E9">
            <v>150</v>
          </cell>
          <cell r="G9">
            <v>50</v>
          </cell>
          <cell r="H9">
            <v>100</v>
          </cell>
          <cell r="L9">
            <v>363</v>
          </cell>
        </row>
        <row r="10">
          <cell r="C10">
            <v>85</v>
          </cell>
          <cell r="D10">
            <v>-64</v>
          </cell>
          <cell r="E10">
            <v>100</v>
          </cell>
          <cell r="G10">
            <v>50</v>
          </cell>
          <cell r="H10">
            <v>200</v>
          </cell>
          <cell r="L10">
            <v>371</v>
          </cell>
        </row>
        <row r="11">
          <cell r="C11">
            <v>658</v>
          </cell>
          <cell r="D11">
            <v>110</v>
          </cell>
          <cell r="E11">
            <v>2574</v>
          </cell>
          <cell r="I11">
            <v>1270</v>
          </cell>
          <cell r="L11">
            <v>4612</v>
          </cell>
        </row>
        <row r="12">
          <cell r="C12">
            <v>3926</v>
          </cell>
          <cell r="D12">
            <v>805</v>
          </cell>
          <cell r="E12">
            <v>13521</v>
          </cell>
          <cell r="H12">
            <v>1400</v>
          </cell>
          <cell r="I12">
            <v>-900</v>
          </cell>
          <cell r="L12">
            <v>18752</v>
          </cell>
        </row>
        <row r="13">
          <cell r="C13">
            <v>103</v>
          </cell>
          <cell r="D13">
            <v>18</v>
          </cell>
          <cell r="E13">
            <v>58</v>
          </cell>
          <cell r="H13">
            <v>200</v>
          </cell>
          <cell r="L13">
            <v>379</v>
          </cell>
        </row>
        <row r="14">
          <cell r="C14">
            <v>2723</v>
          </cell>
          <cell r="D14">
            <v>550</v>
          </cell>
          <cell r="E14">
            <v>-15795</v>
          </cell>
          <cell r="H14">
            <v>25000</v>
          </cell>
          <cell r="L14">
            <v>12478</v>
          </cell>
        </row>
        <row r="15">
          <cell r="C15">
            <v>169</v>
          </cell>
          <cell r="D15">
            <v>46</v>
          </cell>
          <cell r="E15">
            <v>560</v>
          </cell>
          <cell r="L15">
            <v>775</v>
          </cell>
        </row>
        <row r="16">
          <cell r="C16">
            <v>693</v>
          </cell>
          <cell r="D16">
            <v>188</v>
          </cell>
          <cell r="E16">
            <v>300</v>
          </cell>
          <cell r="L16">
            <v>1181</v>
          </cell>
        </row>
        <row r="17">
          <cell r="C17">
            <v>171</v>
          </cell>
          <cell r="D17">
            <v>46</v>
          </cell>
          <cell r="E17">
            <v>150</v>
          </cell>
          <cell r="L17">
            <v>367</v>
          </cell>
        </row>
        <row r="18">
          <cell r="C18">
            <v>83</v>
          </cell>
          <cell r="D18">
            <v>-98</v>
          </cell>
          <cell r="L18">
            <v>-15</v>
          </cell>
        </row>
        <row r="19">
          <cell r="C19">
            <v>22</v>
          </cell>
          <cell r="D19">
            <v>6</v>
          </cell>
          <cell r="H19">
            <v>300</v>
          </cell>
          <cell r="L19">
            <v>328</v>
          </cell>
        </row>
        <row r="20">
          <cell r="C20">
            <v>16790</v>
          </cell>
          <cell r="D20">
            <v>581</v>
          </cell>
          <cell r="E20">
            <v>3585</v>
          </cell>
          <cell r="F20">
            <v>0</v>
          </cell>
          <cell r="G20">
            <v>1379</v>
          </cell>
          <cell r="H20">
            <v>37742</v>
          </cell>
          <cell r="I20">
            <v>7528</v>
          </cell>
          <cell r="J20">
            <v>0</v>
          </cell>
          <cell r="K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1">
      <selection activeCell="I6" sqref="I6:I7"/>
    </sheetView>
  </sheetViews>
  <sheetFormatPr defaultColWidth="9.00390625" defaultRowHeight="12.75"/>
  <cols>
    <col min="1" max="1" width="39.625" style="26" customWidth="1"/>
    <col min="2" max="3" width="13.625" style="26" customWidth="1"/>
    <col min="4" max="4" width="12.625" style="7" customWidth="1"/>
    <col min="5" max="5" width="2.00390625" style="23" customWidth="1"/>
    <col min="6" max="6" width="40.125" style="26" customWidth="1"/>
    <col min="7" max="7" width="11.00390625" style="26" customWidth="1"/>
    <col min="8" max="8" width="13.875" style="26" customWidth="1"/>
    <col min="9" max="9" width="12.50390625" style="7" customWidth="1"/>
    <col min="10" max="16384" width="9.375" style="24" customWidth="1"/>
  </cols>
  <sheetData>
    <row r="1" spans="1:9" s="21" customFormat="1" ht="39.75" customHeight="1" thickBot="1">
      <c r="A1" s="565" t="s">
        <v>1345</v>
      </c>
      <c r="B1" s="566" t="s">
        <v>785</v>
      </c>
      <c r="C1" s="566" t="s">
        <v>786</v>
      </c>
      <c r="D1" s="567" t="s">
        <v>787</v>
      </c>
      <c r="E1" s="38"/>
      <c r="F1" s="565" t="s">
        <v>1345</v>
      </c>
      <c r="G1" s="566" t="s">
        <v>785</v>
      </c>
      <c r="H1" s="566" t="s">
        <v>786</v>
      </c>
      <c r="I1" s="567" t="s">
        <v>787</v>
      </c>
    </row>
    <row r="2" spans="1:9" s="22" customFormat="1" ht="12.75" customHeight="1">
      <c r="A2" s="568" t="s">
        <v>1600</v>
      </c>
      <c r="B2" s="569"/>
      <c r="C2" s="569"/>
      <c r="D2" s="570"/>
      <c r="E2" s="39"/>
      <c r="F2" s="568" t="s">
        <v>1601</v>
      </c>
      <c r="G2" s="568"/>
      <c r="H2" s="568"/>
      <c r="I2" s="571"/>
    </row>
    <row r="3" spans="1:9" ht="24.75" customHeight="1">
      <c r="A3" s="572" t="s">
        <v>1149</v>
      </c>
      <c r="B3" s="573">
        <v>2820917</v>
      </c>
      <c r="C3" s="572">
        <v>551308</v>
      </c>
      <c r="D3" s="573">
        <f aca="true" t="shared" si="0" ref="D3:D10">SUM(B3:C3)</f>
        <v>3372225</v>
      </c>
      <c r="E3" s="40"/>
      <c r="F3" s="572" t="s">
        <v>1636</v>
      </c>
      <c r="G3" s="573">
        <v>6188882</v>
      </c>
      <c r="H3" s="572">
        <v>251814</v>
      </c>
      <c r="I3" s="573">
        <f>SUM(G3:H3)</f>
        <v>6440696</v>
      </c>
    </row>
    <row r="4" spans="1:9" ht="15" customHeight="1">
      <c r="A4" s="572" t="s">
        <v>1151</v>
      </c>
      <c r="B4" s="574">
        <v>3474772</v>
      </c>
      <c r="C4" s="572"/>
      <c r="D4" s="573">
        <f t="shared" si="0"/>
        <v>3474772</v>
      </c>
      <c r="E4" s="40"/>
      <c r="F4" s="575" t="s">
        <v>762</v>
      </c>
      <c r="G4" s="573">
        <v>2145619</v>
      </c>
      <c r="H4" s="572">
        <v>466568</v>
      </c>
      <c r="I4" s="573">
        <f>SUM(G4:H4)</f>
        <v>2612187</v>
      </c>
    </row>
    <row r="5" spans="1:9" ht="24.75" customHeight="1">
      <c r="A5" s="572" t="s">
        <v>1152</v>
      </c>
      <c r="B5" s="574">
        <v>2047660</v>
      </c>
      <c r="C5" s="572">
        <v>244557</v>
      </c>
      <c r="D5" s="573">
        <f t="shared" si="0"/>
        <v>2292217</v>
      </c>
      <c r="E5" s="40"/>
      <c r="F5" s="572" t="s">
        <v>180</v>
      </c>
      <c r="G5" s="574">
        <v>1219153</v>
      </c>
      <c r="H5" s="572">
        <v>258311</v>
      </c>
      <c r="I5" s="573">
        <f>SUM(G5:H5)</f>
        <v>1477464</v>
      </c>
    </row>
    <row r="6" spans="1:9" ht="24" customHeight="1">
      <c r="A6" s="572" t="s">
        <v>1155</v>
      </c>
      <c r="B6" s="573">
        <v>59600</v>
      </c>
      <c r="C6" s="572">
        <v>954</v>
      </c>
      <c r="D6" s="573">
        <f t="shared" si="0"/>
        <v>60554</v>
      </c>
      <c r="E6" s="40"/>
      <c r="F6" s="572" t="s">
        <v>1610</v>
      </c>
      <c r="G6" s="573">
        <v>324818</v>
      </c>
      <c r="H6" s="572">
        <v>-93378</v>
      </c>
      <c r="I6" s="573">
        <f>SUM(G6:H6)</f>
        <v>231440</v>
      </c>
    </row>
    <row r="7" spans="1:9" ht="13.5" customHeight="1">
      <c r="A7" s="576" t="s">
        <v>88</v>
      </c>
      <c r="B7" s="576">
        <f>SUM(B3+B4+B5+B6)</f>
        <v>8402949</v>
      </c>
      <c r="C7" s="576">
        <f>SUM(C3+C4+C5+C6)</f>
        <v>796819</v>
      </c>
      <c r="D7" s="573">
        <f t="shared" si="0"/>
        <v>9199768</v>
      </c>
      <c r="E7" s="40"/>
      <c r="F7" s="572" t="s">
        <v>1551</v>
      </c>
      <c r="G7" s="573">
        <v>5000</v>
      </c>
      <c r="H7" s="572">
        <v>-1100</v>
      </c>
      <c r="I7" s="573">
        <f>SUM(G7:H7)</f>
        <v>3900</v>
      </c>
    </row>
    <row r="8" spans="1:9" ht="13.5" customHeight="1">
      <c r="A8" s="575" t="s">
        <v>1148</v>
      </c>
      <c r="B8" s="576"/>
      <c r="C8" s="576"/>
      <c r="D8" s="573">
        <f t="shared" si="0"/>
        <v>0</v>
      </c>
      <c r="E8" s="40"/>
      <c r="F8" s="576" t="s">
        <v>101</v>
      </c>
      <c r="G8" s="568">
        <f>SUM(G2:G7)</f>
        <v>9883472</v>
      </c>
      <c r="H8" s="568">
        <f>SUM(H2:H7)</f>
        <v>882215</v>
      </c>
      <c r="I8" s="568">
        <f>SUM(I2:I7)</f>
        <v>10765687</v>
      </c>
    </row>
    <row r="9" spans="1:9" ht="24.75" customHeight="1">
      <c r="A9" s="575" t="s">
        <v>1156</v>
      </c>
      <c r="B9" s="577">
        <v>1480523</v>
      </c>
      <c r="C9" s="575">
        <v>446663</v>
      </c>
      <c r="D9" s="573">
        <f t="shared" si="0"/>
        <v>1927186</v>
      </c>
      <c r="E9" s="40"/>
      <c r="F9" s="575" t="s">
        <v>1159</v>
      </c>
      <c r="G9" s="573"/>
      <c r="H9" s="572"/>
      <c r="I9" s="573"/>
    </row>
    <row r="10" spans="1:9" s="22" customFormat="1" ht="24.75" customHeight="1">
      <c r="A10" s="575" t="s">
        <v>1157</v>
      </c>
      <c r="B10" s="578"/>
      <c r="C10" s="575">
        <v>99</v>
      </c>
      <c r="D10" s="573">
        <f t="shared" si="0"/>
        <v>99</v>
      </c>
      <c r="E10" s="40"/>
      <c r="F10" s="575" t="s">
        <v>1505</v>
      </c>
      <c r="G10" s="573"/>
      <c r="H10" s="575">
        <v>222701</v>
      </c>
      <c r="I10" s="572">
        <f>SUM(G10:H10)</f>
        <v>222701</v>
      </c>
    </row>
    <row r="11" spans="1:9" s="22" customFormat="1" ht="12" customHeight="1">
      <c r="A11" s="579" t="s">
        <v>1286</v>
      </c>
      <c r="B11" s="580">
        <f>SUM(B7:B10)</f>
        <v>9883472</v>
      </c>
      <c r="C11" s="580">
        <f>SUM(C7:C10)</f>
        <v>1243581</v>
      </c>
      <c r="D11" s="580">
        <f>SUM(D7:D10)</f>
        <v>11127053</v>
      </c>
      <c r="E11" s="40"/>
      <c r="F11" s="583" t="s">
        <v>1611</v>
      </c>
      <c r="G11" s="583">
        <f>SUM(G8:G10)</f>
        <v>9883472</v>
      </c>
      <c r="H11" s="583">
        <f>SUM(H8:H10)</f>
        <v>1104916</v>
      </c>
      <c r="I11" s="583">
        <f>SUM(I8:I10)</f>
        <v>10988388</v>
      </c>
    </row>
    <row r="12" spans="1:9" ht="13.5" customHeight="1">
      <c r="A12" s="568" t="s">
        <v>35</v>
      </c>
      <c r="B12" s="568"/>
      <c r="C12" s="568"/>
      <c r="D12" s="573"/>
      <c r="E12" s="40"/>
      <c r="F12" s="568" t="s">
        <v>32</v>
      </c>
      <c r="G12" s="568"/>
      <c r="H12" s="568"/>
      <c r="I12" s="576"/>
    </row>
    <row r="13" spans="1:9" ht="24" customHeight="1">
      <c r="A13" s="572" t="s">
        <v>1150</v>
      </c>
      <c r="B13" s="573">
        <v>4607238</v>
      </c>
      <c r="C13" s="572">
        <v>1474291</v>
      </c>
      <c r="D13" s="573">
        <f aca="true" t="shared" si="1" ref="D13:D21">SUM(B13:C13)</f>
        <v>6081529</v>
      </c>
      <c r="E13" s="40"/>
      <c r="F13" s="572" t="s">
        <v>1158</v>
      </c>
      <c r="G13" s="572">
        <v>516142</v>
      </c>
      <c r="H13" s="572">
        <v>282056</v>
      </c>
      <c r="I13" s="572">
        <f aca="true" t="shared" si="2" ref="I13:I25">SUM(G13:H13)</f>
        <v>798198</v>
      </c>
    </row>
    <row r="14" spans="1:9" ht="19.5" customHeight="1">
      <c r="A14" s="572" t="s">
        <v>1151</v>
      </c>
      <c r="B14" s="573">
        <v>783728</v>
      </c>
      <c r="C14" s="572"/>
      <c r="D14" s="573">
        <f t="shared" si="1"/>
        <v>783728</v>
      </c>
      <c r="E14" s="40"/>
      <c r="F14" s="572" t="s">
        <v>33</v>
      </c>
      <c r="G14" s="573">
        <v>43543</v>
      </c>
      <c r="H14" s="572">
        <v>37770</v>
      </c>
      <c r="I14" s="572">
        <f t="shared" si="2"/>
        <v>81313</v>
      </c>
    </row>
    <row r="15" spans="1:9" ht="15" customHeight="1">
      <c r="A15" s="572" t="s">
        <v>1153</v>
      </c>
      <c r="B15" s="578">
        <v>251100</v>
      </c>
      <c r="C15" s="572">
        <v>2900</v>
      </c>
      <c r="D15" s="573">
        <f t="shared" si="1"/>
        <v>254000</v>
      </c>
      <c r="E15" s="40"/>
      <c r="F15" s="572" t="s">
        <v>34</v>
      </c>
      <c r="G15" s="578">
        <v>472599</v>
      </c>
      <c r="H15" s="572">
        <v>244286</v>
      </c>
      <c r="I15" s="572">
        <f t="shared" si="2"/>
        <v>716885</v>
      </c>
    </row>
    <row r="16" spans="1:9" ht="24.75" customHeight="1">
      <c r="A16" s="572" t="s">
        <v>1154</v>
      </c>
      <c r="B16" s="578">
        <v>220000</v>
      </c>
      <c r="C16" s="572">
        <v>1146</v>
      </c>
      <c r="D16" s="573">
        <f t="shared" si="1"/>
        <v>221146</v>
      </c>
      <c r="E16" s="40"/>
      <c r="F16" s="572" t="s">
        <v>1566</v>
      </c>
      <c r="G16" s="573"/>
      <c r="H16" s="572"/>
      <c r="I16" s="572">
        <f t="shared" si="2"/>
        <v>0</v>
      </c>
    </row>
    <row r="17" spans="1:9" ht="15" customHeight="1">
      <c r="A17" s="572" t="s">
        <v>179</v>
      </c>
      <c r="B17" s="578">
        <v>68305</v>
      </c>
      <c r="C17" s="572">
        <v>273141</v>
      </c>
      <c r="D17" s="573">
        <f t="shared" si="1"/>
        <v>341446</v>
      </c>
      <c r="E17" s="39"/>
      <c r="F17" s="572" t="s">
        <v>36</v>
      </c>
      <c r="G17" s="573">
        <v>6800899</v>
      </c>
      <c r="H17" s="572">
        <v>479931</v>
      </c>
      <c r="I17" s="572">
        <f t="shared" si="2"/>
        <v>7280830</v>
      </c>
    </row>
    <row r="18" spans="1:9" ht="12.75" customHeight="1">
      <c r="A18" s="576" t="s">
        <v>89</v>
      </c>
      <c r="B18" s="568">
        <f>SUM(B12:B17)</f>
        <v>5930371</v>
      </c>
      <c r="C18" s="568">
        <f>SUM(C12:C17)</f>
        <v>1751478</v>
      </c>
      <c r="D18" s="573">
        <f t="shared" si="1"/>
        <v>7681849</v>
      </c>
      <c r="E18" s="39"/>
      <c r="F18" s="572" t="s">
        <v>1567</v>
      </c>
      <c r="G18" s="573">
        <v>37447</v>
      </c>
      <c r="H18" s="572">
        <v>110924</v>
      </c>
      <c r="I18" s="572">
        <f t="shared" si="2"/>
        <v>148371</v>
      </c>
    </row>
    <row r="19" spans="1:9" ht="24" customHeight="1">
      <c r="A19" s="575" t="s">
        <v>1148</v>
      </c>
      <c r="B19" s="568"/>
      <c r="C19" s="568"/>
      <c r="D19" s="573">
        <f t="shared" si="1"/>
        <v>0</v>
      </c>
      <c r="E19" s="40"/>
      <c r="F19" s="572" t="s">
        <v>37</v>
      </c>
      <c r="G19" s="573">
        <v>691881</v>
      </c>
      <c r="H19" s="572">
        <v>25433</v>
      </c>
      <c r="I19" s="572">
        <f t="shared" si="2"/>
        <v>717314</v>
      </c>
    </row>
    <row r="20" spans="1:9" ht="12.75" customHeight="1">
      <c r="A20" s="575" t="s">
        <v>181</v>
      </c>
      <c r="B20" s="572">
        <v>658892</v>
      </c>
      <c r="C20" s="572">
        <v>-20000</v>
      </c>
      <c r="D20" s="573">
        <f t="shared" si="1"/>
        <v>638892</v>
      </c>
      <c r="E20" s="40"/>
      <c r="F20" s="572" t="s">
        <v>1567</v>
      </c>
      <c r="G20" s="573">
        <v>39879</v>
      </c>
      <c r="H20" s="572">
        <v>37404</v>
      </c>
      <c r="I20" s="572">
        <f t="shared" si="2"/>
        <v>77283</v>
      </c>
    </row>
    <row r="21" spans="1:9" ht="24.75" customHeight="1">
      <c r="A21" s="575" t="s">
        <v>182</v>
      </c>
      <c r="B21" s="577">
        <v>1486283</v>
      </c>
      <c r="C21" s="575">
        <v>70732</v>
      </c>
      <c r="D21" s="573">
        <f t="shared" si="1"/>
        <v>1557015</v>
      </c>
      <c r="E21" s="40"/>
      <c r="F21" s="572" t="s">
        <v>38</v>
      </c>
      <c r="G21" s="573">
        <v>10000</v>
      </c>
      <c r="H21" s="572"/>
      <c r="I21" s="572">
        <f t="shared" si="2"/>
        <v>10000</v>
      </c>
    </row>
    <row r="22" spans="1:9" ht="12.75" customHeight="1">
      <c r="A22" s="575"/>
      <c r="B22" s="572"/>
      <c r="C22" s="572"/>
      <c r="D22" s="572"/>
      <c r="E22" s="40"/>
      <c r="F22" s="572" t="s">
        <v>1160</v>
      </c>
      <c r="G22" s="573">
        <v>21956</v>
      </c>
      <c r="H22" s="572">
        <v>18159</v>
      </c>
      <c r="I22" s="572">
        <f t="shared" si="2"/>
        <v>40115</v>
      </c>
    </row>
    <row r="23" spans="1:9" ht="24.75" customHeight="1">
      <c r="A23" s="575"/>
      <c r="B23" s="572"/>
      <c r="C23" s="572"/>
      <c r="D23" s="577"/>
      <c r="E23" s="40"/>
      <c r="F23" s="576" t="s">
        <v>90</v>
      </c>
      <c r="G23" s="568">
        <f>SUM(G13+G17+G19+G21+G22)</f>
        <v>8040878</v>
      </c>
      <c r="H23" s="568">
        <f>SUM(H13+H17+H19+H21+H22)</f>
        <v>805579</v>
      </c>
      <c r="I23" s="572">
        <f t="shared" si="2"/>
        <v>8846457</v>
      </c>
    </row>
    <row r="24" spans="1:9" ht="12.75" customHeight="1">
      <c r="A24" s="572"/>
      <c r="B24" s="572"/>
      <c r="C24" s="572"/>
      <c r="D24" s="577"/>
      <c r="E24" s="40"/>
      <c r="F24" s="575" t="s">
        <v>1159</v>
      </c>
      <c r="G24" s="568"/>
      <c r="H24" s="568"/>
      <c r="I24" s="572">
        <f t="shared" si="2"/>
        <v>0</v>
      </c>
    </row>
    <row r="25" spans="1:9" ht="12.75" customHeight="1">
      <c r="A25" s="575"/>
      <c r="B25" s="572"/>
      <c r="C25" s="572"/>
      <c r="D25" s="572"/>
      <c r="E25" s="40"/>
      <c r="F25" s="575" t="s">
        <v>177</v>
      </c>
      <c r="G25" s="574">
        <v>34668</v>
      </c>
      <c r="H25" s="575">
        <v>1135296</v>
      </c>
      <c r="I25" s="572">
        <f t="shared" si="2"/>
        <v>1169964</v>
      </c>
    </row>
    <row r="26" spans="1:9" s="21" customFormat="1" ht="22.5" customHeight="1" thickBot="1">
      <c r="A26" s="584" t="s">
        <v>40</v>
      </c>
      <c r="B26" s="585">
        <f>SUM(B18:B25)</f>
        <v>8075546</v>
      </c>
      <c r="C26" s="585">
        <f>SUM(C18:C25)</f>
        <v>1802210</v>
      </c>
      <c r="D26" s="585">
        <f>SUM(D18:D25)</f>
        <v>9877756</v>
      </c>
      <c r="E26" s="39"/>
      <c r="F26" s="586" t="s">
        <v>41</v>
      </c>
      <c r="G26" s="585">
        <f>SUM(G23:G25)</f>
        <v>8075546</v>
      </c>
      <c r="H26" s="585">
        <f>SUM(H23:H25)</f>
        <v>1940875</v>
      </c>
      <c r="I26" s="585">
        <f>SUM(I23:I25)</f>
        <v>10016421</v>
      </c>
    </row>
    <row r="27" spans="1:9" s="21" customFormat="1" ht="19.5" customHeight="1" thickBot="1">
      <c r="A27" s="587" t="s">
        <v>1635</v>
      </c>
      <c r="B27" s="588">
        <f>SUM(B11+B26)</f>
        <v>17959018</v>
      </c>
      <c r="C27" s="588">
        <f>SUM(C11+C26)</f>
        <v>3045791</v>
      </c>
      <c r="D27" s="588">
        <f>SUM(D11+D26)</f>
        <v>21004809</v>
      </c>
      <c r="E27" s="40"/>
      <c r="F27" s="587" t="s">
        <v>1635</v>
      </c>
      <c r="G27" s="589">
        <f>SUM(G11+G26)</f>
        <v>17959018</v>
      </c>
      <c r="H27" s="589">
        <f>SUM(H11+H26)</f>
        <v>3045791</v>
      </c>
      <c r="I27" s="589">
        <f>SUM(I11+I26)</f>
        <v>21004809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V375"/>
  <sheetViews>
    <sheetView tabSelected="1" zoomScaleSheetLayoutView="120" zoomScalePageLayoutView="0" workbookViewId="0" topLeftCell="B1">
      <pane ySplit="2" topLeftCell="BM113" activePane="bottomLeft" state="frozen"/>
      <selection pane="topLeft" activeCell="A1" sqref="A1"/>
      <selection pane="bottomLeft" activeCell="C123" sqref="C123:D123"/>
    </sheetView>
  </sheetViews>
  <sheetFormatPr defaultColWidth="9.00390625" defaultRowHeight="12.75"/>
  <cols>
    <col min="1" max="1" width="6.625" style="7" customWidth="1"/>
    <col min="2" max="2" width="5.875" style="7" customWidth="1"/>
    <col min="3" max="3" width="9.375" style="7" customWidth="1"/>
    <col min="4" max="4" width="42.625" style="7" customWidth="1"/>
    <col min="5" max="5" width="7.125" style="7" customWidth="1"/>
    <col min="6" max="7" width="11.00390625" style="7" bestFit="1" customWidth="1"/>
    <col min="8" max="8" width="10.50390625" style="7" customWidth="1"/>
    <col min="9" max="10" width="11.00390625" style="7" customWidth="1"/>
    <col min="11" max="11" width="10.125" style="7" bestFit="1" customWidth="1"/>
    <col min="12" max="12" width="11.00390625" style="7" customWidth="1"/>
    <col min="13" max="13" width="11.00390625" style="7" bestFit="1" customWidth="1"/>
    <col min="14" max="14" width="11.00390625" style="7" customWidth="1"/>
    <col min="15" max="15" width="9.375" style="7" customWidth="1"/>
    <col min="16" max="16" width="12.375" style="7" customWidth="1"/>
    <col min="17" max="16384" width="9.375" style="7" customWidth="1"/>
  </cols>
  <sheetData>
    <row r="1" spans="1:16" ht="36.75" customHeight="1" thickBot="1">
      <c r="A1" s="1225" t="s">
        <v>679</v>
      </c>
      <c r="B1" s="1225" t="s">
        <v>680</v>
      </c>
      <c r="C1" s="1227" t="s">
        <v>1345</v>
      </c>
      <c r="D1" s="1228"/>
      <c r="E1" s="1225" t="s">
        <v>1638</v>
      </c>
      <c r="F1" s="1238" t="s">
        <v>1359</v>
      </c>
      <c r="G1" s="1239"/>
      <c r="H1" s="1239"/>
      <c r="I1" s="1239"/>
      <c r="J1" s="1239"/>
      <c r="K1" s="1239"/>
      <c r="L1" s="1239"/>
      <c r="M1" s="1239"/>
      <c r="N1" s="1223" t="s">
        <v>777</v>
      </c>
      <c r="O1" s="1224"/>
      <c r="P1" s="272" t="s">
        <v>1348</v>
      </c>
    </row>
    <row r="2" spans="1:16" ht="57.75" customHeight="1" thickBot="1">
      <c r="A2" s="1226"/>
      <c r="B2" s="1226"/>
      <c r="C2" s="1229"/>
      <c r="D2" s="1230"/>
      <c r="E2" s="1226"/>
      <c r="F2" s="270" t="s">
        <v>50</v>
      </c>
      <c r="G2" s="204" t="s">
        <v>774</v>
      </c>
      <c r="H2" s="204" t="s">
        <v>1646</v>
      </c>
      <c r="I2" s="204" t="s">
        <v>775</v>
      </c>
      <c r="J2" s="204" t="s">
        <v>1031</v>
      </c>
      <c r="K2" s="204" t="s">
        <v>1015</v>
      </c>
      <c r="L2" s="204" t="s">
        <v>1014</v>
      </c>
      <c r="M2" s="204" t="s">
        <v>776</v>
      </c>
      <c r="N2" s="332" t="s">
        <v>1363</v>
      </c>
      <c r="O2" s="333" t="s">
        <v>1368</v>
      </c>
      <c r="P2" s="273"/>
    </row>
    <row r="3" spans="1:16" ht="16.5" customHeight="1">
      <c r="A3" s="269">
        <v>1</v>
      </c>
      <c r="B3" s="8"/>
      <c r="C3" s="58" t="s">
        <v>1620</v>
      </c>
      <c r="D3" s="59"/>
      <c r="E3" s="271"/>
      <c r="F3" s="9"/>
      <c r="G3" s="9"/>
      <c r="H3" s="9"/>
      <c r="I3" s="9"/>
      <c r="J3" s="9"/>
      <c r="K3" s="9"/>
      <c r="L3" s="9"/>
      <c r="M3" s="9"/>
      <c r="N3" s="9"/>
      <c r="O3" s="9"/>
      <c r="P3" s="60"/>
    </row>
    <row r="4" spans="1:16" ht="12.75" customHeight="1">
      <c r="A4" s="8">
        <v>1</v>
      </c>
      <c r="B4" s="8">
        <v>1</v>
      </c>
      <c r="C4" s="58" t="s">
        <v>1547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60"/>
    </row>
    <row r="5" spans="1:16" ht="12">
      <c r="A5" s="10">
        <v>1</v>
      </c>
      <c r="B5" s="10">
        <v>12</v>
      </c>
      <c r="C5" s="46" t="s">
        <v>19</v>
      </c>
      <c r="D5" s="62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11"/>
    </row>
    <row r="6" spans="1:16" ht="14.25" customHeight="1">
      <c r="A6" s="10"/>
      <c r="B6" s="10"/>
      <c r="C6" s="623" t="s">
        <v>158</v>
      </c>
      <c r="D6" s="624"/>
      <c r="E6" s="224"/>
      <c r="F6" s="61"/>
      <c r="G6" s="61"/>
      <c r="H6" s="61"/>
      <c r="I6" s="61"/>
      <c r="J6" s="61"/>
      <c r="K6" s="131"/>
      <c r="L6" s="131"/>
      <c r="M6" s="131"/>
      <c r="N6" s="131"/>
      <c r="O6" s="131"/>
      <c r="P6" s="11"/>
    </row>
    <row r="7" spans="1:16" ht="14.25" customHeight="1">
      <c r="A7" s="10"/>
      <c r="B7" s="10"/>
      <c r="C7" s="328" t="s">
        <v>1402</v>
      </c>
      <c r="D7" s="329"/>
      <c r="E7" s="224">
        <v>1</v>
      </c>
      <c r="F7" s="61"/>
      <c r="G7" s="61"/>
      <c r="H7" s="61"/>
      <c r="I7" s="61">
        <v>6000</v>
      </c>
      <c r="J7" s="61"/>
      <c r="K7" s="131"/>
      <c r="L7" s="131"/>
      <c r="M7" s="131"/>
      <c r="N7" s="131"/>
      <c r="O7" s="131"/>
      <c r="P7" s="11">
        <f>SUM(F7:O7)</f>
        <v>6000</v>
      </c>
    </row>
    <row r="8" spans="1:16" ht="14.25" customHeight="1">
      <c r="A8" s="10"/>
      <c r="B8" s="10"/>
      <c r="C8" s="12" t="s">
        <v>44</v>
      </c>
      <c r="D8" s="140"/>
      <c r="E8" s="140">
        <v>1</v>
      </c>
      <c r="F8" s="61"/>
      <c r="G8" s="61"/>
      <c r="H8" s="61"/>
      <c r="I8" s="61">
        <v>36500</v>
      </c>
      <c r="J8" s="61"/>
      <c r="K8" s="131"/>
      <c r="L8" s="131"/>
      <c r="M8" s="131"/>
      <c r="N8" s="131"/>
      <c r="O8" s="131"/>
      <c r="P8" s="11">
        <f>SUM(F8:O8)</f>
        <v>36500</v>
      </c>
    </row>
    <row r="9" spans="1:16" ht="14.25" customHeight="1">
      <c r="A9" s="10"/>
      <c r="B9" s="10"/>
      <c r="C9" s="590" t="s">
        <v>159</v>
      </c>
      <c r="D9" s="591"/>
      <c r="E9" s="140"/>
      <c r="F9" s="61"/>
      <c r="G9" s="61"/>
      <c r="H9" s="61"/>
      <c r="I9" s="61"/>
      <c r="J9" s="61"/>
      <c r="K9" s="131"/>
      <c r="L9" s="131"/>
      <c r="M9" s="131"/>
      <c r="N9" s="131"/>
      <c r="O9" s="131"/>
      <c r="P9" s="11"/>
    </row>
    <row r="10" spans="1:16" ht="14.25" customHeight="1">
      <c r="A10" s="10"/>
      <c r="B10" s="10"/>
      <c r="C10" s="12" t="s">
        <v>1401</v>
      </c>
      <c r="D10" s="336"/>
      <c r="E10" s="140">
        <v>1</v>
      </c>
      <c r="F10" s="61"/>
      <c r="G10" s="61"/>
      <c r="H10" s="61"/>
      <c r="I10" s="61">
        <v>6600</v>
      </c>
      <c r="J10" s="61"/>
      <c r="K10" s="131"/>
      <c r="L10" s="131"/>
      <c r="M10" s="131"/>
      <c r="N10" s="131"/>
      <c r="O10" s="131"/>
      <c r="P10" s="11">
        <f>SUM(F10:O10)</f>
        <v>6600</v>
      </c>
    </row>
    <row r="11" spans="1:16" ht="14.25" customHeight="1">
      <c r="A11" s="10"/>
      <c r="B11" s="10"/>
      <c r="C11" s="12" t="s">
        <v>1271</v>
      </c>
      <c r="D11" s="140"/>
      <c r="E11" s="140">
        <v>1</v>
      </c>
      <c r="F11" s="61"/>
      <c r="G11" s="61"/>
      <c r="H11" s="61"/>
      <c r="I11" s="61">
        <v>200</v>
      </c>
      <c r="J11" s="61"/>
      <c r="K11" s="131"/>
      <c r="L11" s="131"/>
      <c r="M11" s="131"/>
      <c r="N11" s="131"/>
      <c r="O11" s="131"/>
      <c r="P11" s="11">
        <f>SUM(F11:O11)</f>
        <v>200</v>
      </c>
    </row>
    <row r="12" spans="1:16" ht="14.25" customHeight="1">
      <c r="A12" s="10"/>
      <c r="B12" s="10"/>
      <c r="C12" s="590" t="s">
        <v>623</v>
      </c>
      <c r="D12" s="591"/>
      <c r="E12" s="140"/>
      <c r="F12" s="61"/>
      <c r="G12" s="61"/>
      <c r="H12" s="61"/>
      <c r="I12" s="61"/>
      <c r="J12" s="61"/>
      <c r="K12" s="131"/>
      <c r="L12" s="131"/>
      <c r="M12" s="131"/>
      <c r="N12" s="131"/>
      <c r="O12" s="131"/>
      <c r="P12" s="11"/>
    </row>
    <row r="13" spans="1:16" ht="14.25" customHeight="1">
      <c r="A13" s="10"/>
      <c r="B13" s="10"/>
      <c r="C13" s="12" t="s">
        <v>1403</v>
      </c>
      <c r="D13" s="336"/>
      <c r="E13" s="140">
        <v>2</v>
      </c>
      <c r="F13" s="61"/>
      <c r="G13" s="61"/>
      <c r="H13" s="61"/>
      <c r="I13" s="61">
        <v>30152</v>
      </c>
      <c r="J13" s="61"/>
      <c r="K13" s="131"/>
      <c r="L13" s="131"/>
      <c r="M13" s="131"/>
      <c r="N13" s="131"/>
      <c r="O13" s="131"/>
      <c r="P13" s="11">
        <f>SUM(F13:O13)</f>
        <v>30152</v>
      </c>
    </row>
    <row r="14" spans="1:16" ht="14.25" customHeight="1">
      <c r="A14" s="10"/>
      <c r="B14" s="10"/>
      <c r="C14" s="12" t="s">
        <v>1354</v>
      </c>
      <c r="D14" s="140"/>
      <c r="E14" s="140">
        <v>2</v>
      </c>
      <c r="F14" s="61"/>
      <c r="G14" s="61"/>
      <c r="H14" s="61"/>
      <c r="I14" s="61">
        <v>13500</v>
      </c>
      <c r="J14" s="61"/>
      <c r="K14" s="131"/>
      <c r="L14" s="131"/>
      <c r="M14" s="131"/>
      <c r="N14" s="131"/>
      <c r="O14" s="131"/>
      <c r="P14" s="11">
        <f>SUM(F14:O14)</f>
        <v>13500</v>
      </c>
    </row>
    <row r="15" spans="1:16" ht="14.25" customHeight="1">
      <c r="A15" s="10"/>
      <c r="B15" s="10"/>
      <c r="C15" s="12" t="s">
        <v>1056</v>
      </c>
      <c r="D15" s="140"/>
      <c r="E15" s="140"/>
      <c r="F15" s="61"/>
      <c r="G15" s="61"/>
      <c r="H15" s="61"/>
      <c r="I15" s="61"/>
      <c r="J15" s="61"/>
      <c r="K15" s="131"/>
      <c r="L15" s="131"/>
      <c r="M15" s="131"/>
      <c r="N15" s="131"/>
      <c r="O15" s="131"/>
      <c r="P15" s="11"/>
    </row>
    <row r="16" spans="1:16" ht="14.25" customHeight="1">
      <c r="A16" s="10"/>
      <c r="B16" s="10"/>
      <c r="C16" s="590" t="s">
        <v>1404</v>
      </c>
      <c r="D16" s="591"/>
      <c r="E16" s="140">
        <v>1</v>
      </c>
      <c r="F16" s="61"/>
      <c r="G16" s="61"/>
      <c r="H16" s="61"/>
      <c r="I16" s="61">
        <v>8328</v>
      </c>
      <c r="J16" s="61"/>
      <c r="K16" s="131"/>
      <c r="L16" s="131"/>
      <c r="M16" s="131"/>
      <c r="N16" s="131"/>
      <c r="O16" s="131"/>
      <c r="P16" s="11">
        <f>SUM(F16:O16)</f>
        <v>8328</v>
      </c>
    </row>
    <row r="17" spans="1:16" ht="14.25" customHeight="1">
      <c r="A17" s="10"/>
      <c r="B17" s="10"/>
      <c r="C17" s="590" t="s">
        <v>159</v>
      </c>
      <c r="D17" s="591"/>
      <c r="E17" s="140"/>
      <c r="F17" s="61"/>
      <c r="G17" s="61"/>
      <c r="H17" s="61"/>
      <c r="I17" s="61"/>
      <c r="J17" s="61"/>
      <c r="K17" s="131"/>
      <c r="L17" s="131"/>
      <c r="M17" s="131"/>
      <c r="N17" s="131"/>
      <c r="O17" s="131"/>
      <c r="P17" s="11"/>
    </row>
    <row r="18" spans="1:16" ht="14.25" customHeight="1">
      <c r="A18" s="10"/>
      <c r="B18" s="10"/>
      <c r="C18" s="12" t="s">
        <v>1405</v>
      </c>
      <c r="D18" s="336"/>
      <c r="E18" s="140">
        <v>1</v>
      </c>
      <c r="F18" s="61"/>
      <c r="G18" s="61"/>
      <c r="H18" s="61"/>
      <c r="I18" s="61">
        <v>2000</v>
      </c>
      <c r="J18" s="61"/>
      <c r="K18" s="131"/>
      <c r="L18" s="131"/>
      <c r="M18" s="131"/>
      <c r="N18" s="131"/>
      <c r="O18" s="131"/>
      <c r="P18" s="11">
        <f>SUM(F18:O18)</f>
        <v>2000</v>
      </c>
    </row>
    <row r="19" spans="1:16" ht="14.25" customHeight="1">
      <c r="A19" s="10"/>
      <c r="B19" s="10"/>
      <c r="C19" s="590" t="s">
        <v>623</v>
      </c>
      <c r="D19" s="591"/>
      <c r="E19" s="140"/>
      <c r="F19" s="61"/>
      <c r="G19" s="61"/>
      <c r="H19" s="61"/>
      <c r="I19" s="61"/>
      <c r="J19" s="61"/>
      <c r="K19" s="131"/>
      <c r="L19" s="131"/>
      <c r="M19" s="131"/>
      <c r="N19" s="131"/>
      <c r="O19" s="131"/>
      <c r="P19" s="11"/>
    </row>
    <row r="20" spans="1:16" ht="14.25" customHeight="1">
      <c r="A20" s="10"/>
      <c r="B20" s="10"/>
      <c r="C20" s="12" t="s">
        <v>1355</v>
      </c>
      <c r="D20" s="140"/>
      <c r="E20" s="140">
        <v>1</v>
      </c>
      <c r="F20" s="61"/>
      <c r="G20" s="61"/>
      <c r="H20" s="61"/>
      <c r="I20" s="61">
        <v>7000</v>
      </c>
      <c r="J20" s="61"/>
      <c r="K20" s="131"/>
      <c r="L20" s="131"/>
      <c r="M20" s="131"/>
      <c r="N20" s="131"/>
      <c r="O20" s="131"/>
      <c r="P20" s="11">
        <f>SUM(F20:O20)</f>
        <v>7000</v>
      </c>
    </row>
    <row r="21" spans="1:16" ht="14.25" customHeight="1">
      <c r="A21" s="10"/>
      <c r="B21" s="10"/>
      <c r="C21" s="64" t="s">
        <v>1406</v>
      </c>
      <c r="D21" s="136"/>
      <c r="E21" s="140">
        <v>1</v>
      </c>
      <c r="F21" s="61"/>
      <c r="G21" s="61"/>
      <c r="H21" s="61">
        <v>2770</v>
      </c>
      <c r="I21" s="61"/>
      <c r="J21" s="61"/>
      <c r="K21" s="131"/>
      <c r="L21" s="131"/>
      <c r="M21" s="131"/>
      <c r="N21" s="131"/>
      <c r="O21" s="131"/>
      <c r="P21" s="11">
        <f>SUM(F21:O21)</f>
        <v>2770</v>
      </c>
    </row>
    <row r="22" spans="1:16" ht="14.25" customHeight="1">
      <c r="A22" s="10"/>
      <c r="B22" s="10"/>
      <c r="C22" s="1221" t="s">
        <v>1251</v>
      </c>
      <c r="D22" s="1222"/>
      <c r="E22" s="144"/>
      <c r="F22" s="11"/>
      <c r="G22" s="11"/>
      <c r="H22" s="11"/>
      <c r="I22" s="11"/>
      <c r="J22" s="61"/>
      <c r="K22" s="133"/>
      <c r="L22" s="133"/>
      <c r="M22" s="133"/>
      <c r="N22" s="133"/>
      <c r="O22" s="132"/>
      <c r="P22" s="11"/>
    </row>
    <row r="23" spans="1:16" ht="14.25" customHeight="1">
      <c r="A23" s="10"/>
      <c r="B23" s="10"/>
      <c r="C23" s="64" t="s">
        <v>305</v>
      </c>
      <c r="D23" s="140"/>
      <c r="E23" s="140">
        <v>2</v>
      </c>
      <c r="F23" s="11"/>
      <c r="G23" s="11"/>
      <c r="H23" s="11"/>
      <c r="I23" s="11"/>
      <c r="J23" s="61">
        <v>18150</v>
      </c>
      <c r="K23" s="133"/>
      <c r="L23" s="133"/>
      <c r="M23" s="133"/>
      <c r="N23" s="133"/>
      <c r="O23" s="132"/>
      <c r="P23" s="11">
        <f>SUM(F23:O23)</f>
        <v>18150</v>
      </c>
    </row>
    <row r="24" spans="1:16" ht="14.25" customHeight="1">
      <c r="A24" s="10"/>
      <c r="B24" s="10"/>
      <c r="C24" s="1280" t="s">
        <v>1252</v>
      </c>
      <c r="D24" s="1281"/>
      <c r="E24" s="140"/>
      <c r="F24" s="13"/>
      <c r="G24" s="13"/>
      <c r="H24" s="11"/>
      <c r="I24" s="11"/>
      <c r="J24" s="61"/>
      <c r="K24" s="133"/>
      <c r="L24" s="133"/>
      <c r="M24" s="133"/>
      <c r="N24" s="133"/>
      <c r="O24" s="132"/>
      <c r="P24" s="11"/>
    </row>
    <row r="25" spans="1:16" ht="14.25" customHeight="1">
      <c r="A25" s="10"/>
      <c r="B25" s="10"/>
      <c r="C25" s="12" t="s">
        <v>1352</v>
      </c>
      <c r="D25" s="140"/>
      <c r="E25" s="140">
        <v>2</v>
      </c>
      <c r="F25" s="61"/>
      <c r="G25" s="61"/>
      <c r="H25" s="61"/>
      <c r="I25" s="11">
        <v>7000</v>
      </c>
      <c r="J25" s="61"/>
      <c r="K25" s="133"/>
      <c r="L25" s="133"/>
      <c r="M25" s="133"/>
      <c r="N25" s="133"/>
      <c r="O25" s="132"/>
      <c r="P25" s="11">
        <f>SUM(F25:O25)</f>
        <v>7000</v>
      </c>
    </row>
    <row r="26" spans="1:16" ht="14.25" customHeight="1">
      <c r="A26" s="10"/>
      <c r="B26" s="10"/>
      <c r="C26" s="590" t="s">
        <v>160</v>
      </c>
      <c r="D26" s="591"/>
      <c r="E26" s="140"/>
      <c r="F26" s="11"/>
      <c r="G26" s="11"/>
      <c r="H26" s="11"/>
      <c r="I26" s="133"/>
      <c r="J26" s="61"/>
      <c r="K26" s="133"/>
      <c r="L26" s="133"/>
      <c r="M26" s="133"/>
      <c r="N26" s="133"/>
      <c r="O26" s="132"/>
      <c r="P26" s="11"/>
    </row>
    <row r="27" spans="1:16" ht="12" customHeight="1">
      <c r="A27" s="63"/>
      <c r="B27" s="66"/>
      <c r="C27" s="67" t="s">
        <v>1356</v>
      </c>
      <c r="D27" s="65"/>
      <c r="E27" s="140">
        <v>1</v>
      </c>
      <c r="F27" s="13"/>
      <c r="G27" s="13"/>
      <c r="H27" s="13">
        <v>100</v>
      </c>
      <c r="I27" s="134"/>
      <c r="J27" s="13"/>
      <c r="K27" s="134"/>
      <c r="L27" s="134"/>
      <c r="M27" s="134"/>
      <c r="N27" s="134"/>
      <c r="O27" s="134"/>
      <c r="P27" s="11">
        <f>SUM(F27:O27)</f>
        <v>100</v>
      </c>
    </row>
    <row r="28" spans="1:16" ht="12" customHeight="1">
      <c r="A28" s="63"/>
      <c r="B28" s="66"/>
      <c r="C28" s="67" t="s">
        <v>161</v>
      </c>
      <c r="D28" s="65"/>
      <c r="E28" s="65"/>
      <c r="F28" s="13"/>
      <c r="G28" s="13"/>
      <c r="H28" s="13"/>
      <c r="I28" s="134"/>
      <c r="J28" s="13"/>
      <c r="K28" s="134"/>
      <c r="L28" s="134"/>
      <c r="M28" s="134"/>
      <c r="N28" s="134"/>
      <c r="O28" s="134"/>
      <c r="P28" s="11"/>
    </row>
    <row r="29" spans="1:16" ht="12" customHeight="1">
      <c r="A29" s="63"/>
      <c r="B29" s="63"/>
      <c r="C29" s="14" t="s">
        <v>1357</v>
      </c>
      <c r="D29" s="65"/>
      <c r="E29" s="65">
        <v>1</v>
      </c>
      <c r="F29" s="13"/>
      <c r="G29" s="13"/>
      <c r="H29" s="13"/>
      <c r="I29" s="13"/>
      <c r="J29" s="13">
        <v>2000</v>
      </c>
      <c r="K29" s="13"/>
      <c r="L29" s="134"/>
      <c r="M29" s="134"/>
      <c r="N29" s="134"/>
      <c r="O29" s="134"/>
      <c r="P29" s="11">
        <f>SUM(F29:O29)</f>
        <v>2000</v>
      </c>
    </row>
    <row r="30" spans="1:16" ht="12" customHeight="1">
      <c r="A30" s="63"/>
      <c r="B30" s="63"/>
      <c r="C30" s="1217" t="s">
        <v>162</v>
      </c>
      <c r="D30" s="1218"/>
      <c r="E30" s="140"/>
      <c r="F30" s="13"/>
      <c r="G30" s="13"/>
      <c r="H30" s="13"/>
      <c r="I30" s="134"/>
      <c r="J30" s="13"/>
      <c r="K30" s="134"/>
      <c r="L30" s="134"/>
      <c r="M30" s="134"/>
      <c r="N30" s="134"/>
      <c r="O30" s="13"/>
      <c r="P30" s="11"/>
    </row>
    <row r="31" spans="1:16" ht="12" customHeight="1">
      <c r="A31" s="63"/>
      <c r="B31" s="63"/>
      <c r="C31" s="91" t="s">
        <v>704</v>
      </c>
      <c r="D31" s="94"/>
      <c r="E31" s="140">
        <v>2</v>
      </c>
      <c r="F31" s="13"/>
      <c r="G31" s="13"/>
      <c r="H31" s="13">
        <v>24440</v>
      </c>
      <c r="I31" s="134"/>
      <c r="J31" s="13"/>
      <c r="K31" s="134"/>
      <c r="L31" s="134"/>
      <c r="M31" s="134"/>
      <c r="N31" s="134"/>
      <c r="O31" s="13"/>
      <c r="P31" s="11">
        <f>SUM(F31:O31)</f>
        <v>24440</v>
      </c>
    </row>
    <row r="32" spans="1:16" ht="12" customHeight="1">
      <c r="A32" s="63"/>
      <c r="B32" s="63"/>
      <c r="C32" s="1285" t="s">
        <v>705</v>
      </c>
      <c r="D32" s="1286"/>
      <c r="E32" s="140">
        <v>2</v>
      </c>
      <c r="F32" s="13"/>
      <c r="G32" s="13">
        <v>1500</v>
      </c>
      <c r="H32" s="13">
        <v>1300</v>
      </c>
      <c r="I32" s="13">
        <v>6700</v>
      </c>
      <c r="J32" s="13"/>
      <c r="K32" s="134"/>
      <c r="L32" s="134"/>
      <c r="M32" s="134"/>
      <c r="N32" s="134"/>
      <c r="O32" s="13"/>
      <c r="P32" s="11">
        <f>SUM(F32:O32)</f>
        <v>9500</v>
      </c>
    </row>
    <row r="33" spans="1:16" ht="13.5" customHeight="1">
      <c r="A33" s="63"/>
      <c r="B33" s="63"/>
      <c r="C33" s="581" t="s">
        <v>1253</v>
      </c>
      <c r="D33" s="582"/>
      <c r="E33" s="14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1">
        <f>SUM(F33:O33)</f>
        <v>0</v>
      </c>
    </row>
    <row r="34" spans="1:16" ht="13.5" customHeight="1">
      <c r="A34" s="63"/>
      <c r="B34" s="63"/>
      <c r="C34" s="15" t="s">
        <v>1581</v>
      </c>
      <c r="D34" s="79"/>
      <c r="E34" s="140">
        <v>1</v>
      </c>
      <c r="F34" s="16"/>
      <c r="G34" s="16"/>
      <c r="H34" s="16">
        <v>200</v>
      </c>
      <c r="I34" s="16">
        <v>800</v>
      </c>
      <c r="J34" s="16"/>
      <c r="K34" s="16"/>
      <c r="L34" s="16"/>
      <c r="M34" s="16"/>
      <c r="N34" s="16"/>
      <c r="O34" s="16"/>
      <c r="P34" s="16">
        <f>SUM(F34:O34)</f>
        <v>1000</v>
      </c>
    </row>
    <row r="35" spans="1:16" ht="13.5">
      <c r="A35" s="68"/>
      <c r="B35" s="68"/>
      <c r="C35" s="71" t="s">
        <v>24</v>
      </c>
      <c r="D35" s="72"/>
      <c r="E35" s="72"/>
      <c r="F35" s="69">
        <f aca="true" t="shared" si="0" ref="F35:K35">SUM(F5:F34)</f>
        <v>0</v>
      </c>
      <c r="G35" s="69">
        <f t="shared" si="0"/>
        <v>1500</v>
      </c>
      <c r="H35" s="69">
        <f t="shared" si="0"/>
        <v>28810</v>
      </c>
      <c r="I35" s="69">
        <f t="shared" si="0"/>
        <v>124780</v>
      </c>
      <c r="J35" s="69">
        <f t="shared" si="0"/>
        <v>20150</v>
      </c>
      <c r="K35" s="69">
        <f t="shared" si="0"/>
        <v>0</v>
      </c>
      <c r="L35" s="69"/>
      <c r="M35" s="69">
        <f>SUM(M5:M34)</f>
        <v>0</v>
      </c>
      <c r="N35" s="69"/>
      <c r="O35" s="69">
        <f>SUM(O5:O34)</f>
        <v>0</v>
      </c>
      <c r="P35" s="69">
        <f>SUM(P5:P34)</f>
        <v>175240</v>
      </c>
    </row>
    <row r="36" spans="1:16" ht="12">
      <c r="A36" s="63"/>
      <c r="B36" s="63"/>
      <c r="C36" s="14" t="s">
        <v>1536</v>
      </c>
      <c r="D36" s="65"/>
      <c r="E36" s="65"/>
      <c r="F36" s="13"/>
      <c r="G36" s="13"/>
      <c r="H36" s="13"/>
      <c r="I36" s="13"/>
      <c r="J36" s="13"/>
      <c r="K36" s="13"/>
      <c r="L36" s="13"/>
      <c r="M36" s="70"/>
      <c r="N36" s="70"/>
      <c r="O36" s="70"/>
      <c r="P36" s="13">
        <f>SUM(F36:O36)</f>
        <v>0</v>
      </c>
    </row>
    <row r="37" spans="1:16" ht="12">
      <c r="A37" s="63"/>
      <c r="B37" s="63"/>
      <c r="C37" s="14" t="s">
        <v>1537</v>
      </c>
      <c r="D37" s="65"/>
      <c r="E37" s="65"/>
      <c r="F37" s="13"/>
      <c r="G37" s="13"/>
      <c r="H37" s="13"/>
      <c r="I37" s="13"/>
      <c r="J37" s="13"/>
      <c r="K37" s="70"/>
      <c r="L37" s="70"/>
      <c r="M37" s="13">
        <v>42519</v>
      </c>
      <c r="N37" s="13"/>
      <c r="O37" s="70"/>
      <c r="P37" s="13">
        <f>SUM(F37:O37)</f>
        <v>42519</v>
      </c>
    </row>
    <row r="38" spans="1:16" ht="13.5">
      <c r="A38" s="68"/>
      <c r="B38" s="68"/>
      <c r="C38" s="71" t="s">
        <v>23</v>
      </c>
      <c r="D38" s="72"/>
      <c r="E38" s="72"/>
      <c r="F38" s="73">
        <f aca="true" t="shared" si="1" ref="F38:O38">SUM(F35:F37)</f>
        <v>0</v>
      </c>
      <c r="G38" s="73">
        <f t="shared" si="1"/>
        <v>1500</v>
      </c>
      <c r="H38" s="73">
        <f t="shared" si="1"/>
        <v>28810</v>
      </c>
      <c r="I38" s="73">
        <f t="shared" si="1"/>
        <v>124780</v>
      </c>
      <c r="J38" s="73">
        <f t="shared" si="1"/>
        <v>20150</v>
      </c>
      <c r="K38" s="73">
        <f t="shared" si="1"/>
        <v>0</v>
      </c>
      <c r="L38" s="73">
        <f t="shared" si="1"/>
        <v>0</v>
      </c>
      <c r="M38" s="73">
        <f t="shared" si="1"/>
        <v>42519</v>
      </c>
      <c r="N38" s="73"/>
      <c r="O38" s="73">
        <f t="shared" si="1"/>
        <v>0</v>
      </c>
      <c r="P38" s="73">
        <f>SUM(P35:P37)</f>
        <v>217759</v>
      </c>
    </row>
    <row r="39" spans="1:16" ht="12">
      <c r="A39" s="63">
        <v>1</v>
      </c>
      <c r="B39" s="63">
        <v>13</v>
      </c>
      <c r="C39" s="46" t="s">
        <v>20</v>
      </c>
      <c r="D39" s="74"/>
      <c r="E39" s="7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2">
      <c r="A40" s="63"/>
      <c r="B40" s="63"/>
      <c r="C40" s="189" t="s">
        <v>1027</v>
      </c>
      <c r="D40" s="74"/>
      <c r="E40" s="7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2">
      <c r="A41" s="63"/>
      <c r="B41" s="63"/>
      <c r="C41" s="1221" t="s">
        <v>1254</v>
      </c>
      <c r="D41" s="1222"/>
      <c r="E41" s="14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 customHeight="1">
      <c r="A42" s="63"/>
      <c r="B42" s="63"/>
      <c r="C42" s="14" t="s">
        <v>674</v>
      </c>
      <c r="D42" s="65"/>
      <c r="E42" s="65">
        <v>2</v>
      </c>
      <c r="F42" s="13"/>
      <c r="G42" s="13"/>
      <c r="H42" s="13"/>
      <c r="I42" s="13">
        <v>4000</v>
      </c>
      <c r="J42" s="13"/>
      <c r="K42" s="13"/>
      <c r="L42" s="13"/>
      <c r="M42" s="13"/>
      <c r="N42" s="13"/>
      <c r="O42" s="13"/>
      <c r="P42" s="13">
        <f aca="true" t="shared" si="2" ref="P42:P51">SUM(F42:O42)</f>
        <v>4000</v>
      </c>
    </row>
    <row r="43" spans="1:16" ht="15" customHeight="1">
      <c r="A43" s="63"/>
      <c r="B43" s="63"/>
      <c r="C43" s="1233" t="s">
        <v>51</v>
      </c>
      <c r="D43" s="1234"/>
      <c r="E43" s="65">
        <v>2</v>
      </c>
      <c r="F43" s="13"/>
      <c r="G43" s="13"/>
      <c r="H43" s="13">
        <v>2500</v>
      </c>
      <c r="I43" s="13"/>
      <c r="J43" s="13">
        <v>2500</v>
      </c>
      <c r="K43" s="13"/>
      <c r="L43" s="13"/>
      <c r="M43" s="13"/>
      <c r="N43" s="13"/>
      <c r="O43" s="13"/>
      <c r="P43" s="13">
        <f t="shared" si="2"/>
        <v>5000</v>
      </c>
    </row>
    <row r="44" spans="1:16" ht="15" customHeight="1">
      <c r="A44" s="63"/>
      <c r="B44" s="63"/>
      <c r="C44" s="1233" t="s">
        <v>1255</v>
      </c>
      <c r="D44" s="1234"/>
      <c r="E44" s="6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24.75" customHeight="1">
      <c r="A45" s="63"/>
      <c r="B45" s="63"/>
      <c r="C45" s="1233" t="s">
        <v>1294</v>
      </c>
      <c r="D45" s="1234"/>
      <c r="E45" s="65">
        <v>2</v>
      </c>
      <c r="F45" s="13"/>
      <c r="G45" s="13"/>
      <c r="H45" s="13"/>
      <c r="I45" s="13"/>
      <c r="J45" s="13">
        <v>5000</v>
      </c>
      <c r="K45" s="13"/>
      <c r="L45" s="13"/>
      <c r="M45" s="13"/>
      <c r="N45" s="13"/>
      <c r="O45" s="13"/>
      <c r="P45" s="13">
        <f t="shared" si="2"/>
        <v>5000</v>
      </c>
    </row>
    <row r="46" spans="1:16" ht="12" customHeight="1">
      <c r="A46" s="63"/>
      <c r="B46" s="63"/>
      <c r="C46" s="1233" t="s">
        <v>1254</v>
      </c>
      <c r="D46" s="1234"/>
      <c r="E46" s="6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 customHeight="1">
      <c r="A47" s="63"/>
      <c r="B47" s="63"/>
      <c r="C47" s="1233" t="s">
        <v>1712</v>
      </c>
      <c r="D47" s="1234"/>
      <c r="E47" s="65">
        <v>2</v>
      </c>
      <c r="F47" s="13"/>
      <c r="G47" s="13"/>
      <c r="H47" s="13"/>
      <c r="I47" s="13"/>
      <c r="J47" s="13">
        <v>6500</v>
      </c>
      <c r="K47" s="13"/>
      <c r="L47" s="13"/>
      <c r="M47" s="13"/>
      <c r="N47" s="13"/>
      <c r="O47" s="13"/>
      <c r="P47" s="13">
        <f t="shared" si="2"/>
        <v>6500</v>
      </c>
    </row>
    <row r="48" spans="1:16" ht="14.25" customHeight="1">
      <c r="A48" s="63"/>
      <c r="B48" s="63"/>
      <c r="C48" s="15" t="s">
        <v>733</v>
      </c>
      <c r="D48" s="79"/>
      <c r="E48" s="65">
        <v>2</v>
      </c>
      <c r="F48" s="16"/>
      <c r="G48" s="16"/>
      <c r="H48" s="16"/>
      <c r="I48" s="16"/>
      <c r="J48" s="16">
        <v>80000</v>
      </c>
      <c r="K48" s="16"/>
      <c r="L48" s="16"/>
      <c r="M48" s="16"/>
      <c r="N48" s="16"/>
      <c r="O48" s="16"/>
      <c r="P48" s="16">
        <f t="shared" si="2"/>
        <v>80000</v>
      </c>
    </row>
    <row r="49" spans="1:16" ht="14.25" customHeight="1">
      <c r="A49" s="63"/>
      <c r="B49" s="63"/>
      <c r="C49" s="1235" t="s">
        <v>83</v>
      </c>
      <c r="D49" s="1237"/>
      <c r="E49" s="65">
        <v>2</v>
      </c>
      <c r="F49" s="16"/>
      <c r="G49" s="16"/>
      <c r="H49" s="16"/>
      <c r="I49" s="16"/>
      <c r="J49" s="16">
        <v>825</v>
      </c>
      <c r="K49" s="16"/>
      <c r="L49" s="16"/>
      <c r="M49" s="16"/>
      <c r="N49" s="16"/>
      <c r="O49" s="16"/>
      <c r="P49" s="16">
        <v>825</v>
      </c>
    </row>
    <row r="50" spans="1:16" ht="14.25" customHeight="1">
      <c r="A50" s="63"/>
      <c r="B50" s="63"/>
      <c r="C50" s="15" t="s">
        <v>1252</v>
      </c>
      <c r="D50" s="79"/>
      <c r="E50" s="6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24.75" customHeight="1">
      <c r="A51" s="63"/>
      <c r="B51" s="63"/>
      <c r="C51" s="1215" t="s">
        <v>1587</v>
      </c>
      <c r="D51" s="1216"/>
      <c r="E51" s="65">
        <v>2</v>
      </c>
      <c r="F51" s="16"/>
      <c r="G51" s="16"/>
      <c r="H51" s="16"/>
      <c r="I51" s="13"/>
      <c r="J51" s="13">
        <v>1875</v>
      </c>
      <c r="K51" s="16"/>
      <c r="L51" s="16"/>
      <c r="M51" s="16"/>
      <c r="N51" s="16"/>
      <c r="O51" s="16"/>
      <c r="P51" s="16">
        <f t="shared" si="2"/>
        <v>1875</v>
      </c>
    </row>
    <row r="52" spans="1:16" ht="15" customHeight="1">
      <c r="A52" s="63"/>
      <c r="B52" s="63"/>
      <c r="C52" s="1283" t="s">
        <v>1028</v>
      </c>
      <c r="D52" s="1284"/>
      <c r="E52" s="209"/>
      <c r="F52" s="16"/>
      <c r="G52" s="16"/>
      <c r="H52" s="16"/>
      <c r="I52" s="13"/>
      <c r="J52" s="13"/>
      <c r="K52" s="16"/>
      <c r="L52" s="16"/>
      <c r="M52" s="16"/>
      <c r="N52" s="16"/>
      <c r="O52" s="16"/>
      <c r="P52" s="16"/>
    </row>
    <row r="53" spans="1:16" ht="24.75" customHeight="1">
      <c r="A53" s="63"/>
      <c r="B53" s="63"/>
      <c r="C53" s="1233" t="s">
        <v>1256</v>
      </c>
      <c r="D53" s="1234"/>
      <c r="E53" s="2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" customHeight="1">
      <c r="A54" s="63"/>
      <c r="B54" s="63"/>
      <c r="C54" s="14" t="s">
        <v>1539</v>
      </c>
      <c r="D54" s="65"/>
      <c r="E54" s="65">
        <v>2</v>
      </c>
      <c r="F54" s="13"/>
      <c r="G54" s="13"/>
      <c r="H54" s="13">
        <v>700</v>
      </c>
      <c r="I54" s="13"/>
      <c r="J54" s="13">
        <v>800</v>
      </c>
      <c r="K54" s="13"/>
      <c r="L54" s="13"/>
      <c r="M54" s="13"/>
      <c r="N54" s="13"/>
      <c r="O54" s="13"/>
      <c r="P54" s="13">
        <f aca="true" t="shared" si="3" ref="P54:P64">SUM(F54:O54)</f>
        <v>1500</v>
      </c>
    </row>
    <row r="55" spans="1:16" ht="12" customHeight="1">
      <c r="A55" s="63"/>
      <c r="B55" s="63"/>
      <c r="C55" s="14" t="s">
        <v>1540</v>
      </c>
      <c r="D55" s="65"/>
      <c r="E55" s="65">
        <v>2</v>
      </c>
      <c r="F55" s="13"/>
      <c r="G55" s="13"/>
      <c r="H55" s="13">
        <v>400</v>
      </c>
      <c r="I55" s="13"/>
      <c r="J55" s="13"/>
      <c r="K55" s="13"/>
      <c r="L55" s="13"/>
      <c r="M55" s="13"/>
      <c r="N55" s="13"/>
      <c r="O55" s="13"/>
      <c r="P55" s="13">
        <f t="shared" si="3"/>
        <v>400</v>
      </c>
    </row>
    <row r="56" spans="1:16" ht="12" customHeight="1">
      <c r="A56" s="63"/>
      <c r="B56" s="63"/>
      <c r="C56" s="14" t="s">
        <v>1295</v>
      </c>
      <c r="D56" s="65"/>
      <c r="E56" s="65">
        <v>2</v>
      </c>
      <c r="F56" s="13"/>
      <c r="G56" s="13"/>
      <c r="H56" s="13">
        <v>1000</v>
      </c>
      <c r="I56" s="13"/>
      <c r="J56" s="13"/>
      <c r="K56" s="13"/>
      <c r="L56" s="13"/>
      <c r="M56" s="13"/>
      <c r="N56" s="13"/>
      <c r="O56" s="13"/>
      <c r="P56" s="13">
        <f t="shared" si="3"/>
        <v>1000</v>
      </c>
    </row>
    <row r="57" spans="1:16" ht="12" customHeight="1">
      <c r="A57" s="63"/>
      <c r="B57" s="63"/>
      <c r="C57" s="14" t="s">
        <v>1296</v>
      </c>
      <c r="D57" s="65"/>
      <c r="E57" s="65">
        <v>2</v>
      </c>
      <c r="F57" s="13"/>
      <c r="G57" s="13"/>
      <c r="H57" s="13">
        <v>1000</v>
      </c>
      <c r="I57" s="13"/>
      <c r="J57" s="13"/>
      <c r="K57" s="13"/>
      <c r="L57" s="13"/>
      <c r="M57" s="13"/>
      <c r="N57" s="13"/>
      <c r="O57" s="13"/>
      <c r="P57" s="13">
        <f t="shared" si="3"/>
        <v>1000</v>
      </c>
    </row>
    <row r="58" spans="1:16" ht="12" customHeight="1">
      <c r="A58" s="63"/>
      <c r="B58" s="63"/>
      <c r="C58" s="14" t="s">
        <v>1297</v>
      </c>
      <c r="D58" s="65"/>
      <c r="E58" s="65">
        <v>2</v>
      </c>
      <c r="F58" s="13"/>
      <c r="G58" s="13"/>
      <c r="H58" s="13">
        <v>1000</v>
      </c>
      <c r="I58" s="13"/>
      <c r="J58" s="13"/>
      <c r="K58" s="13"/>
      <c r="L58" s="13"/>
      <c r="M58" s="13"/>
      <c r="N58" s="13"/>
      <c r="O58" s="13"/>
      <c r="P58" s="13">
        <f t="shared" si="3"/>
        <v>1000</v>
      </c>
    </row>
    <row r="59" spans="1:16" ht="12" customHeight="1">
      <c r="A59" s="63"/>
      <c r="B59" s="63"/>
      <c r="C59" s="14" t="s">
        <v>1713</v>
      </c>
      <c r="D59" s="65"/>
      <c r="E59" s="65">
        <v>2</v>
      </c>
      <c r="F59" s="13"/>
      <c r="G59" s="13"/>
      <c r="H59" s="13"/>
      <c r="I59" s="13"/>
      <c r="J59" s="13">
        <v>500</v>
      </c>
      <c r="K59" s="13"/>
      <c r="L59" s="13"/>
      <c r="M59" s="13"/>
      <c r="N59" s="13"/>
      <c r="O59" s="13"/>
      <c r="P59" s="13">
        <f t="shared" si="3"/>
        <v>500</v>
      </c>
    </row>
    <row r="60" spans="1:16" ht="12" customHeight="1">
      <c r="A60" s="63"/>
      <c r="B60" s="63"/>
      <c r="C60" s="1221" t="s">
        <v>1714</v>
      </c>
      <c r="D60" s="1222"/>
      <c r="E60" s="65"/>
      <c r="F60" s="13"/>
      <c r="G60" s="13"/>
      <c r="H60" s="13"/>
      <c r="I60" s="13"/>
      <c r="J60" s="13">
        <v>1000</v>
      </c>
      <c r="K60" s="13"/>
      <c r="L60" s="13"/>
      <c r="M60" s="13"/>
      <c r="N60" s="13"/>
      <c r="O60" s="13"/>
      <c r="P60" s="13">
        <v>1000</v>
      </c>
    </row>
    <row r="61" spans="1:16" ht="12" customHeight="1">
      <c r="A61" s="63"/>
      <c r="B61" s="63"/>
      <c r="C61" s="14" t="s">
        <v>1252</v>
      </c>
      <c r="D61" s="65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" customHeight="1">
      <c r="A62" s="63"/>
      <c r="B62" s="63"/>
      <c r="C62" s="64" t="s">
        <v>1615</v>
      </c>
      <c r="D62" s="65"/>
      <c r="E62" s="65">
        <v>2</v>
      </c>
      <c r="F62" s="13"/>
      <c r="G62" s="13"/>
      <c r="H62" s="13"/>
      <c r="I62" s="13">
        <v>14000</v>
      </c>
      <c r="J62" s="13"/>
      <c r="K62" s="13"/>
      <c r="L62" s="13"/>
      <c r="M62" s="13"/>
      <c r="N62" s="13"/>
      <c r="O62" s="13"/>
      <c r="P62" s="13">
        <f t="shared" si="3"/>
        <v>14000</v>
      </c>
    </row>
    <row r="63" spans="1:16" ht="12" customHeight="1">
      <c r="A63" s="63"/>
      <c r="B63" s="63"/>
      <c r="C63" s="64" t="s">
        <v>1257</v>
      </c>
      <c r="D63" s="65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" customHeight="1">
      <c r="A64" s="63"/>
      <c r="B64" s="63"/>
      <c r="C64" s="14" t="s">
        <v>1715</v>
      </c>
      <c r="D64" s="65"/>
      <c r="E64" s="65">
        <v>2</v>
      </c>
      <c r="F64" s="13"/>
      <c r="G64" s="13"/>
      <c r="H64" s="13">
        <v>60</v>
      </c>
      <c r="I64" s="13"/>
      <c r="J64" s="13"/>
      <c r="K64" s="13"/>
      <c r="L64" s="13"/>
      <c r="M64" s="13"/>
      <c r="N64" s="13"/>
      <c r="O64" s="13"/>
      <c r="P64" s="13">
        <f t="shared" si="3"/>
        <v>60</v>
      </c>
    </row>
    <row r="65" spans="1:16" ht="12" customHeight="1">
      <c r="A65" s="63"/>
      <c r="B65" s="63"/>
      <c r="C65" s="1280" t="s">
        <v>1258</v>
      </c>
      <c r="D65" s="1281"/>
      <c r="E65" s="1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" customHeight="1">
      <c r="A66" s="63"/>
      <c r="B66" s="63"/>
      <c r="C66" s="14" t="s">
        <v>506</v>
      </c>
      <c r="D66" s="65"/>
      <c r="E66" s="65">
        <v>1</v>
      </c>
      <c r="F66" s="13"/>
      <c r="G66" s="13"/>
      <c r="H66" s="13">
        <v>2300</v>
      </c>
      <c r="I66" s="13"/>
      <c r="J66" s="13">
        <v>2000</v>
      </c>
      <c r="K66" s="13"/>
      <c r="L66" s="13"/>
      <c r="M66" s="13"/>
      <c r="N66" s="13"/>
      <c r="O66" s="13"/>
      <c r="P66" s="13">
        <f aca="true" t="shared" si="4" ref="P66:P80">SUM(F66:O66)</f>
        <v>4300</v>
      </c>
    </row>
    <row r="67" spans="1:16" ht="12" customHeight="1">
      <c r="A67" s="63"/>
      <c r="B67" s="63"/>
      <c r="C67" s="14" t="s">
        <v>663</v>
      </c>
      <c r="D67" s="65"/>
      <c r="E67" s="65">
        <v>2</v>
      </c>
      <c r="F67" s="13"/>
      <c r="G67" s="13"/>
      <c r="H67" s="13"/>
      <c r="I67" s="13"/>
      <c r="J67" s="13">
        <v>400</v>
      </c>
      <c r="K67" s="13"/>
      <c r="L67" s="13"/>
      <c r="M67" s="13"/>
      <c r="N67" s="13"/>
      <c r="O67" s="13"/>
      <c r="P67" s="13">
        <f t="shared" si="4"/>
        <v>400</v>
      </c>
    </row>
    <row r="68" spans="1:16" ht="12" customHeight="1">
      <c r="A68" s="63"/>
      <c r="B68" s="63"/>
      <c r="C68" s="14" t="s">
        <v>1716</v>
      </c>
      <c r="D68" s="65"/>
      <c r="E68" s="65">
        <v>2</v>
      </c>
      <c r="F68" s="13"/>
      <c r="G68" s="13"/>
      <c r="H68" s="13"/>
      <c r="I68" s="13"/>
      <c r="J68" s="13">
        <v>1000</v>
      </c>
      <c r="K68" s="13"/>
      <c r="L68" s="13"/>
      <c r="M68" s="13"/>
      <c r="N68" s="13"/>
      <c r="O68" s="13"/>
      <c r="P68" s="13">
        <f t="shared" si="4"/>
        <v>1000</v>
      </c>
    </row>
    <row r="69" spans="1:16" ht="13.5" customHeight="1">
      <c r="A69" s="63"/>
      <c r="B69" s="63"/>
      <c r="C69" s="1235" t="s">
        <v>294</v>
      </c>
      <c r="D69" s="1236"/>
      <c r="E69" s="65">
        <v>2</v>
      </c>
      <c r="F69" s="13"/>
      <c r="G69" s="13"/>
      <c r="H69" s="13">
        <v>500</v>
      </c>
      <c r="I69" s="13"/>
      <c r="J69" s="13"/>
      <c r="K69" s="13"/>
      <c r="L69" s="13"/>
      <c r="M69" s="13"/>
      <c r="N69" s="13"/>
      <c r="O69" s="13"/>
      <c r="P69" s="13">
        <f t="shared" si="4"/>
        <v>500</v>
      </c>
    </row>
    <row r="70" spans="1:16" ht="12" customHeight="1">
      <c r="A70" s="63"/>
      <c r="B70" s="63"/>
      <c r="C70" s="14" t="s">
        <v>664</v>
      </c>
      <c r="D70" s="65"/>
      <c r="E70" s="65">
        <v>2</v>
      </c>
      <c r="F70" s="13"/>
      <c r="G70" s="13"/>
      <c r="H70" s="13"/>
      <c r="I70" s="13"/>
      <c r="J70" s="13">
        <v>600</v>
      </c>
      <c r="K70" s="13"/>
      <c r="L70" s="13"/>
      <c r="M70" s="13"/>
      <c r="N70" s="13"/>
      <c r="O70" s="13"/>
      <c r="P70" s="13">
        <f t="shared" si="4"/>
        <v>600</v>
      </c>
    </row>
    <row r="71" spans="1:16" ht="12" customHeight="1">
      <c r="A71" s="63"/>
      <c r="B71" s="63"/>
      <c r="C71" s="1235" t="s">
        <v>1654</v>
      </c>
      <c r="D71" s="1236"/>
      <c r="E71" s="65">
        <v>2</v>
      </c>
      <c r="F71" s="13"/>
      <c r="G71" s="13"/>
      <c r="H71" s="13"/>
      <c r="I71" s="13"/>
      <c r="J71" s="13">
        <v>35760</v>
      </c>
      <c r="K71" s="13"/>
      <c r="L71" s="13"/>
      <c r="M71" s="13"/>
      <c r="N71" s="13"/>
      <c r="O71" s="13"/>
      <c r="P71" s="13">
        <f t="shared" si="4"/>
        <v>35760</v>
      </c>
    </row>
    <row r="72" spans="1:16" ht="24.75" customHeight="1">
      <c r="A72" s="63"/>
      <c r="B72" s="63"/>
      <c r="C72" s="1235" t="s">
        <v>1720</v>
      </c>
      <c r="D72" s="1236"/>
      <c r="E72" s="65">
        <v>2</v>
      </c>
      <c r="F72" s="13"/>
      <c r="G72" s="13"/>
      <c r="H72" s="13"/>
      <c r="I72" s="13"/>
      <c r="J72" s="13">
        <v>1500</v>
      </c>
      <c r="K72" s="13"/>
      <c r="L72" s="13"/>
      <c r="M72" s="13"/>
      <c r="N72" s="13"/>
      <c r="O72" s="13"/>
      <c r="P72" s="13">
        <f t="shared" si="4"/>
        <v>1500</v>
      </c>
    </row>
    <row r="73" spans="1:16" ht="12" customHeight="1">
      <c r="A73" s="63"/>
      <c r="B73" s="63"/>
      <c r="C73" s="1233" t="s">
        <v>1718</v>
      </c>
      <c r="D73" s="1234"/>
      <c r="E73" s="65">
        <v>2</v>
      </c>
      <c r="F73" s="13"/>
      <c r="G73" s="13"/>
      <c r="H73" s="13"/>
      <c r="I73" s="13"/>
      <c r="J73" s="13">
        <v>100</v>
      </c>
      <c r="K73" s="13"/>
      <c r="L73" s="13"/>
      <c r="M73" s="13"/>
      <c r="N73" s="13"/>
      <c r="O73" s="13"/>
      <c r="P73" s="13">
        <f t="shared" si="4"/>
        <v>100</v>
      </c>
    </row>
    <row r="74" spans="1:16" ht="12" customHeight="1">
      <c r="A74" s="63"/>
      <c r="B74" s="63"/>
      <c r="C74" s="1233" t="s">
        <v>1298</v>
      </c>
      <c r="D74" s="1234"/>
      <c r="E74" s="65">
        <v>2</v>
      </c>
      <c r="F74" s="13"/>
      <c r="G74" s="13"/>
      <c r="H74" s="13"/>
      <c r="I74" s="13"/>
      <c r="J74" s="13">
        <v>800</v>
      </c>
      <c r="K74" s="13"/>
      <c r="L74" s="13"/>
      <c r="M74" s="13"/>
      <c r="N74" s="13"/>
      <c r="O74" s="13"/>
      <c r="P74" s="13">
        <f t="shared" si="4"/>
        <v>800</v>
      </c>
    </row>
    <row r="75" spans="1:16" ht="12" customHeight="1">
      <c r="A75" s="63"/>
      <c r="B75" s="63"/>
      <c r="C75" s="1235" t="s">
        <v>1717</v>
      </c>
      <c r="D75" s="1236"/>
      <c r="E75" s="65">
        <v>1</v>
      </c>
      <c r="F75" s="13"/>
      <c r="G75" s="13"/>
      <c r="H75" s="13">
        <v>74</v>
      </c>
      <c r="I75" s="13"/>
      <c r="J75" s="13"/>
      <c r="K75" s="13"/>
      <c r="L75" s="13"/>
      <c r="M75" s="13"/>
      <c r="N75" s="13"/>
      <c r="O75" s="13"/>
      <c r="P75" s="13">
        <f t="shared" si="4"/>
        <v>74</v>
      </c>
    </row>
    <row r="76" spans="1:16" ht="12" customHeight="1">
      <c r="A76" s="63"/>
      <c r="B76" s="63"/>
      <c r="C76" s="1235" t="s">
        <v>1418</v>
      </c>
      <c r="D76" s="1236"/>
      <c r="E76" s="65">
        <v>2</v>
      </c>
      <c r="F76" s="13"/>
      <c r="G76" s="13"/>
      <c r="H76" s="13"/>
      <c r="I76" s="13"/>
      <c r="J76" s="13">
        <v>500</v>
      </c>
      <c r="K76" s="13"/>
      <c r="L76" s="13"/>
      <c r="M76" s="13"/>
      <c r="N76" s="13"/>
      <c r="O76" s="13"/>
      <c r="P76" s="13">
        <f t="shared" si="4"/>
        <v>500</v>
      </c>
    </row>
    <row r="77" spans="1:16" ht="12" customHeight="1">
      <c r="A77" s="63"/>
      <c r="B77" s="63"/>
      <c r="C77" s="1235" t="s">
        <v>665</v>
      </c>
      <c r="D77" s="1236"/>
      <c r="E77" s="65">
        <v>2</v>
      </c>
      <c r="F77" s="13">
        <v>98</v>
      </c>
      <c r="G77" s="13">
        <v>27</v>
      </c>
      <c r="H77" s="13"/>
      <c r="I77" s="13"/>
      <c r="J77" s="13"/>
      <c r="K77" s="13"/>
      <c r="L77" s="13"/>
      <c r="M77" s="13"/>
      <c r="N77" s="13"/>
      <c r="O77" s="13"/>
      <c r="P77" s="13">
        <f t="shared" si="4"/>
        <v>125</v>
      </c>
    </row>
    <row r="78" spans="1:16" ht="12" customHeight="1">
      <c r="A78" s="63"/>
      <c r="B78" s="63"/>
      <c r="C78" s="1233" t="s">
        <v>1719</v>
      </c>
      <c r="D78" s="1234"/>
      <c r="E78" s="65">
        <v>2</v>
      </c>
      <c r="F78" s="13"/>
      <c r="G78" s="13"/>
      <c r="H78" s="13"/>
      <c r="I78" s="13"/>
      <c r="J78" s="13">
        <v>2000</v>
      </c>
      <c r="K78" s="13"/>
      <c r="L78" s="13"/>
      <c r="M78" s="13"/>
      <c r="N78" s="13"/>
      <c r="O78" s="13"/>
      <c r="P78" s="13">
        <f t="shared" si="4"/>
        <v>2000</v>
      </c>
    </row>
    <row r="79" spans="1:16" ht="12" customHeight="1">
      <c r="A79" s="63"/>
      <c r="B79" s="63"/>
      <c r="C79" s="1233" t="s">
        <v>1535</v>
      </c>
      <c r="D79" s="1234"/>
      <c r="E79" s="65">
        <v>2</v>
      </c>
      <c r="F79" s="13"/>
      <c r="G79" s="13"/>
      <c r="H79" s="13"/>
      <c r="I79" s="13"/>
      <c r="J79" s="13">
        <v>3000</v>
      </c>
      <c r="K79" s="13"/>
      <c r="L79" s="13"/>
      <c r="M79" s="13"/>
      <c r="N79" s="13"/>
      <c r="O79" s="13"/>
      <c r="P79" s="13">
        <f t="shared" si="4"/>
        <v>3000</v>
      </c>
    </row>
    <row r="80" spans="1:16" ht="12" customHeight="1">
      <c r="A80" s="63"/>
      <c r="B80" s="63"/>
      <c r="C80" s="1233" t="s">
        <v>1088</v>
      </c>
      <c r="D80" s="1234"/>
      <c r="E80" s="65">
        <v>2</v>
      </c>
      <c r="F80" s="13"/>
      <c r="G80" s="13"/>
      <c r="H80" s="13"/>
      <c r="I80" s="13"/>
      <c r="J80" s="13">
        <v>2000</v>
      </c>
      <c r="K80" s="13"/>
      <c r="L80" s="13"/>
      <c r="M80" s="13"/>
      <c r="N80" s="13"/>
      <c r="O80" s="13"/>
      <c r="P80" s="13">
        <f t="shared" si="4"/>
        <v>2000</v>
      </c>
    </row>
    <row r="81" spans="1:16" ht="12" customHeight="1">
      <c r="A81" s="63"/>
      <c r="B81" s="63"/>
      <c r="C81" s="1280" t="s">
        <v>163</v>
      </c>
      <c r="D81" s="1281"/>
      <c r="E81" s="1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24.75" customHeight="1">
      <c r="A82" s="63"/>
      <c r="B82" s="63"/>
      <c r="C82" s="1235" t="s">
        <v>666</v>
      </c>
      <c r="D82" s="1236"/>
      <c r="E82" s="140">
        <v>2</v>
      </c>
      <c r="F82" s="13"/>
      <c r="G82" s="13"/>
      <c r="H82" s="13"/>
      <c r="I82" s="13"/>
      <c r="J82" s="13">
        <v>2500</v>
      </c>
      <c r="K82" s="13"/>
      <c r="L82" s="13"/>
      <c r="M82" s="13"/>
      <c r="N82" s="13"/>
      <c r="O82" s="13"/>
      <c r="P82" s="13">
        <f>SUM(F82:O82)</f>
        <v>2500</v>
      </c>
    </row>
    <row r="83" spans="1:16" ht="12" customHeight="1">
      <c r="A83" s="63"/>
      <c r="B83" s="63"/>
      <c r="C83" s="75" t="s">
        <v>667</v>
      </c>
      <c r="D83" s="140"/>
      <c r="E83" s="140">
        <v>2</v>
      </c>
      <c r="F83" s="13"/>
      <c r="G83" s="13"/>
      <c r="H83" s="13"/>
      <c r="I83" s="13"/>
      <c r="J83" s="13">
        <v>4450</v>
      </c>
      <c r="K83" s="13"/>
      <c r="L83" s="13"/>
      <c r="M83" s="13"/>
      <c r="N83" s="13"/>
      <c r="O83" s="13"/>
      <c r="P83" s="13">
        <f>SUM(F83:O83)</f>
        <v>4450</v>
      </c>
    </row>
    <row r="84" spans="1:16" ht="12" customHeight="1">
      <c r="A84" s="63"/>
      <c r="B84" s="63"/>
      <c r="C84" s="14" t="s">
        <v>1541</v>
      </c>
      <c r="D84" s="65"/>
      <c r="E84" s="140">
        <v>2</v>
      </c>
      <c r="F84" s="13"/>
      <c r="G84" s="13"/>
      <c r="H84" s="13"/>
      <c r="I84" s="13"/>
      <c r="J84" s="13">
        <v>10000</v>
      </c>
      <c r="K84" s="13"/>
      <c r="L84" s="13"/>
      <c r="M84" s="13"/>
      <c r="N84" s="13"/>
      <c r="O84" s="13"/>
      <c r="P84" s="13">
        <f>SUM(F84:O84)</f>
        <v>10000</v>
      </c>
    </row>
    <row r="85" spans="1:16" ht="12" customHeight="1">
      <c r="A85" s="63"/>
      <c r="B85" s="63"/>
      <c r="C85" s="14" t="s">
        <v>1542</v>
      </c>
      <c r="D85" s="65"/>
      <c r="E85" s="140">
        <v>2</v>
      </c>
      <c r="F85" s="13"/>
      <c r="G85" s="13"/>
      <c r="H85" s="13"/>
      <c r="I85" s="13"/>
      <c r="J85" s="13">
        <v>5500</v>
      </c>
      <c r="K85" s="13"/>
      <c r="L85" s="13"/>
      <c r="M85" s="13"/>
      <c r="N85" s="13"/>
      <c r="O85" s="13"/>
      <c r="P85" s="13">
        <f>SUM(F85:O85)</f>
        <v>5500</v>
      </c>
    </row>
    <row r="86" spans="1:16" ht="12" customHeight="1">
      <c r="A86" s="63"/>
      <c r="B86" s="63"/>
      <c r="C86" s="14" t="s">
        <v>706</v>
      </c>
      <c r="D86" s="65"/>
      <c r="E86" s="140">
        <v>2</v>
      </c>
      <c r="F86" s="13"/>
      <c r="G86" s="13"/>
      <c r="H86" s="13"/>
      <c r="I86" s="13"/>
      <c r="J86" s="13">
        <v>3000</v>
      </c>
      <c r="K86" s="13"/>
      <c r="L86" s="13"/>
      <c r="M86" s="13"/>
      <c r="N86" s="13"/>
      <c r="O86" s="13"/>
      <c r="P86" s="13">
        <f>SUM(F86:O86)</f>
        <v>3000</v>
      </c>
    </row>
    <row r="87" spans="1:16" ht="24" customHeight="1">
      <c r="A87" s="63"/>
      <c r="B87" s="63"/>
      <c r="C87" s="1233" t="s">
        <v>1289</v>
      </c>
      <c r="D87" s="1234"/>
      <c r="E87" s="21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 customHeight="1">
      <c r="A88" s="63"/>
      <c r="B88" s="63"/>
      <c r="C88" s="1233" t="s">
        <v>1259</v>
      </c>
      <c r="D88" s="1234"/>
      <c r="E88" s="2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 customHeight="1">
      <c r="A89" s="63"/>
      <c r="B89" s="63"/>
      <c r="C89" s="1233" t="s">
        <v>1543</v>
      </c>
      <c r="D89" s="1234"/>
      <c r="E89" s="225">
        <v>2</v>
      </c>
      <c r="F89" s="13"/>
      <c r="G89" s="13"/>
      <c r="H89" s="13"/>
      <c r="I89" s="13">
        <v>500</v>
      </c>
      <c r="J89" s="13"/>
      <c r="K89" s="13"/>
      <c r="L89" s="13"/>
      <c r="M89" s="13"/>
      <c r="N89" s="13"/>
      <c r="O89" s="13"/>
      <c r="P89" s="13">
        <f>SUM(F89:O89)</f>
        <v>500</v>
      </c>
    </row>
    <row r="90" spans="1:16" ht="15" customHeight="1">
      <c r="A90" s="63"/>
      <c r="B90" s="63"/>
      <c r="C90" s="1297" t="s">
        <v>1588</v>
      </c>
      <c r="D90" s="1298"/>
      <c r="E90" s="2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 customHeight="1">
      <c r="A91" s="63"/>
      <c r="B91" s="63"/>
      <c r="C91" s="1280" t="s">
        <v>164</v>
      </c>
      <c r="D91" s="1281"/>
      <c r="E91" s="140"/>
      <c r="F91" s="13"/>
      <c r="G91" s="13"/>
      <c r="H91" s="13"/>
      <c r="I91" s="134"/>
      <c r="J91" s="13"/>
      <c r="K91" s="134"/>
      <c r="L91" s="134"/>
      <c r="M91" s="134"/>
      <c r="N91" s="134"/>
      <c r="O91" s="134"/>
      <c r="P91" s="11"/>
    </row>
    <row r="92" spans="1:16" ht="15" customHeight="1">
      <c r="A92" s="63"/>
      <c r="B92" s="63"/>
      <c r="C92" s="14" t="s">
        <v>1290</v>
      </c>
      <c r="D92" s="65"/>
      <c r="E92" s="65">
        <v>2</v>
      </c>
      <c r="F92" s="13"/>
      <c r="G92" s="13"/>
      <c r="H92" s="13">
        <v>500</v>
      </c>
      <c r="I92" s="134"/>
      <c r="J92" s="13"/>
      <c r="K92" s="134"/>
      <c r="L92" s="134"/>
      <c r="M92" s="134"/>
      <c r="N92" s="134"/>
      <c r="O92" s="134"/>
      <c r="P92" s="11">
        <f>SUM(F92:O92)</f>
        <v>500</v>
      </c>
    </row>
    <row r="93" spans="1:16" ht="15" customHeight="1">
      <c r="A93" s="63"/>
      <c r="B93" s="63"/>
      <c r="C93" s="1295" t="s">
        <v>1260</v>
      </c>
      <c r="D93" s="1296"/>
      <c r="E93" s="214"/>
      <c r="F93" s="13"/>
      <c r="G93" s="13"/>
      <c r="H93" s="13"/>
      <c r="I93" s="134"/>
      <c r="J93" s="13"/>
      <c r="K93" s="134"/>
      <c r="L93" s="134"/>
      <c r="M93" s="134"/>
      <c r="N93" s="134"/>
      <c r="O93" s="134"/>
      <c r="P93" s="11"/>
    </row>
    <row r="94" spans="1:16" ht="15" customHeight="1">
      <c r="A94" s="63"/>
      <c r="B94" s="63"/>
      <c r="C94" s="1235" t="s">
        <v>1614</v>
      </c>
      <c r="D94" s="1236"/>
      <c r="E94" s="215">
        <v>2</v>
      </c>
      <c r="F94" s="13"/>
      <c r="G94" s="13"/>
      <c r="H94" s="13">
        <v>9000</v>
      </c>
      <c r="I94" s="134"/>
      <c r="J94" s="13"/>
      <c r="K94" s="134"/>
      <c r="L94" s="134"/>
      <c r="M94" s="134"/>
      <c r="N94" s="134"/>
      <c r="O94" s="134"/>
      <c r="P94" s="11">
        <f>SUM(F94:O94)</f>
        <v>9000</v>
      </c>
    </row>
    <row r="95" spans="1:16" ht="15" customHeight="1">
      <c r="A95" s="63"/>
      <c r="B95" s="63"/>
      <c r="C95" s="12" t="s">
        <v>165</v>
      </c>
      <c r="D95" s="140"/>
      <c r="E95" s="140"/>
      <c r="F95" s="13"/>
      <c r="G95" s="13"/>
      <c r="H95" s="13"/>
      <c r="I95" s="134"/>
      <c r="J95" s="13"/>
      <c r="K95" s="134"/>
      <c r="L95" s="134"/>
      <c r="M95" s="134"/>
      <c r="N95" s="134"/>
      <c r="O95" s="134"/>
      <c r="P95" s="11"/>
    </row>
    <row r="96" spans="1:16" ht="15" customHeight="1">
      <c r="A96" s="63"/>
      <c r="B96" s="63"/>
      <c r="C96" s="12" t="s">
        <v>45</v>
      </c>
      <c r="D96" s="140"/>
      <c r="E96" s="140">
        <v>1</v>
      </c>
      <c r="F96" s="13"/>
      <c r="G96" s="13"/>
      <c r="H96" s="13">
        <v>21106</v>
      </c>
      <c r="I96" s="134"/>
      <c r="J96" s="13"/>
      <c r="K96" s="134"/>
      <c r="L96" s="134"/>
      <c r="M96" s="134"/>
      <c r="N96" s="134"/>
      <c r="O96" s="134"/>
      <c r="P96" s="11">
        <f>SUM(F96:O96)</f>
        <v>21106</v>
      </c>
    </row>
    <row r="97" spans="1:16" ht="15" customHeight="1">
      <c r="A97" s="63"/>
      <c r="B97" s="63"/>
      <c r="C97" s="14" t="s">
        <v>166</v>
      </c>
      <c r="D97" s="65"/>
      <c r="E97" s="65"/>
      <c r="F97" s="13"/>
      <c r="G97" s="13"/>
      <c r="H97" s="13"/>
      <c r="I97" s="134"/>
      <c r="J97" s="13"/>
      <c r="K97" s="134"/>
      <c r="L97" s="134"/>
      <c r="M97" s="134"/>
      <c r="N97" s="134"/>
      <c r="O97" s="134"/>
      <c r="P97" s="11"/>
    </row>
    <row r="98" spans="1:16" ht="15" customHeight="1">
      <c r="A98" s="63"/>
      <c r="B98" s="63"/>
      <c r="C98" s="14" t="s">
        <v>1291</v>
      </c>
      <c r="D98" s="65"/>
      <c r="E98" s="65">
        <v>1</v>
      </c>
      <c r="F98" s="13"/>
      <c r="G98" s="13"/>
      <c r="H98" s="13">
        <v>2346</v>
      </c>
      <c r="I98" s="134"/>
      <c r="J98" s="13"/>
      <c r="K98" s="134"/>
      <c r="L98" s="134"/>
      <c r="M98" s="134"/>
      <c r="N98" s="134"/>
      <c r="O98" s="134"/>
      <c r="P98" s="11">
        <f>SUM(F98:O98)</f>
        <v>2346</v>
      </c>
    </row>
    <row r="99" spans="1:16" ht="15" customHeight="1">
      <c r="A99" s="63"/>
      <c r="B99" s="63"/>
      <c r="C99" s="523" t="s">
        <v>167</v>
      </c>
      <c r="D99" s="1279"/>
      <c r="E99" s="210"/>
      <c r="F99" s="11"/>
      <c r="G99" s="11"/>
      <c r="H99" s="11"/>
      <c r="I99" s="11"/>
      <c r="J99" s="61"/>
      <c r="K99" s="133"/>
      <c r="L99" s="133"/>
      <c r="M99" s="133"/>
      <c r="N99" s="133"/>
      <c r="O99" s="132"/>
      <c r="P99" s="11"/>
    </row>
    <row r="100" spans="1:16" ht="15" customHeight="1">
      <c r="A100" s="63"/>
      <c r="B100" s="63"/>
      <c r="C100" s="14" t="s">
        <v>1292</v>
      </c>
      <c r="D100" s="65"/>
      <c r="E100" s="65">
        <v>1</v>
      </c>
      <c r="F100" s="13"/>
      <c r="G100" s="13"/>
      <c r="H100" s="11"/>
      <c r="I100" s="11"/>
      <c r="J100" s="61">
        <v>30000</v>
      </c>
      <c r="K100" s="133"/>
      <c r="L100" s="133"/>
      <c r="M100" s="133"/>
      <c r="N100" s="133"/>
      <c r="O100" s="132"/>
      <c r="P100" s="11">
        <f>SUM(F100:O100)</f>
        <v>30000</v>
      </c>
    </row>
    <row r="101" spans="1:16" ht="27" customHeight="1">
      <c r="A101" s="63"/>
      <c r="B101" s="63"/>
      <c r="C101" s="592" t="s">
        <v>417</v>
      </c>
      <c r="D101" s="593"/>
      <c r="E101" s="65"/>
      <c r="F101" s="13"/>
      <c r="G101" s="13"/>
      <c r="H101" s="11"/>
      <c r="I101" s="11"/>
      <c r="J101" s="61"/>
      <c r="K101" s="133"/>
      <c r="L101" s="133"/>
      <c r="M101" s="133"/>
      <c r="N101" s="133"/>
      <c r="O101" s="132"/>
      <c r="P101" s="11"/>
    </row>
    <row r="102" spans="1:16" ht="24.75" customHeight="1">
      <c r="A102" s="63"/>
      <c r="B102" s="63"/>
      <c r="C102" s="592" t="s">
        <v>1400</v>
      </c>
      <c r="D102" s="1282"/>
      <c r="E102" s="65">
        <v>2</v>
      </c>
      <c r="F102" s="13">
        <v>1708</v>
      </c>
      <c r="G102" s="13">
        <v>423</v>
      </c>
      <c r="H102" s="11">
        <v>15997</v>
      </c>
      <c r="I102" s="11"/>
      <c r="J102" s="61"/>
      <c r="K102" s="133"/>
      <c r="L102" s="133"/>
      <c r="M102" s="133"/>
      <c r="N102" s="133"/>
      <c r="O102" s="132"/>
      <c r="P102" s="11">
        <f>SUM(F102:O102)</f>
        <v>18128</v>
      </c>
    </row>
    <row r="103" spans="1:16" ht="15" customHeight="1">
      <c r="A103" s="63"/>
      <c r="B103" s="63"/>
      <c r="C103" s="14" t="s">
        <v>168</v>
      </c>
      <c r="D103" s="65"/>
      <c r="E103" s="65"/>
      <c r="F103" s="13"/>
      <c r="G103" s="13"/>
      <c r="H103" s="11"/>
      <c r="I103" s="11"/>
      <c r="J103" s="61"/>
      <c r="K103" s="133"/>
      <c r="L103" s="133"/>
      <c r="M103" s="133"/>
      <c r="N103" s="133"/>
      <c r="O103" s="132"/>
      <c r="P103" s="11"/>
    </row>
    <row r="104" spans="1:16" ht="15" customHeight="1">
      <c r="A104" s="63"/>
      <c r="B104" s="63"/>
      <c r="C104" s="14" t="s">
        <v>1722</v>
      </c>
      <c r="D104" s="65"/>
      <c r="E104" s="65"/>
      <c r="F104" s="13"/>
      <c r="G104" s="13"/>
      <c r="H104" s="11"/>
      <c r="I104" s="11"/>
      <c r="J104" s="61">
        <v>11500</v>
      </c>
      <c r="K104" s="133"/>
      <c r="L104" s="133"/>
      <c r="M104" s="133"/>
      <c r="N104" s="133"/>
      <c r="O104" s="132"/>
      <c r="P104" s="11">
        <v>11500</v>
      </c>
    </row>
    <row r="105" spans="1:16" ht="24.75" customHeight="1">
      <c r="A105" s="63"/>
      <c r="B105" s="63"/>
      <c r="C105" s="1235" t="s">
        <v>1261</v>
      </c>
      <c r="D105" s="1236"/>
      <c r="E105" s="212"/>
      <c r="F105" s="13"/>
      <c r="G105" s="13"/>
      <c r="H105" s="13"/>
      <c r="I105" s="134"/>
      <c r="J105" s="13"/>
      <c r="K105" s="134"/>
      <c r="L105" s="134"/>
      <c r="M105" s="134"/>
      <c r="N105" s="134"/>
      <c r="O105" s="13"/>
      <c r="P105" s="11">
        <f>SUM(F105:O105)</f>
        <v>0</v>
      </c>
    </row>
    <row r="106" spans="1:16" ht="15" customHeight="1">
      <c r="A106" s="63"/>
      <c r="B106" s="63"/>
      <c r="C106" s="1280" t="s">
        <v>1534</v>
      </c>
      <c r="D106" s="1281"/>
      <c r="E106" s="205">
        <v>2</v>
      </c>
      <c r="F106" s="13"/>
      <c r="G106" s="13"/>
      <c r="H106" s="13">
        <v>1000</v>
      </c>
      <c r="I106" s="134"/>
      <c r="J106" s="13"/>
      <c r="K106" s="134"/>
      <c r="L106" s="134"/>
      <c r="M106" s="134"/>
      <c r="N106" s="134"/>
      <c r="O106" s="13"/>
      <c r="P106" s="11">
        <f>SUM(F106:O106)</f>
        <v>1000</v>
      </c>
    </row>
    <row r="107" spans="1:16" ht="15" customHeight="1">
      <c r="A107" s="63"/>
      <c r="B107" s="63"/>
      <c r="C107" s="190" t="s">
        <v>296</v>
      </c>
      <c r="D107" s="65"/>
      <c r="E107" s="6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 customHeight="1">
      <c r="A108" s="63"/>
      <c r="B108" s="63"/>
      <c r="C108" s="1221" t="s">
        <v>169</v>
      </c>
      <c r="D108" s="1222"/>
      <c r="E108" s="1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 customHeight="1">
      <c r="A109" s="63"/>
      <c r="B109" s="63"/>
      <c r="C109" s="14" t="s">
        <v>297</v>
      </c>
      <c r="D109" s="65"/>
      <c r="E109" s="65">
        <v>2</v>
      </c>
      <c r="F109" s="13"/>
      <c r="G109" s="13"/>
      <c r="H109" s="13"/>
      <c r="I109" s="13"/>
      <c r="J109" s="13">
        <v>15000</v>
      </c>
      <c r="K109" s="13"/>
      <c r="L109" s="13"/>
      <c r="M109" s="13"/>
      <c r="N109" s="13"/>
      <c r="O109" s="13"/>
      <c r="P109" s="13">
        <f aca="true" t="shared" si="5" ref="P109:P114">SUM(F109:O109)</f>
        <v>15000</v>
      </c>
    </row>
    <row r="110" spans="1:16" ht="15" customHeight="1">
      <c r="A110" s="63"/>
      <c r="B110" s="63"/>
      <c r="C110" s="14" t="s">
        <v>1617</v>
      </c>
      <c r="D110" s="65"/>
      <c r="E110" s="65">
        <v>2</v>
      </c>
      <c r="F110" s="13"/>
      <c r="G110" s="13"/>
      <c r="H110" s="13"/>
      <c r="I110" s="13"/>
      <c r="J110" s="13">
        <v>70000</v>
      </c>
      <c r="K110" s="13"/>
      <c r="L110" s="13"/>
      <c r="M110" s="13"/>
      <c r="N110" s="13"/>
      <c r="O110" s="13"/>
      <c r="P110" s="13">
        <f t="shared" si="5"/>
        <v>70000</v>
      </c>
    </row>
    <row r="111" spans="1:16" ht="15" customHeight="1">
      <c r="A111" s="63"/>
      <c r="B111" s="63"/>
      <c r="C111" s="14" t="s">
        <v>1616</v>
      </c>
      <c r="D111" s="65"/>
      <c r="E111" s="65">
        <v>2</v>
      </c>
      <c r="F111" s="13"/>
      <c r="G111" s="13"/>
      <c r="H111" s="13"/>
      <c r="I111" s="13"/>
      <c r="J111" s="13">
        <v>57029</v>
      </c>
      <c r="K111" s="13"/>
      <c r="L111" s="13"/>
      <c r="M111" s="13"/>
      <c r="N111" s="13"/>
      <c r="O111" s="13"/>
      <c r="P111" s="13">
        <f t="shared" si="5"/>
        <v>57029</v>
      </c>
    </row>
    <row r="112" spans="1:16" ht="15" customHeight="1">
      <c r="A112" s="63"/>
      <c r="B112" s="63"/>
      <c r="C112" s="14" t="s">
        <v>298</v>
      </c>
      <c r="D112" s="65"/>
      <c r="E112" s="65">
        <v>2</v>
      </c>
      <c r="F112" s="13"/>
      <c r="G112" s="13"/>
      <c r="H112" s="13"/>
      <c r="I112" s="13"/>
      <c r="J112" s="13">
        <v>8000</v>
      </c>
      <c r="K112" s="13"/>
      <c r="L112" s="13"/>
      <c r="M112" s="13"/>
      <c r="N112" s="13"/>
      <c r="O112" s="13"/>
      <c r="P112" s="13">
        <f t="shared" si="5"/>
        <v>8000</v>
      </c>
    </row>
    <row r="113" spans="1:16" ht="15" customHeight="1">
      <c r="A113" s="63"/>
      <c r="B113" s="63"/>
      <c r="C113" s="14" t="s">
        <v>1618</v>
      </c>
      <c r="D113" s="65"/>
      <c r="E113" s="65">
        <v>2</v>
      </c>
      <c r="F113" s="13"/>
      <c r="G113" s="13"/>
      <c r="H113" s="13"/>
      <c r="I113" s="13"/>
      <c r="J113" s="13">
        <v>4000</v>
      </c>
      <c r="K113" s="13"/>
      <c r="L113" s="13"/>
      <c r="M113" s="13"/>
      <c r="N113" s="13"/>
      <c r="O113" s="13"/>
      <c r="P113" s="13">
        <f t="shared" si="5"/>
        <v>4000</v>
      </c>
    </row>
    <row r="114" spans="1:16" ht="15" customHeight="1">
      <c r="A114" s="63"/>
      <c r="B114" s="63"/>
      <c r="C114" s="1221" t="s">
        <v>1016</v>
      </c>
      <c r="D114" s="1222"/>
      <c r="E114" s="140">
        <v>1</v>
      </c>
      <c r="F114" s="13"/>
      <c r="G114" s="13"/>
      <c r="H114" s="13"/>
      <c r="I114" s="13"/>
      <c r="J114" s="13">
        <v>13000</v>
      </c>
      <c r="K114" s="13"/>
      <c r="L114" s="13"/>
      <c r="M114" s="13"/>
      <c r="N114" s="13"/>
      <c r="O114" s="13"/>
      <c r="P114" s="13">
        <f t="shared" si="5"/>
        <v>13000</v>
      </c>
    </row>
    <row r="115" spans="1:16" ht="15" customHeight="1">
      <c r="A115" s="63"/>
      <c r="B115" s="63"/>
      <c r="C115" s="1221" t="s">
        <v>170</v>
      </c>
      <c r="D115" s="1222"/>
      <c r="E115" s="1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 customHeight="1">
      <c r="A116" s="63"/>
      <c r="B116" s="63"/>
      <c r="C116" s="1231" t="s">
        <v>299</v>
      </c>
      <c r="D116" s="1214"/>
      <c r="E116" s="140">
        <v>1</v>
      </c>
      <c r="F116" s="16"/>
      <c r="G116" s="16"/>
      <c r="H116" s="16"/>
      <c r="I116" s="16"/>
      <c r="J116" s="16">
        <v>2000</v>
      </c>
      <c r="K116" s="16"/>
      <c r="L116" s="16"/>
      <c r="M116" s="16"/>
      <c r="N116" s="16"/>
      <c r="O116" s="16"/>
      <c r="P116" s="13">
        <f>SUM(F116:O116)</f>
        <v>2000</v>
      </c>
    </row>
    <row r="117" spans="1:16" ht="15" customHeight="1">
      <c r="A117" s="63"/>
      <c r="B117" s="63"/>
      <c r="C117" s="15" t="s">
        <v>110</v>
      </c>
      <c r="D117" s="79"/>
      <c r="E117" s="79">
        <v>1</v>
      </c>
      <c r="F117" s="16"/>
      <c r="G117" s="16"/>
      <c r="H117" s="16"/>
      <c r="I117" s="16"/>
      <c r="J117" s="16">
        <v>1800</v>
      </c>
      <c r="K117" s="16"/>
      <c r="L117" s="16"/>
      <c r="M117" s="16"/>
      <c r="N117" s="16"/>
      <c r="O117" s="16"/>
      <c r="P117" s="13">
        <f>SUM(F117:O117)</f>
        <v>1800</v>
      </c>
    </row>
    <row r="118" spans="1:16" ht="15" customHeight="1">
      <c r="A118" s="63"/>
      <c r="B118" s="63"/>
      <c r="C118" s="1231" t="s">
        <v>693</v>
      </c>
      <c r="D118" s="1214"/>
      <c r="E118" s="140">
        <v>1</v>
      </c>
      <c r="F118" s="16"/>
      <c r="G118" s="16"/>
      <c r="H118" s="16">
        <v>500</v>
      </c>
      <c r="I118" s="16"/>
      <c r="J118" s="16"/>
      <c r="K118" s="16"/>
      <c r="L118" s="16"/>
      <c r="M118" s="16"/>
      <c r="N118" s="16"/>
      <c r="O118" s="16"/>
      <c r="P118" s="13">
        <f>SUM(F118:O118)</f>
        <v>500</v>
      </c>
    </row>
    <row r="119" spans="1:16" ht="15" customHeight="1">
      <c r="A119" s="63"/>
      <c r="B119" s="63"/>
      <c r="C119" s="15" t="s">
        <v>138</v>
      </c>
      <c r="D119" s="79"/>
      <c r="E119" s="140">
        <v>1</v>
      </c>
      <c r="F119" s="16"/>
      <c r="G119" s="16"/>
      <c r="H119" s="16"/>
      <c r="I119" s="16"/>
      <c r="J119" s="16">
        <v>4000</v>
      </c>
      <c r="K119" s="16"/>
      <c r="L119" s="16"/>
      <c r="M119" s="16"/>
      <c r="N119" s="16"/>
      <c r="O119" s="16"/>
      <c r="P119" s="13">
        <f>SUM(F119:O119)</f>
        <v>4000</v>
      </c>
    </row>
    <row r="120" spans="1:16" ht="15" customHeight="1">
      <c r="A120" s="63"/>
      <c r="B120" s="63"/>
      <c r="C120" s="598" t="s">
        <v>171</v>
      </c>
      <c r="D120" s="599"/>
      <c r="E120" s="140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3"/>
    </row>
    <row r="121" spans="1:16" ht="15" customHeight="1">
      <c r="A121" s="63"/>
      <c r="B121" s="63"/>
      <c r="C121" s="15" t="s">
        <v>111</v>
      </c>
      <c r="D121" s="79"/>
      <c r="E121" s="79">
        <v>1</v>
      </c>
      <c r="F121" s="16"/>
      <c r="G121" s="16"/>
      <c r="H121" s="16"/>
      <c r="I121" s="16"/>
      <c r="J121" s="16">
        <v>12000</v>
      </c>
      <c r="K121" s="16"/>
      <c r="L121" s="16"/>
      <c r="M121" s="16"/>
      <c r="N121" s="16"/>
      <c r="O121" s="16"/>
      <c r="P121" s="13">
        <f>SUM(F121:O121)</f>
        <v>12000</v>
      </c>
    </row>
    <row r="122" spans="1:16" ht="15" customHeight="1">
      <c r="A122" s="63"/>
      <c r="B122" s="63"/>
      <c r="C122" s="15" t="s">
        <v>113</v>
      </c>
      <c r="D122" s="79"/>
      <c r="E122" s="79">
        <v>1</v>
      </c>
      <c r="F122" s="16"/>
      <c r="G122" s="16"/>
      <c r="H122" s="16"/>
      <c r="I122" s="16"/>
      <c r="J122" s="16">
        <v>3700</v>
      </c>
      <c r="K122" s="16"/>
      <c r="L122" s="16"/>
      <c r="M122" s="16"/>
      <c r="N122" s="16"/>
      <c r="O122" s="16"/>
      <c r="P122" s="13">
        <f aca="true" t="shared" si="6" ref="P122:P138">SUM(F122:O122)</f>
        <v>3700</v>
      </c>
    </row>
    <row r="123" spans="1:16" ht="15" customHeight="1">
      <c r="A123" s="63"/>
      <c r="B123" s="63"/>
      <c r="C123" s="1231" t="s">
        <v>1575</v>
      </c>
      <c r="D123" s="1214"/>
      <c r="E123" s="79">
        <v>1</v>
      </c>
      <c r="F123" s="16"/>
      <c r="G123" s="16"/>
      <c r="H123" s="16"/>
      <c r="I123" s="16"/>
      <c r="J123" s="16">
        <v>2000</v>
      </c>
      <c r="K123" s="16"/>
      <c r="L123" s="16"/>
      <c r="M123" s="16"/>
      <c r="N123" s="16"/>
      <c r="O123" s="16"/>
      <c r="P123" s="13">
        <f t="shared" si="6"/>
        <v>2000</v>
      </c>
    </row>
    <row r="124" spans="1:16" ht="15" customHeight="1">
      <c r="A124" s="63"/>
      <c r="B124" s="63"/>
      <c r="C124" s="1231" t="s">
        <v>1273</v>
      </c>
      <c r="D124" s="1214"/>
      <c r="E124" s="79">
        <v>1</v>
      </c>
      <c r="F124" s="16"/>
      <c r="G124" s="16"/>
      <c r="H124" s="16"/>
      <c r="I124" s="16"/>
      <c r="J124" s="16">
        <v>300</v>
      </c>
      <c r="K124" s="16"/>
      <c r="L124" s="16"/>
      <c r="M124" s="16"/>
      <c r="N124" s="16"/>
      <c r="O124" s="16"/>
      <c r="P124" s="13">
        <f t="shared" si="6"/>
        <v>300</v>
      </c>
    </row>
    <row r="125" spans="1:16" ht="15" customHeight="1">
      <c r="A125" s="63"/>
      <c r="B125" s="63"/>
      <c r="C125" s="15" t="s">
        <v>518</v>
      </c>
      <c r="D125" s="79"/>
      <c r="E125" s="79">
        <v>1</v>
      </c>
      <c r="F125" s="16"/>
      <c r="G125" s="16"/>
      <c r="H125" s="16"/>
      <c r="I125" s="16"/>
      <c r="J125" s="16">
        <v>1000</v>
      </c>
      <c r="K125" s="16"/>
      <c r="L125" s="16"/>
      <c r="M125" s="16"/>
      <c r="N125" s="16"/>
      <c r="O125" s="16"/>
      <c r="P125" s="13">
        <f t="shared" si="6"/>
        <v>1000</v>
      </c>
    </row>
    <row r="126" spans="1:16" ht="15" customHeight="1">
      <c r="A126" s="63"/>
      <c r="B126" s="63"/>
      <c r="C126" s="15" t="s">
        <v>516</v>
      </c>
      <c r="D126" s="79"/>
      <c r="E126" s="79">
        <v>1</v>
      </c>
      <c r="F126" s="16"/>
      <c r="G126" s="16"/>
      <c r="H126" s="16"/>
      <c r="I126" s="16"/>
      <c r="J126" s="16">
        <v>1200</v>
      </c>
      <c r="K126" s="16"/>
      <c r="L126" s="16"/>
      <c r="M126" s="16"/>
      <c r="N126" s="16"/>
      <c r="O126" s="16"/>
      <c r="P126" s="13">
        <f t="shared" si="6"/>
        <v>1200</v>
      </c>
    </row>
    <row r="127" spans="1:16" ht="15" customHeight="1">
      <c r="A127" s="63"/>
      <c r="B127" s="63"/>
      <c r="C127" s="15" t="s">
        <v>517</v>
      </c>
      <c r="D127" s="79"/>
      <c r="E127" s="79">
        <v>1</v>
      </c>
      <c r="F127" s="16"/>
      <c r="G127" s="16"/>
      <c r="H127" s="16"/>
      <c r="I127" s="16"/>
      <c r="J127" s="16">
        <v>500</v>
      </c>
      <c r="K127" s="16"/>
      <c r="L127" s="16"/>
      <c r="M127" s="16"/>
      <c r="N127" s="16"/>
      <c r="O127" s="16"/>
      <c r="P127" s="13">
        <f t="shared" si="6"/>
        <v>500</v>
      </c>
    </row>
    <row r="128" spans="1:16" ht="15" customHeight="1">
      <c r="A128" s="63"/>
      <c r="B128" s="63"/>
      <c r="C128" s="15" t="s">
        <v>691</v>
      </c>
      <c r="D128" s="140"/>
      <c r="E128" s="79">
        <v>1</v>
      </c>
      <c r="F128" s="16"/>
      <c r="G128" s="16"/>
      <c r="H128" s="16"/>
      <c r="I128" s="16"/>
      <c r="J128" s="16">
        <v>400</v>
      </c>
      <c r="K128" s="16"/>
      <c r="L128" s="16"/>
      <c r="M128" s="16"/>
      <c r="N128" s="16"/>
      <c r="O128" s="16"/>
      <c r="P128" s="13">
        <f t="shared" si="6"/>
        <v>400</v>
      </c>
    </row>
    <row r="129" spans="1:16" ht="15" customHeight="1">
      <c r="A129" s="63"/>
      <c r="B129" s="63"/>
      <c r="C129" s="15" t="s">
        <v>139</v>
      </c>
      <c r="D129" s="140"/>
      <c r="E129" s="79">
        <v>1</v>
      </c>
      <c r="F129" s="16"/>
      <c r="G129" s="16"/>
      <c r="H129" s="16"/>
      <c r="I129" s="16"/>
      <c r="J129" s="16">
        <v>300</v>
      </c>
      <c r="K129" s="16"/>
      <c r="L129" s="16"/>
      <c r="M129" s="16"/>
      <c r="N129" s="16"/>
      <c r="O129" s="16"/>
      <c r="P129" s="13">
        <f t="shared" si="6"/>
        <v>300</v>
      </c>
    </row>
    <row r="130" spans="1:16" ht="15" customHeight="1">
      <c r="A130" s="63"/>
      <c r="B130" s="63"/>
      <c r="C130" s="15" t="s">
        <v>694</v>
      </c>
      <c r="D130" s="140"/>
      <c r="E130" s="79">
        <v>1</v>
      </c>
      <c r="F130" s="16"/>
      <c r="G130" s="16"/>
      <c r="H130" s="16">
        <v>1500</v>
      </c>
      <c r="I130" s="16"/>
      <c r="J130" s="16"/>
      <c r="K130" s="16"/>
      <c r="L130" s="16"/>
      <c r="M130" s="16"/>
      <c r="N130" s="16"/>
      <c r="O130" s="16"/>
      <c r="P130" s="13">
        <f t="shared" si="6"/>
        <v>1500</v>
      </c>
    </row>
    <row r="131" spans="1:16" ht="15" customHeight="1">
      <c r="A131" s="63"/>
      <c r="B131" s="63"/>
      <c r="C131" s="15" t="s">
        <v>415</v>
      </c>
      <c r="D131" s="140"/>
      <c r="E131" s="79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3"/>
    </row>
    <row r="132" spans="1:16" ht="15" customHeight="1">
      <c r="A132" s="63"/>
      <c r="B132" s="63"/>
      <c r="C132" s="1231" t="s">
        <v>514</v>
      </c>
      <c r="D132" s="1214"/>
      <c r="E132" s="140">
        <v>2</v>
      </c>
      <c r="F132" s="16"/>
      <c r="G132" s="16"/>
      <c r="H132" s="16"/>
      <c r="I132" s="16"/>
      <c r="J132" s="16">
        <v>3500</v>
      </c>
      <c r="K132" s="16"/>
      <c r="L132" s="16"/>
      <c r="M132" s="16"/>
      <c r="N132" s="16"/>
      <c r="O132" s="16"/>
      <c r="P132" s="13">
        <f t="shared" si="6"/>
        <v>3500</v>
      </c>
    </row>
    <row r="133" spans="1:16" ht="15" customHeight="1">
      <c r="A133" s="63"/>
      <c r="B133" s="63"/>
      <c r="C133" s="1231" t="s">
        <v>515</v>
      </c>
      <c r="D133" s="1214"/>
      <c r="E133" s="140">
        <v>2</v>
      </c>
      <c r="F133" s="16"/>
      <c r="G133" s="16"/>
      <c r="H133" s="16"/>
      <c r="I133" s="16"/>
      <c r="J133" s="16">
        <v>500</v>
      </c>
      <c r="K133" s="16"/>
      <c r="L133" s="16"/>
      <c r="M133" s="16"/>
      <c r="N133" s="16"/>
      <c r="O133" s="16"/>
      <c r="P133" s="13">
        <f t="shared" si="6"/>
        <v>500</v>
      </c>
    </row>
    <row r="134" spans="1:16" ht="15" customHeight="1">
      <c r="A134" s="63"/>
      <c r="B134" s="63"/>
      <c r="C134" s="1288" t="s">
        <v>52</v>
      </c>
      <c r="D134" s="1289"/>
      <c r="E134" s="219">
        <v>2</v>
      </c>
      <c r="F134" s="16"/>
      <c r="G134" s="16"/>
      <c r="H134" s="16"/>
      <c r="I134" s="16"/>
      <c r="J134" s="13">
        <v>5000</v>
      </c>
      <c r="K134" s="16"/>
      <c r="L134" s="16"/>
      <c r="M134" s="16"/>
      <c r="N134" s="16"/>
      <c r="O134" s="16"/>
      <c r="P134" s="13">
        <f t="shared" si="6"/>
        <v>5000</v>
      </c>
    </row>
    <row r="135" spans="1:16" ht="15" customHeight="1">
      <c r="A135" s="63"/>
      <c r="B135" s="63"/>
      <c r="C135" s="1288" t="s">
        <v>53</v>
      </c>
      <c r="D135" s="1289"/>
      <c r="E135" s="226">
        <v>2</v>
      </c>
      <c r="F135" s="16"/>
      <c r="G135" s="16"/>
      <c r="H135" s="16"/>
      <c r="I135" s="16"/>
      <c r="J135" s="13">
        <v>2000</v>
      </c>
      <c r="K135" s="16"/>
      <c r="L135" s="16"/>
      <c r="M135" s="16"/>
      <c r="N135" s="16"/>
      <c r="O135" s="16"/>
      <c r="P135" s="13">
        <f t="shared" si="6"/>
        <v>2000</v>
      </c>
    </row>
    <row r="136" spans="1:16" ht="15" customHeight="1">
      <c r="A136" s="63"/>
      <c r="B136" s="63"/>
      <c r="C136" s="1288" t="s">
        <v>141</v>
      </c>
      <c r="D136" s="1289"/>
      <c r="E136" s="226">
        <v>2</v>
      </c>
      <c r="F136" s="16"/>
      <c r="G136" s="16"/>
      <c r="H136" s="16"/>
      <c r="I136" s="16"/>
      <c r="J136" s="13">
        <v>1500</v>
      </c>
      <c r="K136" s="16"/>
      <c r="L136" s="16"/>
      <c r="M136" s="16"/>
      <c r="N136" s="16"/>
      <c r="O136" s="16"/>
      <c r="P136" s="13">
        <f t="shared" si="6"/>
        <v>1500</v>
      </c>
    </row>
    <row r="137" spans="1:16" ht="15" customHeight="1">
      <c r="A137" s="63"/>
      <c r="B137" s="63"/>
      <c r="C137" s="1288" t="s">
        <v>84</v>
      </c>
      <c r="D137" s="1289"/>
      <c r="E137" s="226">
        <v>2</v>
      </c>
      <c r="F137" s="16"/>
      <c r="G137" s="16"/>
      <c r="H137" s="16"/>
      <c r="I137" s="16"/>
      <c r="J137" s="13">
        <v>1000</v>
      </c>
      <c r="K137" s="16"/>
      <c r="L137" s="16"/>
      <c r="M137" s="16"/>
      <c r="N137" s="16"/>
      <c r="O137" s="16"/>
      <c r="P137" s="13">
        <f t="shared" si="6"/>
        <v>1000</v>
      </c>
    </row>
    <row r="138" spans="1:16" ht="15" customHeight="1">
      <c r="A138" s="63"/>
      <c r="B138" s="63"/>
      <c r="C138" s="1288" t="s">
        <v>140</v>
      </c>
      <c r="D138" s="1289"/>
      <c r="E138" s="226">
        <v>2</v>
      </c>
      <c r="F138" s="16"/>
      <c r="G138" s="16"/>
      <c r="H138" s="16"/>
      <c r="I138" s="16"/>
      <c r="J138" s="16">
        <v>1000</v>
      </c>
      <c r="K138" s="16"/>
      <c r="L138" s="16"/>
      <c r="M138" s="16"/>
      <c r="N138" s="16"/>
      <c r="O138" s="16"/>
      <c r="P138" s="13">
        <f t="shared" si="6"/>
        <v>1000</v>
      </c>
    </row>
    <row r="139" spans="1:16" ht="15" customHeight="1">
      <c r="A139" s="63"/>
      <c r="B139" s="63"/>
      <c r="C139" s="1231" t="s">
        <v>172</v>
      </c>
      <c r="D139" s="1214"/>
      <c r="E139" s="140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3"/>
    </row>
    <row r="140" spans="1:16" ht="15" customHeight="1">
      <c r="A140" s="63"/>
      <c r="B140" s="63"/>
      <c r="C140" s="15" t="s">
        <v>1365</v>
      </c>
      <c r="D140" s="140"/>
      <c r="E140" s="140">
        <v>1</v>
      </c>
      <c r="F140" s="16"/>
      <c r="G140" s="16"/>
      <c r="H140" s="16">
        <v>28724</v>
      </c>
      <c r="I140" s="16"/>
      <c r="J140" s="16"/>
      <c r="K140" s="16"/>
      <c r="L140" s="16"/>
      <c r="M140" s="16"/>
      <c r="N140" s="16"/>
      <c r="O140" s="16"/>
      <c r="P140" s="13">
        <f>SUM(F140:O140)</f>
        <v>28724</v>
      </c>
    </row>
    <row r="141" spans="1:16" ht="15" customHeight="1">
      <c r="A141" s="63"/>
      <c r="B141" s="63"/>
      <c r="C141" s="15" t="s">
        <v>112</v>
      </c>
      <c r="D141" s="79"/>
      <c r="E141" s="79">
        <v>1</v>
      </c>
      <c r="F141" s="16"/>
      <c r="G141" s="16"/>
      <c r="H141" s="16"/>
      <c r="I141" s="16"/>
      <c r="J141" s="16">
        <v>2250</v>
      </c>
      <c r="K141" s="16"/>
      <c r="L141" s="16"/>
      <c r="M141" s="16"/>
      <c r="N141" s="16"/>
      <c r="O141" s="16"/>
      <c r="P141" s="13">
        <f>SUM(F141:O141)</f>
        <v>2250</v>
      </c>
    </row>
    <row r="142" spans="1:16" ht="12">
      <c r="A142" s="68"/>
      <c r="B142" s="68"/>
      <c r="C142" s="71" t="s">
        <v>21</v>
      </c>
      <c r="D142" s="72"/>
      <c r="E142" s="72"/>
      <c r="F142" s="76">
        <f>SUM(F41:F141)</f>
        <v>1806</v>
      </c>
      <c r="G142" s="76">
        <f aca="true" t="shared" si="7" ref="G142:P142">SUM(G41:G141)</f>
        <v>450</v>
      </c>
      <c r="H142" s="76">
        <f t="shared" si="7"/>
        <v>90207</v>
      </c>
      <c r="I142" s="76">
        <f t="shared" si="7"/>
        <v>18500</v>
      </c>
      <c r="J142" s="76">
        <f t="shared" si="7"/>
        <v>428589</v>
      </c>
      <c r="K142" s="76">
        <f t="shared" si="7"/>
        <v>0</v>
      </c>
      <c r="L142" s="76">
        <f t="shared" si="7"/>
        <v>0</v>
      </c>
      <c r="M142" s="76">
        <f t="shared" si="7"/>
        <v>0</v>
      </c>
      <c r="N142" s="76"/>
      <c r="O142" s="76">
        <f t="shared" si="7"/>
        <v>0</v>
      </c>
      <c r="P142" s="76">
        <f t="shared" si="7"/>
        <v>539552</v>
      </c>
    </row>
    <row r="143" spans="1:16" ht="12">
      <c r="A143" s="77"/>
      <c r="B143" s="77"/>
      <c r="C143" s="14" t="s">
        <v>295</v>
      </c>
      <c r="D143" s="65"/>
      <c r="E143" s="65"/>
      <c r="F143" s="70"/>
      <c r="G143" s="70"/>
      <c r="H143" s="70"/>
      <c r="I143" s="13"/>
      <c r="J143" s="13"/>
      <c r="K143" s="70">
        <v>355595</v>
      </c>
      <c r="L143" s="70"/>
      <c r="M143" s="13">
        <v>41227</v>
      </c>
      <c r="N143" s="13"/>
      <c r="O143" s="70"/>
      <c r="P143" s="13">
        <f>SUM(F143:O143)</f>
        <v>396822</v>
      </c>
    </row>
    <row r="144" spans="1:16" ht="12">
      <c r="A144" s="77"/>
      <c r="B144" s="77"/>
      <c r="C144" s="14" t="s">
        <v>1536</v>
      </c>
      <c r="D144" s="65"/>
      <c r="E144" s="65"/>
      <c r="F144" s="70"/>
      <c r="G144" s="70"/>
      <c r="H144" s="70"/>
      <c r="I144" s="13"/>
      <c r="J144" s="13"/>
      <c r="K144" s="13"/>
      <c r="L144" s="70">
        <v>207195</v>
      </c>
      <c r="M144" s="13">
        <v>21000</v>
      </c>
      <c r="N144" s="70"/>
      <c r="O144" s="70"/>
      <c r="P144" s="13">
        <f>SUM(F144:O144)</f>
        <v>228195</v>
      </c>
    </row>
    <row r="145" spans="1:16" ht="12.75" customHeight="1">
      <c r="A145" s="68"/>
      <c r="B145" s="68"/>
      <c r="C145" s="71" t="s">
        <v>22</v>
      </c>
      <c r="D145" s="72"/>
      <c r="E145" s="72"/>
      <c r="F145" s="76">
        <f aca="true" t="shared" si="8" ref="F145:K145">SUM(F142:F144)</f>
        <v>1806</v>
      </c>
      <c r="G145" s="76">
        <f t="shared" si="8"/>
        <v>450</v>
      </c>
      <c r="H145" s="76">
        <f t="shared" si="8"/>
        <v>90207</v>
      </c>
      <c r="I145" s="76">
        <f t="shared" si="8"/>
        <v>18500</v>
      </c>
      <c r="J145" s="76">
        <f t="shared" si="8"/>
        <v>428589</v>
      </c>
      <c r="K145" s="76">
        <f t="shared" si="8"/>
        <v>355595</v>
      </c>
      <c r="L145" s="76">
        <f>SUM(L144)</f>
        <v>207195</v>
      </c>
      <c r="M145" s="76">
        <f>SUM(M142:M144)</f>
        <v>62227</v>
      </c>
      <c r="N145" s="76"/>
      <c r="O145" s="76">
        <f>SUM(O142:O144)</f>
        <v>0</v>
      </c>
      <c r="P145" s="76">
        <f>SUM(P142:P144)</f>
        <v>1164569</v>
      </c>
    </row>
    <row r="146" spans="1:16" ht="13.5" customHeight="1">
      <c r="A146" s="78">
        <v>1</v>
      </c>
      <c r="B146" s="78">
        <v>15</v>
      </c>
      <c r="C146" s="19" t="s">
        <v>1553</v>
      </c>
      <c r="D146" s="79"/>
      <c r="E146" s="79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3.5" customHeight="1">
      <c r="A147" s="78"/>
      <c r="B147" s="78"/>
      <c r="C147" s="80" t="s">
        <v>173</v>
      </c>
      <c r="D147" s="79" t="s">
        <v>695</v>
      </c>
      <c r="E147" s="79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3.5" customHeight="1">
      <c r="A148" s="78"/>
      <c r="B148" s="78"/>
      <c r="C148" s="15" t="s">
        <v>1554</v>
      </c>
      <c r="D148" s="79"/>
      <c r="E148" s="79">
        <v>1</v>
      </c>
      <c r="F148" s="16"/>
      <c r="G148" s="16"/>
      <c r="H148" s="16">
        <v>25000</v>
      </c>
      <c r="I148" s="16"/>
      <c r="J148" s="16"/>
      <c r="K148" s="16"/>
      <c r="L148" s="16"/>
      <c r="M148" s="16"/>
      <c r="N148" s="16"/>
      <c r="O148" s="16"/>
      <c r="P148" s="16">
        <f aca="true" t="shared" si="9" ref="P148:P167">SUM(F148:O148)</f>
        <v>25000</v>
      </c>
    </row>
    <row r="149" spans="1:16" ht="13.5" customHeight="1">
      <c r="A149" s="78"/>
      <c r="B149" s="78"/>
      <c r="C149" s="15" t="s">
        <v>1555</v>
      </c>
      <c r="D149" s="79"/>
      <c r="E149" s="79">
        <v>1</v>
      </c>
      <c r="F149" s="16"/>
      <c r="G149" s="16"/>
      <c r="H149" s="16">
        <v>120000</v>
      </c>
      <c r="I149" s="16"/>
      <c r="J149" s="16"/>
      <c r="K149" s="16"/>
      <c r="L149" s="16"/>
      <c r="M149" s="16"/>
      <c r="N149" s="16"/>
      <c r="O149" s="16"/>
      <c r="P149" s="16">
        <f t="shared" si="9"/>
        <v>120000</v>
      </c>
    </row>
    <row r="150" spans="1:16" ht="13.5" customHeight="1">
      <c r="A150" s="78"/>
      <c r="B150" s="78"/>
      <c r="C150" s="80" t="s">
        <v>778</v>
      </c>
      <c r="D150" s="79"/>
      <c r="E150" s="79">
        <v>1</v>
      </c>
      <c r="F150" s="16"/>
      <c r="G150" s="16"/>
      <c r="H150" s="16">
        <v>10000</v>
      </c>
      <c r="I150" s="16"/>
      <c r="J150" s="16"/>
      <c r="K150" s="16"/>
      <c r="L150" s="16"/>
      <c r="M150" s="16"/>
      <c r="N150" s="16"/>
      <c r="O150" s="16"/>
      <c r="P150" s="16">
        <f t="shared" si="9"/>
        <v>10000</v>
      </c>
    </row>
    <row r="151" spans="1:16" ht="13.5" customHeight="1">
      <c r="A151" s="78"/>
      <c r="B151" s="78"/>
      <c r="C151" s="80" t="s">
        <v>1637</v>
      </c>
      <c r="D151" s="79"/>
      <c r="E151" s="79">
        <v>1</v>
      </c>
      <c r="F151" s="16"/>
      <c r="G151" s="16"/>
      <c r="H151" s="16">
        <v>700</v>
      </c>
      <c r="I151" s="16"/>
      <c r="J151" s="16"/>
      <c r="K151" s="16"/>
      <c r="L151" s="16"/>
      <c r="M151" s="16"/>
      <c r="N151" s="16"/>
      <c r="O151" s="16"/>
      <c r="P151" s="16">
        <f t="shared" si="9"/>
        <v>700</v>
      </c>
    </row>
    <row r="152" spans="1:16" ht="13.5" customHeight="1">
      <c r="A152" s="78"/>
      <c r="B152" s="78"/>
      <c r="C152" s="80" t="s">
        <v>1556</v>
      </c>
      <c r="D152" s="79"/>
      <c r="E152" s="79">
        <v>2</v>
      </c>
      <c r="F152" s="16"/>
      <c r="G152" s="16"/>
      <c r="H152" s="16">
        <v>2000</v>
      </c>
      <c r="I152" s="16"/>
      <c r="J152" s="16"/>
      <c r="K152" s="16"/>
      <c r="L152" s="16"/>
      <c r="M152" s="16"/>
      <c r="N152" s="16"/>
      <c r="O152" s="16"/>
      <c r="P152" s="16">
        <f t="shared" si="9"/>
        <v>2000</v>
      </c>
    </row>
    <row r="153" spans="1:16" ht="13.5" customHeight="1">
      <c r="A153" s="78"/>
      <c r="B153" s="78"/>
      <c r="C153" s="80" t="s">
        <v>1557</v>
      </c>
      <c r="D153" s="79"/>
      <c r="E153" s="79">
        <v>2</v>
      </c>
      <c r="F153" s="16"/>
      <c r="G153" s="16"/>
      <c r="H153" s="16">
        <v>1000</v>
      </c>
      <c r="I153" s="16"/>
      <c r="J153" s="16"/>
      <c r="K153" s="16"/>
      <c r="L153" s="16"/>
      <c r="M153" s="16"/>
      <c r="N153" s="16"/>
      <c r="O153" s="16"/>
      <c r="P153" s="16">
        <f t="shared" si="9"/>
        <v>1000</v>
      </c>
    </row>
    <row r="154" spans="1:16" ht="13.5" customHeight="1">
      <c r="A154" s="78"/>
      <c r="B154" s="78"/>
      <c r="C154" s="80" t="s">
        <v>1558</v>
      </c>
      <c r="D154" s="79"/>
      <c r="E154" s="79">
        <v>2</v>
      </c>
      <c r="F154" s="16"/>
      <c r="G154" s="16"/>
      <c r="H154" s="16">
        <v>1126</v>
      </c>
      <c r="I154" s="16"/>
      <c r="J154" s="16"/>
      <c r="K154" s="16"/>
      <c r="L154" s="16"/>
      <c r="M154" s="16"/>
      <c r="N154" s="16"/>
      <c r="O154" s="16"/>
      <c r="P154" s="16">
        <f t="shared" si="9"/>
        <v>1126</v>
      </c>
    </row>
    <row r="155" spans="1:16" ht="13.5" customHeight="1">
      <c r="A155" s="78"/>
      <c r="B155" s="78"/>
      <c r="C155" s="80" t="s">
        <v>779</v>
      </c>
      <c r="D155" s="79"/>
      <c r="E155" s="79">
        <v>1</v>
      </c>
      <c r="F155" s="16"/>
      <c r="G155" s="16"/>
      <c r="H155" s="16">
        <v>2500</v>
      </c>
      <c r="I155" s="16"/>
      <c r="J155" s="16"/>
      <c r="K155" s="16"/>
      <c r="L155" s="16"/>
      <c r="M155" s="16"/>
      <c r="N155" s="16"/>
      <c r="O155" s="16"/>
      <c r="P155" s="16">
        <f t="shared" si="9"/>
        <v>2500</v>
      </c>
    </row>
    <row r="156" spans="1:16" ht="13.5" customHeight="1">
      <c r="A156" s="78"/>
      <c r="B156" s="78"/>
      <c r="C156" s="80" t="s">
        <v>1559</v>
      </c>
      <c r="D156" s="79"/>
      <c r="E156" s="79">
        <v>1</v>
      </c>
      <c r="F156" s="16"/>
      <c r="G156" s="16"/>
      <c r="H156" s="16">
        <v>1500</v>
      </c>
      <c r="I156" s="16"/>
      <c r="J156" s="16"/>
      <c r="K156" s="16"/>
      <c r="L156" s="16"/>
      <c r="M156" s="16"/>
      <c r="N156" s="16"/>
      <c r="O156" s="16"/>
      <c r="P156" s="16">
        <f t="shared" si="9"/>
        <v>1500</v>
      </c>
    </row>
    <row r="157" spans="1:16" ht="13.5" customHeight="1">
      <c r="A157" s="78"/>
      <c r="B157" s="78"/>
      <c r="C157" s="80" t="s">
        <v>1299</v>
      </c>
      <c r="D157" s="79"/>
      <c r="E157" s="79">
        <v>2</v>
      </c>
      <c r="F157" s="16"/>
      <c r="G157" s="16"/>
      <c r="H157" s="16">
        <v>3675</v>
      </c>
      <c r="I157" s="16"/>
      <c r="J157" s="16"/>
      <c r="K157" s="16"/>
      <c r="L157" s="16"/>
      <c r="M157" s="16"/>
      <c r="N157" s="16"/>
      <c r="O157" s="16"/>
      <c r="P157" s="16">
        <f t="shared" si="9"/>
        <v>3675</v>
      </c>
    </row>
    <row r="158" spans="1:16" ht="13.5" customHeight="1">
      <c r="A158" s="78"/>
      <c r="B158" s="78"/>
      <c r="C158" s="598" t="s">
        <v>1300</v>
      </c>
      <c r="D158" s="599"/>
      <c r="E158" s="205">
        <v>2</v>
      </c>
      <c r="F158" s="16"/>
      <c r="G158" s="16"/>
      <c r="H158" s="16">
        <v>1500</v>
      </c>
      <c r="I158" s="16"/>
      <c r="J158" s="16"/>
      <c r="K158" s="16"/>
      <c r="L158" s="16"/>
      <c r="M158" s="16"/>
      <c r="N158" s="16"/>
      <c r="O158" s="16"/>
      <c r="P158" s="16">
        <f t="shared" si="9"/>
        <v>1500</v>
      </c>
    </row>
    <row r="159" spans="1:16" ht="13.5" customHeight="1">
      <c r="A159" s="78"/>
      <c r="B159" s="78"/>
      <c r="C159" s="598" t="s">
        <v>1303</v>
      </c>
      <c r="D159" s="599"/>
      <c r="E159" s="205">
        <v>2</v>
      </c>
      <c r="F159" s="16"/>
      <c r="G159" s="16"/>
      <c r="H159" s="16">
        <v>1000</v>
      </c>
      <c r="I159" s="16"/>
      <c r="J159" s="16"/>
      <c r="K159" s="16"/>
      <c r="L159" s="16"/>
      <c r="M159" s="16"/>
      <c r="N159" s="16"/>
      <c r="O159" s="16"/>
      <c r="P159" s="16">
        <f t="shared" si="9"/>
        <v>1000</v>
      </c>
    </row>
    <row r="160" spans="1:16" ht="13.5" customHeight="1">
      <c r="A160" s="78"/>
      <c r="B160" s="78"/>
      <c r="C160" s="80" t="s">
        <v>1723</v>
      </c>
      <c r="D160" s="330"/>
      <c r="E160" s="205">
        <v>1</v>
      </c>
      <c r="F160" s="16"/>
      <c r="G160" s="16"/>
      <c r="H160" s="16">
        <v>10600</v>
      </c>
      <c r="I160" s="16"/>
      <c r="J160" s="16"/>
      <c r="K160" s="16"/>
      <c r="L160" s="16"/>
      <c r="M160" s="16"/>
      <c r="N160" s="16"/>
      <c r="O160" s="16"/>
      <c r="P160" s="16">
        <f t="shared" si="9"/>
        <v>10600</v>
      </c>
    </row>
    <row r="161" spans="1:16" ht="13.5" customHeight="1">
      <c r="A161" s="78"/>
      <c r="B161" s="78"/>
      <c r="C161" s="1231" t="s">
        <v>1262</v>
      </c>
      <c r="D161" s="1214"/>
      <c r="E161" s="140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>
        <f t="shared" si="9"/>
        <v>0</v>
      </c>
    </row>
    <row r="162" spans="1:16" ht="13.5" customHeight="1">
      <c r="A162" s="78"/>
      <c r="B162" s="78"/>
      <c r="C162" s="15" t="s">
        <v>1560</v>
      </c>
      <c r="D162" s="79"/>
      <c r="E162" s="79">
        <v>1</v>
      </c>
      <c r="F162" s="16"/>
      <c r="G162" s="85"/>
      <c r="H162" s="16">
        <v>90000</v>
      </c>
      <c r="I162" s="16"/>
      <c r="J162" s="16"/>
      <c r="K162" s="16"/>
      <c r="L162" s="16"/>
      <c r="M162" s="16"/>
      <c r="N162" s="16"/>
      <c r="O162" s="16"/>
      <c r="P162" s="16">
        <f t="shared" si="9"/>
        <v>90000</v>
      </c>
    </row>
    <row r="163" spans="1:16" ht="13.5" customHeight="1">
      <c r="A163" s="78"/>
      <c r="B163" s="78"/>
      <c r="C163" s="1231" t="s">
        <v>1561</v>
      </c>
      <c r="D163" s="1214"/>
      <c r="E163" s="140">
        <v>1</v>
      </c>
      <c r="F163" s="16"/>
      <c r="G163" s="85"/>
      <c r="H163" s="16">
        <v>32000</v>
      </c>
      <c r="I163" s="16"/>
      <c r="J163" s="16"/>
      <c r="K163" s="16"/>
      <c r="L163" s="16"/>
      <c r="M163" s="16"/>
      <c r="N163" s="16"/>
      <c r="O163" s="16"/>
      <c r="P163" s="16">
        <f t="shared" si="9"/>
        <v>32000</v>
      </c>
    </row>
    <row r="164" spans="1:16" ht="13.5" customHeight="1">
      <c r="A164" s="78"/>
      <c r="B164" s="78"/>
      <c r="C164" s="15" t="s">
        <v>1705</v>
      </c>
      <c r="D164" s="79"/>
      <c r="E164" s="140"/>
      <c r="F164" s="16"/>
      <c r="G164" s="85"/>
      <c r="H164" s="16">
        <v>1800</v>
      </c>
      <c r="I164" s="16"/>
      <c r="J164" s="16"/>
      <c r="K164" s="16"/>
      <c r="L164" s="16"/>
      <c r="M164" s="16"/>
      <c r="N164" s="16"/>
      <c r="O164" s="16"/>
      <c r="P164" s="16">
        <f t="shared" si="9"/>
        <v>1800</v>
      </c>
    </row>
    <row r="165" spans="1:16" ht="13.5" customHeight="1">
      <c r="A165" s="78"/>
      <c r="B165" s="78"/>
      <c r="C165" s="15" t="s">
        <v>1706</v>
      </c>
      <c r="D165" s="79"/>
      <c r="E165" s="140"/>
      <c r="F165" s="16"/>
      <c r="G165" s="85"/>
      <c r="H165" s="16">
        <v>1000</v>
      </c>
      <c r="I165" s="16"/>
      <c r="J165" s="16"/>
      <c r="K165" s="16"/>
      <c r="L165" s="16"/>
      <c r="M165" s="16"/>
      <c r="N165" s="16"/>
      <c r="O165" s="16"/>
      <c r="P165" s="16">
        <f t="shared" si="9"/>
        <v>1000</v>
      </c>
    </row>
    <row r="166" spans="1:16" ht="13.5" customHeight="1">
      <c r="A166" s="78"/>
      <c r="B166" s="78"/>
      <c r="C166" s="1231" t="s">
        <v>716</v>
      </c>
      <c r="D166" s="1214"/>
      <c r="E166" s="140">
        <v>1</v>
      </c>
      <c r="F166" s="16"/>
      <c r="G166" s="85"/>
      <c r="H166" s="16">
        <v>2000</v>
      </c>
      <c r="I166" s="16"/>
      <c r="J166" s="16"/>
      <c r="K166" s="16"/>
      <c r="L166" s="16"/>
      <c r="M166" s="16"/>
      <c r="N166" s="16"/>
      <c r="O166" s="16"/>
      <c r="P166" s="16">
        <f t="shared" si="9"/>
        <v>2000</v>
      </c>
    </row>
    <row r="167" spans="1:16" ht="13.5" customHeight="1">
      <c r="A167" s="78"/>
      <c r="B167" s="78"/>
      <c r="C167" s="15" t="s">
        <v>507</v>
      </c>
      <c r="D167" s="140"/>
      <c r="E167" s="140">
        <v>2</v>
      </c>
      <c r="F167" s="16"/>
      <c r="G167" s="85"/>
      <c r="H167" s="16">
        <v>5000</v>
      </c>
      <c r="I167" s="16"/>
      <c r="J167" s="16"/>
      <c r="K167" s="16"/>
      <c r="L167" s="16"/>
      <c r="M167" s="16"/>
      <c r="N167" s="16"/>
      <c r="O167" s="16"/>
      <c r="P167" s="16">
        <f t="shared" si="9"/>
        <v>5000</v>
      </c>
    </row>
    <row r="168" spans="1:16" ht="13.5" customHeight="1">
      <c r="A168" s="78"/>
      <c r="B168" s="78"/>
      <c r="C168" s="598" t="s">
        <v>1216</v>
      </c>
      <c r="D168" s="599"/>
      <c r="E168" s="140"/>
      <c r="F168" s="16"/>
      <c r="G168" s="85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3.5" customHeight="1">
      <c r="A169" s="16"/>
      <c r="B169" s="16"/>
      <c r="C169" s="16" t="s">
        <v>1562</v>
      </c>
      <c r="D169" s="16"/>
      <c r="E169" s="16">
        <v>1</v>
      </c>
      <c r="F169" s="16"/>
      <c r="G169" s="85"/>
      <c r="H169" s="16">
        <v>2000</v>
      </c>
      <c r="I169" s="16"/>
      <c r="J169" s="16"/>
      <c r="K169" s="16"/>
      <c r="L169" s="16"/>
      <c r="M169" s="16"/>
      <c r="N169" s="16"/>
      <c r="O169" s="16"/>
      <c r="P169" s="16">
        <f>SUM(F169:O169)</f>
        <v>2000</v>
      </c>
    </row>
    <row r="170" spans="1:16" ht="13.5" customHeight="1">
      <c r="A170" s="78"/>
      <c r="B170" s="78"/>
      <c r="C170" s="15" t="s">
        <v>1563</v>
      </c>
      <c r="D170" s="79"/>
      <c r="E170" s="79">
        <v>1</v>
      </c>
      <c r="F170" s="16"/>
      <c r="G170" s="85"/>
      <c r="H170" s="16">
        <v>4000</v>
      </c>
      <c r="I170" s="16"/>
      <c r="J170" s="16"/>
      <c r="K170" s="16"/>
      <c r="L170" s="16"/>
      <c r="M170" s="16"/>
      <c r="N170" s="16"/>
      <c r="O170" s="16"/>
      <c r="P170" s="16">
        <f>SUM(F170:O170)</f>
        <v>4000</v>
      </c>
    </row>
    <row r="171" spans="1:16" ht="13.5" customHeight="1">
      <c r="A171" s="78"/>
      <c r="B171" s="78"/>
      <c r="C171" s="1231" t="s">
        <v>1304</v>
      </c>
      <c r="D171" s="1214"/>
      <c r="E171" s="205">
        <v>1</v>
      </c>
      <c r="F171" s="16"/>
      <c r="G171" s="85"/>
      <c r="H171" s="16">
        <v>4000</v>
      </c>
      <c r="I171" s="16"/>
      <c r="J171" s="16"/>
      <c r="K171" s="16"/>
      <c r="L171" s="16"/>
      <c r="M171" s="16"/>
      <c r="N171" s="16"/>
      <c r="O171" s="16"/>
      <c r="P171" s="16">
        <f>SUM(F171:O171)</f>
        <v>4000</v>
      </c>
    </row>
    <row r="172" spans="1:16" ht="13.5" customHeight="1">
      <c r="A172" s="78"/>
      <c r="B172" s="78"/>
      <c r="C172" s="1231" t="s">
        <v>1217</v>
      </c>
      <c r="D172" s="1214"/>
      <c r="E172" s="140"/>
      <c r="F172" s="16"/>
      <c r="G172" s="85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3.5" customHeight="1">
      <c r="A173" s="78"/>
      <c r="B173" s="78"/>
      <c r="C173" s="80" t="s">
        <v>536</v>
      </c>
      <c r="D173" s="140"/>
      <c r="E173" s="140">
        <v>1</v>
      </c>
      <c r="F173" s="16"/>
      <c r="G173" s="85"/>
      <c r="H173" s="16">
        <v>15000</v>
      </c>
      <c r="I173" s="16"/>
      <c r="J173" s="16"/>
      <c r="K173" s="16"/>
      <c r="L173" s="16"/>
      <c r="M173" s="16"/>
      <c r="N173" s="16"/>
      <c r="O173" s="16"/>
      <c r="P173" s="16">
        <f aca="true" t="shared" si="10" ref="P173:P195">SUM(F173:O173)</f>
        <v>15000</v>
      </c>
    </row>
    <row r="174" spans="1:16" ht="25.5" customHeight="1">
      <c r="A174" s="78"/>
      <c r="B174" s="78"/>
      <c r="C174" s="1215" t="s">
        <v>508</v>
      </c>
      <c r="D174" s="1216"/>
      <c r="E174" s="140">
        <v>1</v>
      </c>
      <c r="F174" s="16"/>
      <c r="G174" s="85"/>
      <c r="H174" s="16">
        <v>35000</v>
      </c>
      <c r="I174" s="16"/>
      <c r="J174" s="16"/>
      <c r="K174" s="16"/>
      <c r="L174" s="16"/>
      <c r="M174" s="16"/>
      <c r="N174" s="16"/>
      <c r="O174" s="16"/>
      <c r="P174" s="16">
        <f t="shared" si="10"/>
        <v>35000</v>
      </c>
    </row>
    <row r="175" spans="1:16" ht="25.5" customHeight="1">
      <c r="A175" s="78"/>
      <c r="B175" s="78"/>
      <c r="C175" s="1215" t="s">
        <v>1604</v>
      </c>
      <c r="D175" s="1216"/>
      <c r="E175" s="140">
        <v>1</v>
      </c>
      <c r="F175" s="16"/>
      <c r="G175" s="85"/>
      <c r="H175" s="16">
        <v>22000</v>
      </c>
      <c r="I175" s="16"/>
      <c r="J175" s="16"/>
      <c r="K175" s="16"/>
      <c r="L175" s="16"/>
      <c r="M175" s="16"/>
      <c r="N175" s="16"/>
      <c r="O175" s="16"/>
      <c r="P175" s="16">
        <f t="shared" si="10"/>
        <v>22000</v>
      </c>
    </row>
    <row r="176" spans="1:16" ht="24" customHeight="1">
      <c r="A176" s="78"/>
      <c r="B176" s="78"/>
      <c r="C176" s="1215" t="s">
        <v>43</v>
      </c>
      <c r="D176" s="1216"/>
      <c r="E176" s="140">
        <v>1</v>
      </c>
      <c r="F176" s="16"/>
      <c r="G176" s="85"/>
      <c r="H176" s="16">
        <v>2000</v>
      </c>
      <c r="I176" s="16"/>
      <c r="J176" s="16"/>
      <c r="K176" s="16"/>
      <c r="L176" s="16"/>
      <c r="M176" s="16"/>
      <c r="N176" s="16"/>
      <c r="O176" s="16"/>
      <c r="P176" s="16">
        <f t="shared" si="10"/>
        <v>2000</v>
      </c>
    </row>
    <row r="177" spans="1:16" ht="24" customHeight="1">
      <c r="A177" s="78"/>
      <c r="B177" s="78"/>
      <c r="C177" s="1215" t="s">
        <v>509</v>
      </c>
      <c r="D177" s="1216"/>
      <c r="E177" s="210">
        <v>1</v>
      </c>
      <c r="F177" s="16"/>
      <c r="G177" s="85"/>
      <c r="H177" s="16">
        <v>1800</v>
      </c>
      <c r="I177" s="16"/>
      <c r="J177" s="16"/>
      <c r="K177" s="16"/>
      <c r="L177" s="16"/>
      <c r="M177" s="16"/>
      <c r="N177" s="16"/>
      <c r="O177" s="16"/>
      <c r="P177" s="16">
        <f t="shared" si="10"/>
        <v>1800</v>
      </c>
    </row>
    <row r="178" spans="1:16" ht="12" customHeight="1">
      <c r="A178" s="78"/>
      <c r="B178" s="78"/>
      <c r="C178" s="1231" t="s">
        <v>1564</v>
      </c>
      <c r="D178" s="1214"/>
      <c r="E178" s="140">
        <v>1</v>
      </c>
      <c r="F178" s="16"/>
      <c r="G178" s="85"/>
      <c r="H178" s="16">
        <v>2000</v>
      </c>
      <c r="I178" s="16"/>
      <c r="J178" s="16"/>
      <c r="K178" s="16"/>
      <c r="L178" s="16"/>
      <c r="M178" s="16"/>
      <c r="N178" s="16"/>
      <c r="O178" s="16"/>
      <c r="P178" s="16">
        <f t="shared" si="10"/>
        <v>2000</v>
      </c>
    </row>
    <row r="179" spans="1:16" ht="12" customHeight="1">
      <c r="A179" s="78"/>
      <c r="B179" s="78"/>
      <c r="C179" s="15" t="s">
        <v>1307</v>
      </c>
      <c r="D179" s="140"/>
      <c r="E179" s="140">
        <v>1</v>
      </c>
      <c r="F179" s="16"/>
      <c r="G179" s="85"/>
      <c r="H179" s="16">
        <v>1000</v>
      </c>
      <c r="I179" s="16"/>
      <c r="J179" s="16"/>
      <c r="K179" s="16"/>
      <c r="L179" s="16"/>
      <c r="M179" s="16"/>
      <c r="N179" s="16"/>
      <c r="O179" s="16"/>
      <c r="P179" s="16">
        <f t="shared" si="10"/>
        <v>1000</v>
      </c>
    </row>
    <row r="180" spans="1:16" ht="24" customHeight="1">
      <c r="A180" s="78"/>
      <c r="B180" s="78"/>
      <c r="C180" s="1215" t="s">
        <v>675</v>
      </c>
      <c r="D180" s="1216"/>
      <c r="E180" s="210">
        <v>2</v>
      </c>
      <c r="F180" s="16"/>
      <c r="G180" s="85"/>
      <c r="H180" s="16">
        <v>1000</v>
      </c>
      <c r="I180" s="16"/>
      <c r="J180" s="16"/>
      <c r="K180" s="16"/>
      <c r="L180" s="16"/>
      <c r="M180" s="16"/>
      <c r="N180" s="16"/>
      <c r="O180" s="16"/>
      <c r="P180" s="16">
        <f t="shared" si="10"/>
        <v>1000</v>
      </c>
    </row>
    <row r="181" spans="1:16" ht="24.75" customHeight="1">
      <c r="A181" s="78"/>
      <c r="B181" s="78"/>
      <c r="C181" s="1215" t="s">
        <v>1218</v>
      </c>
      <c r="D181" s="1216"/>
      <c r="E181" s="210"/>
      <c r="F181" s="16"/>
      <c r="G181" s="85"/>
      <c r="H181" s="16"/>
      <c r="I181" s="16"/>
      <c r="J181" s="16"/>
      <c r="K181" s="16"/>
      <c r="L181" s="16"/>
      <c r="M181" s="16"/>
      <c r="N181" s="16"/>
      <c r="O181" s="16"/>
      <c r="P181" s="16">
        <f t="shared" si="10"/>
        <v>0</v>
      </c>
    </row>
    <row r="182" spans="1:16" ht="13.5" customHeight="1">
      <c r="A182" s="78"/>
      <c r="B182" s="78"/>
      <c r="C182" s="15" t="s">
        <v>1570</v>
      </c>
      <c r="D182" s="79"/>
      <c r="E182" s="79">
        <v>1</v>
      </c>
      <c r="F182" s="16"/>
      <c r="G182" s="85"/>
      <c r="H182" s="16">
        <v>1500</v>
      </c>
      <c r="I182" s="16"/>
      <c r="J182" s="16"/>
      <c r="K182" s="16"/>
      <c r="L182" s="16"/>
      <c r="M182" s="16"/>
      <c r="N182" s="16"/>
      <c r="O182" s="16"/>
      <c r="P182" s="16">
        <f t="shared" si="10"/>
        <v>1500</v>
      </c>
    </row>
    <row r="183" spans="1:16" ht="13.5" customHeight="1">
      <c r="A183" s="78"/>
      <c r="B183" s="78"/>
      <c r="C183" s="598" t="s">
        <v>1219</v>
      </c>
      <c r="D183" s="599"/>
      <c r="E183" s="140"/>
      <c r="F183" s="16"/>
      <c r="G183" s="85"/>
      <c r="H183" s="16"/>
      <c r="I183" s="16"/>
      <c r="J183" s="16"/>
      <c r="K183" s="16"/>
      <c r="L183" s="16"/>
      <c r="M183" s="16"/>
      <c r="N183" s="16"/>
      <c r="O183" s="16"/>
      <c r="P183" s="16">
        <f t="shared" si="10"/>
        <v>0</v>
      </c>
    </row>
    <row r="184" spans="1:16" ht="13.5" customHeight="1">
      <c r="A184" s="78"/>
      <c r="B184" s="78"/>
      <c r="C184" s="15" t="s">
        <v>1571</v>
      </c>
      <c r="D184" s="79"/>
      <c r="E184" s="79">
        <v>1</v>
      </c>
      <c r="F184" s="16"/>
      <c r="G184" s="85"/>
      <c r="H184" s="16">
        <v>12000</v>
      </c>
      <c r="I184" s="16"/>
      <c r="J184" s="16"/>
      <c r="K184" s="16"/>
      <c r="L184" s="16"/>
      <c r="M184" s="16"/>
      <c r="N184" s="16"/>
      <c r="O184" s="16"/>
      <c r="P184" s="16">
        <f t="shared" si="10"/>
        <v>12000</v>
      </c>
    </row>
    <row r="185" spans="1:16" ht="13.5" customHeight="1">
      <c r="A185" s="78"/>
      <c r="B185" s="78"/>
      <c r="C185" s="14" t="s">
        <v>1572</v>
      </c>
      <c r="D185" s="65"/>
      <c r="E185" s="65">
        <v>1</v>
      </c>
      <c r="F185" s="16"/>
      <c r="G185" s="85"/>
      <c r="H185" s="16"/>
      <c r="I185" s="16"/>
      <c r="J185" s="16">
        <v>18000</v>
      </c>
      <c r="K185" s="16"/>
      <c r="L185" s="16"/>
      <c r="M185" s="16"/>
      <c r="N185" s="16"/>
      <c r="O185" s="16"/>
      <c r="P185" s="16">
        <f t="shared" si="10"/>
        <v>18000</v>
      </c>
    </row>
    <row r="186" spans="1:16" ht="13.5" customHeight="1">
      <c r="A186" s="78"/>
      <c r="B186" s="78"/>
      <c r="C186" s="15" t="s">
        <v>1574</v>
      </c>
      <c r="D186" s="79"/>
      <c r="E186" s="79">
        <v>1</v>
      </c>
      <c r="F186" s="16"/>
      <c r="G186" s="85"/>
      <c r="H186" s="16">
        <v>9500</v>
      </c>
      <c r="I186" s="16"/>
      <c r="J186" s="16"/>
      <c r="K186" s="16"/>
      <c r="L186" s="16"/>
      <c r="M186" s="16"/>
      <c r="N186" s="16"/>
      <c r="O186" s="16"/>
      <c r="P186" s="16">
        <f t="shared" si="10"/>
        <v>9500</v>
      </c>
    </row>
    <row r="187" spans="1:16" ht="13.5" customHeight="1">
      <c r="A187" s="78"/>
      <c r="B187" s="78"/>
      <c r="C187" s="15" t="s">
        <v>48</v>
      </c>
      <c r="D187" s="79"/>
      <c r="E187" s="79">
        <v>2</v>
      </c>
      <c r="F187" s="16"/>
      <c r="G187" s="85"/>
      <c r="H187" s="16">
        <v>2000</v>
      </c>
      <c r="I187" s="16"/>
      <c r="J187" s="16"/>
      <c r="K187" s="16"/>
      <c r="L187" s="16"/>
      <c r="M187" s="16"/>
      <c r="N187" s="16"/>
      <c r="O187" s="16"/>
      <c r="P187" s="16">
        <f t="shared" si="10"/>
        <v>2000</v>
      </c>
    </row>
    <row r="188" spans="1:16" ht="13.5" customHeight="1">
      <c r="A188" s="78" t="s">
        <v>677</v>
      </c>
      <c r="B188" s="78"/>
      <c r="C188" s="15" t="s">
        <v>1032</v>
      </c>
      <c r="D188" s="140"/>
      <c r="E188" s="140">
        <v>2</v>
      </c>
      <c r="F188" s="16"/>
      <c r="G188" s="85"/>
      <c r="H188" s="16">
        <v>15000</v>
      </c>
      <c r="I188" s="16"/>
      <c r="J188" s="16"/>
      <c r="K188" s="16"/>
      <c r="L188" s="16"/>
      <c r="M188" s="16"/>
      <c r="N188" s="16"/>
      <c r="O188" s="16"/>
      <c r="P188" s="16">
        <f t="shared" si="10"/>
        <v>15000</v>
      </c>
    </row>
    <row r="189" spans="1:16" ht="13.5" customHeight="1">
      <c r="A189" s="78"/>
      <c r="B189" s="78"/>
      <c r="C189" s="598" t="s">
        <v>1301</v>
      </c>
      <c r="D189" s="599"/>
      <c r="E189" s="205">
        <v>2</v>
      </c>
      <c r="F189" s="16"/>
      <c r="G189" s="16"/>
      <c r="H189" s="16">
        <v>1000</v>
      </c>
      <c r="I189" s="16"/>
      <c r="J189" s="16"/>
      <c r="K189" s="16"/>
      <c r="L189" s="16"/>
      <c r="M189" s="16"/>
      <c r="N189" s="16"/>
      <c r="O189" s="16"/>
      <c r="P189" s="16">
        <f t="shared" si="10"/>
        <v>1000</v>
      </c>
    </row>
    <row r="190" spans="1:16" ht="24.75" customHeight="1">
      <c r="A190" s="78"/>
      <c r="B190" s="78"/>
      <c r="C190" s="596" t="s">
        <v>1302</v>
      </c>
      <c r="D190" s="597"/>
      <c r="E190" s="216">
        <v>2</v>
      </c>
      <c r="F190" s="16"/>
      <c r="G190" s="16"/>
      <c r="H190" s="16">
        <v>1500</v>
      </c>
      <c r="I190" s="16"/>
      <c r="J190" s="16"/>
      <c r="K190" s="16"/>
      <c r="L190" s="16"/>
      <c r="M190" s="16"/>
      <c r="N190" s="16"/>
      <c r="O190" s="16"/>
      <c r="P190" s="16">
        <f t="shared" si="10"/>
        <v>1500</v>
      </c>
    </row>
    <row r="191" spans="1:16" ht="13.5" customHeight="1">
      <c r="A191" s="78"/>
      <c r="B191" s="78"/>
      <c r="C191" s="15" t="s">
        <v>1565</v>
      </c>
      <c r="D191" s="79"/>
      <c r="E191" s="79">
        <v>1</v>
      </c>
      <c r="F191" s="16"/>
      <c r="G191" s="85"/>
      <c r="H191" s="13">
        <v>50000</v>
      </c>
      <c r="I191" s="16"/>
      <c r="J191" s="16"/>
      <c r="K191" s="16"/>
      <c r="L191" s="16"/>
      <c r="M191" s="16"/>
      <c r="N191" s="16"/>
      <c r="O191" s="16"/>
      <c r="P191" s="16">
        <f t="shared" si="10"/>
        <v>50000</v>
      </c>
    </row>
    <row r="192" spans="1:16" ht="13.5" customHeight="1">
      <c r="A192" s="78"/>
      <c r="B192" s="78"/>
      <c r="C192" s="15" t="s">
        <v>1305</v>
      </c>
      <c r="D192" s="79"/>
      <c r="E192" s="79">
        <v>1</v>
      </c>
      <c r="F192" s="16"/>
      <c r="G192" s="85"/>
      <c r="H192" s="16">
        <v>100000</v>
      </c>
      <c r="I192" s="16"/>
      <c r="J192" s="16"/>
      <c r="K192" s="16"/>
      <c r="L192" s="16"/>
      <c r="M192" s="16"/>
      <c r="N192" s="16"/>
      <c r="O192" s="16"/>
      <c r="P192" s="16">
        <f t="shared" si="10"/>
        <v>100000</v>
      </c>
    </row>
    <row r="193" spans="1:16" ht="13.5" customHeight="1">
      <c r="A193" s="78"/>
      <c r="B193" s="78"/>
      <c r="C193" s="15" t="s">
        <v>1569</v>
      </c>
      <c r="D193" s="79"/>
      <c r="E193" s="79">
        <v>1</v>
      </c>
      <c r="F193" s="16"/>
      <c r="G193" s="85"/>
      <c r="H193" s="16">
        <v>40000</v>
      </c>
      <c r="I193" s="16"/>
      <c r="J193" s="16"/>
      <c r="K193" s="16"/>
      <c r="L193" s="16"/>
      <c r="M193" s="16"/>
      <c r="N193" s="16"/>
      <c r="O193" s="16"/>
      <c r="P193" s="16">
        <f t="shared" si="10"/>
        <v>40000</v>
      </c>
    </row>
    <row r="194" spans="1:16" ht="13.5" customHeight="1">
      <c r="A194" s="78"/>
      <c r="B194" s="78"/>
      <c r="C194" s="15" t="s">
        <v>1306</v>
      </c>
      <c r="D194" s="79"/>
      <c r="E194" s="79">
        <v>2</v>
      </c>
      <c r="F194" s="16"/>
      <c r="G194" s="85"/>
      <c r="H194" s="16">
        <v>2000</v>
      </c>
      <c r="I194" s="16"/>
      <c r="J194" s="16"/>
      <c r="K194" s="16"/>
      <c r="L194" s="16"/>
      <c r="M194" s="16"/>
      <c r="N194" s="16"/>
      <c r="O194" s="16"/>
      <c r="P194" s="16">
        <f t="shared" si="10"/>
        <v>2000</v>
      </c>
    </row>
    <row r="195" spans="1:16" ht="13.5" customHeight="1">
      <c r="A195" s="78"/>
      <c r="B195" s="78"/>
      <c r="C195" s="15" t="s">
        <v>125</v>
      </c>
      <c r="D195" s="79"/>
      <c r="E195" s="79">
        <v>2</v>
      </c>
      <c r="F195" s="16"/>
      <c r="G195" s="85"/>
      <c r="H195" s="16">
        <v>1500</v>
      </c>
      <c r="I195" s="16"/>
      <c r="J195" s="16"/>
      <c r="K195" s="16"/>
      <c r="L195" s="16"/>
      <c r="M195" s="16"/>
      <c r="N195" s="16"/>
      <c r="O195" s="16"/>
      <c r="P195" s="16">
        <f t="shared" si="10"/>
        <v>1500</v>
      </c>
    </row>
    <row r="196" spans="1:16" ht="12.75" customHeight="1">
      <c r="A196" s="78"/>
      <c r="B196" s="78"/>
      <c r="C196" s="331" t="s">
        <v>1220</v>
      </c>
      <c r="D196" s="79"/>
      <c r="E196" s="79"/>
      <c r="F196" s="16"/>
      <c r="G196" s="85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 customHeight="1">
      <c r="A197" s="78"/>
      <c r="B197" s="78"/>
      <c r="C197" s="15" t="s">
        <v>1573</v>
      </c>
      <c r="D197" s="79"/>
      <c r="E197" s="79">
        <v>1</v>
      </c>
      <c r="F197" s="16"/>
      <c r="G197" s="85"/>
      <c r="H197" s="16">
        <v>9000</v>
      </c>
      <c r="I197" s="16"/>
      <c r="J197" s="16"/>
      <c r="K197" s="16"/>
      <c r="L197" s="16"/>
      <c r="M197" s="16"/>
      <c r="N197" s="16"/>
      <c r="O197" s="16"/>
      <c r="P197" s="16">
        <f>SUM(F197:O197)</f>
        <v>9000</v>
      </c>
    </row>
    <row r="198" spans="1:16" ht="12.75" customHeight="1">
      <c r="A198" s="78"/>
      <c r="B198" s="78"/>
      <c r="C198" s="598" t="s">
        <v>1221</v>
      </c>
      <c r="D198" s="599"/>
      <c r="E198" s="140"/>
      <c r="F198" s="16"/>
      <c r="G198" s="85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3.5" customHeight="1">
      <c r="A199" s="78"/>
      <c r="B199" s="78"/>
      <c r="C199" s="16" t="s">
        <v>1288</v>
      </c>
      <c r="D199" s="16"/>
      <c r="E199" s="16">
        <v>2</v>
      </c>
      <c r="F199" s="16"/>
      <c r="G199" s="85"/>
      <c r="H199" s="16">
        <v>124355</v>
      </c>
      <c r="I199" s="16"/>
      <c r="J199" s="16"/>
      <c r="K199" s="16"/>
      <c r="L199" s="16"/>
      <c r="M199" s="16"/>
      <c r="N199" s="16"/>
      <c r="O199" s="16"/>
      <c r="P199" s="16">
        <f>SUM(F199:O199)</f>
        <v>124355</v>
      </c>
    </row>
    <row r="200" spans="1:16" ht="13.5" customHeight="1">
      <c r="A200" s="78"/>
      <c r="B200" s="78"/>
      <c r="C200" s="15" t="s">
        <v>85</v>
      </c>
      <c r="D200" s="79"/>
      <c r="E200" s="79">
        <v>2</v>
      </c>
      <c r="F200" s="16"/>
      <c r="G200" s="85"/>
      <c r="H200" s="16">
        <v>1334</v>
      </c>
      <c r="I200" s="16"/>
      <c r="J200" s="16"/>
      <c r="K200" s="16"/>
      <c r="L200" s="16"/>
      <c r="M200" s="16"/>
      <c r="N200" s="16"/>
      <c r="O200" s="16"/>
      <c r="P200" s="16">
        <f>SUM(F200:O200)</f>
        <v>1334</v>
      </c>
    </row>
    <row r="201" spans="1:16" ht="13.5" customHeight="1">
      <c r="A201" s="78"/>
      <c r="B201" s="78"/>
      <c r="C201" s="15" t="s">
        <v>1337</v>
      </c>
      <c r="D201" s="79"/>
      <c r="E201" s="79">
        <v>2</v>
      </c>
      <c r="F201" s="16"/>
      <c r="G201" s="85"/>
      <c r="H201" s="16">
        <v>194406</v>
      </c>
      <c r="I201" s="16"/>
      <c r="J201" s="16"/>
      <c r="K201" s="16"/>
      <c r="L201" s="16"/>
      <c r="M201" s="16"/>
      <c r="N201" s="16"/>
      <c r="O201" s="16"/>
      <c r="P201" s="16">
        <f>SUM(F201:O201)</f>
        <v>194406</v>
      </c>
    </row>
    <row r="202" spans="1:16" ht="13.5" customHeight="1">
      <c r="A202" s="78"/>
      <c r="B202" s="78"/>
      <c r="C202" s="15" t="s">
        <v>1568</v>
      </c>
      <c r="D202" s="79"/>
      <c r="E202" s="79">
        <v>2</v>
      </c>
      <c r="F202" s="16"/>
      <c r="G202" s="85"/>
      <c r="H202" s="16">
        <v>5000</v>
      </c>
      <c r="I202" s="16"/>
      <c r="J202" s="16"/>
      <c r="K202" s="16"/>
      <c r="L202" s="16"/>
      <c r="M202" s="16"/>
      <c r="N202" s="16"/>
      <c r="O202" s="16"/>
      <c r="P202" s="16">
        <f>SUM(F202:O202)</f>
        <v>5000</v>
      </c>
    </row>
    <row r="203" spans="1:16" ht="13.5" customHeight="1">
      <c r="A203" s="78"/>
      <c r="B203" s="78"/>
      <c r="C203" s="598" t="s">
        <v>1222</v>
      </c>
      <c r="D203" s="599"/>
      <c r="E203" s="140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1:16" ht="13.5" customHeight="1">
      <c r="A204" s="78"/>
      <c r="B204" s="78"/>
      <c r="C204" s="598" t="s">
        <v>538</v>
      </c>
      <c r="D204" s="599"/>
      <c r="E204" s="140">
        <v>1</v>
      </c>
      <c r="F204" s="16"/>
      <c r="G204" s="16"/>
      <c r="H204" s="16"/>
      <c r="I204" s="13"/>
      <c r="J204" s="16">
        <v>17000</v>
      </c>
      <c r="K204" s="16"/>
      <c r="L204" s="16"/>
      <c r="M204" s="16"/>
      <c r="N204" s="16"/>
      <c r="O204" s="16"/>
      <c r="P204" s="16">
        <f aca="true" t="shared" si="11" ref="P204:P215">SUM(F204:O204)</f>
        <v>17000</v>
      </c>
    </row>
    <row r="205" spans="1:16" ht="13.5" customHeight="1">
      <c r="A205" s="78"/>
      <c r="B205" s="78"/>
      <c r="C205" s="80" t="s">
        <v>510</v>
      </c>
      <c r="D205" s="140"/>
      <c r="E205" s="140">
        <v>1</v>
      </c>
      <c r="F205" s="16"/>
      <c r="G205" s="16"/>
      <c r="H205" s="16">
        <v>500</v>
      </c>
      <c r="I205" s="16"/>
      <c r="J205" s="16"/>
      <c r="K205" s="16"/>
      <c r="L205" s="16"/>
      <c r="M205" s="16"/>
      <c r="N205" s="16"/>
      <c r="O205" s="16"/>
      <c r="P205" s="16">
        <f t="shared" si="11"/>
        <v>500</v>
      </c>
    </row>
    <row r="206" spans="1:16" ht="13.5" customHeight="1">
      <c r="A206" s="78"/>
      <c r="B206" s="78"/>
      <c r="C206" s="80" t="s">
        <v>1707</v>
      </c>
      <c r="D206" s="140"/>
      <c r="E206" s="140">
        <v>1</v>
      </c>
      <c r="F206" s="16"/>
      <c r="G206" s="16"/>
      <c r="H206" s="16">
        <v>2000</v>
      </c>
      <c r="I206" s="16"/>
      <c r="J206" s="16"/>
      <c r="K206" s="16"/>
      <c r="L206" s="16"/>
      <c r="M206" s="16"/>
      <c r="N206" s="16"/>
      <c r="O206" s="16"/>
      <c r="P206" s="16">
        <f t="shared" si="11"/>
        <v>2000</v>
      </c>
    </row>
    <row r="207" spans="1:16" ht="13.5" customHeight="1">
      <c r="A207" s="78"/>
      <c r="B207" s="78"/>
      <c r="C207" s="598" t="s">
        <v>1223</v>
      </c>
      <c r="D207" s="599"/>
      <c r="E207" s="140"/>
      <c r="F207" s="16"/>
      <c r="G207" s="85"/>
      <c r="H207" s="16"/>
      <c r="I207" s="16"/>
      <c r="J207" s="16"/>
      <c r="K207" s="16"/>
      <c r="L207" s="16"/>
      <c r="M207" s="16"/>
      <c r="N207" s="16"/>
      <c r="O207" s="16"/>
      <c r="P207" s="16">
        <f t="shared" si="11"/>
        <v>0</v>
      </c>
    </row>
    <row r="208" spans="1:16" ht="13.5" customHeight="1">
      <c r="A208" s="78"/>
      <c r="B208" s="78"/>
      <c r="C208" s="80" t="s">
        <v>759</v>
      </c>
      <c r="D208" s="79"/>
      <c r="E208" s="79">
        <v>1</v>
      </c>
      <c r="F208" s="16"/>
      <c r="G208" s="85"/>
      <c r="H208" s="13">
        <v>120000</v>
      </c>
      <c r="I208" s="16"/>
      <c r="J208" s="16"/>
      <c r="K208" s="16"/>
      <c r="L208" s="16"/>
      <c r="M208" s="16"/>
      <c r="N208" s="16"/>
      <c r="O208" s="16"/>
      <c r="P208" s="16">
        <f t="shared" si="11"/>
        <v>120000</v>
      </c>
    </row>
    <row r="209" spans="1:16" ht="13.5" customHeight="1">
      <c r="A209" s="78"/>
      <c r="B209" s="78"/>
      <c r="C209" s="80" t="s">
        <v>1423</v>
      </c>
      <c r="D209" s="79"/>
      <c r="E209" s="79">
        <v>2</v>
      </c>
      <c r="F209" s="16"/>
      <c r="G209" s="85"/>
      <c r="H209" s="16">
        <v>6500</v>
      </c>
      <c r="I209" s="16"/>
      <c r="J209" s="16"/>
      <c r="K209" s="16"/>
      <c r="L209" s="16"/>
      <c r="M209" s="16"/>
      <c r="N209" s="16"/>
      <c r="O209" s="16"/>
      <c r="P209" s="16">
        <f t="shared" si="11"/>
        <v>6500</v>
      </c>
    </row>
    <row r="210" spans="1:16" ht="13.5" customHeight="1">
      <c r="A210" s="78"/>
      <c r="B210" s="78"/>
      <c r="C210" s="598" t="s">
        <v>760</v>
      </c>
      <c r="D210" s="599"/>
      <c r="E210" s="140">
        <v>1</v>
      </c>
      <c r="F210" s="16"/>
      <c r="G210" s="85"/>
      <c r="H210" s="16">
        <v>1000</v>
      </c>
      <c r="I210" s="16"/>
      <c r="J210" s="16"/>
      <c r="K210" s="16"/>
      <c r="L210" s="16"/>
      <c r="M210" s="16"/>
      <c r="N210" s="16"/>
      <c r="O210" s="16"/>
      <c r="P210" s="16">
        <f t="shared" si="11"/>
        <v>1000</v>
      </c>
    </row>
    <row r="211" spans="1:16" ht="13.5" customHeight="1">
      <c r="A211" s="78"/>
      <c r="B211" s="78"/>
      <c r="C211" s="80" t="s">
        <v>763</v>
      </c>
      <c r="D211" s="140"/>
      <c r="E211" s="140">
        <v>1</v>
      </c>
      <c r="F211" s="16"/>
      <c r="G211" s="85"/>
      <c r="H211" s="16">
        <v>24000</v>
      </c>
      <c r="I211" s="16"/>
      <c r="J211" s="16"/>
      <c r="K211" s="16"/>
      <c r="L211" s="16"/>
      <c r="M211" s="16"/>
      <c r="N211" s="16"/>
      <c r="O211" s="16"/>
      <c r="P211" s="16">
        <f t="shared" si="11"/>
        <v>24000</v>
      </c>
    </row>
    <row r="212" spans="1:16" ht="13.5" customHeight="1">
      <c r="A212" s="78"/>
      <c r="B212" s="78"/>
      <c r="C212" s="80" t="s">
        <v>764</v>
      </c>
      <c r="D212" s="140"/>
      <c r="E212" s="140">
        <v>1</v>
      </c>
      <c r="F212" s="16"/>
      <c r="G212" s="85"/>
      <c r="H212" s="16">
        <v>1000</v>
      </c>
      <c r="I212" s="16"/>
      <c r="J212" s="16"/>
      <c r="K212" s="16"/>
      <c r="L212" s="16"/>
      <c r="M212" s="16"/>
      <c r="N212" s="16"/>
      <c r="O212" s="16"/>
      <c r="P212" s="16">
        <f t="shared" si="11"/>
        <v>1000</v>
      </c>
    </row>
    <row r="213" spans="1:16" ht="13.5" customHeight="1">
      <c r="A213" s="78"/>
      <c r="B213" s="78"/>
      <c r="C213" s="598" t="s">
        <v>1224</v>
      </c>
      <c r="D213" s="599"/>
      <c r="E213" s="140">
        <v>1</v>
      </c>
      <c r="F213" s="13">
        <v>1500</v>
      </c>
      <c r="G213" s="13">
        <v>400</v>
      </c>
      <c r="H213" s="13">
        <v>4200</v>
      </c>
      <c r="I213" s="13"/>
      <c r="J213" s="13">
        <v>2700</v>
      </c>
      <c r="K213" s="16"/>
      <c r="L213" s="16"/>
      <c r="M213" s="16"/>
      <c r="N213" s="16"/>
      <c r="O213" s="16"/>
      <c r="P213" s="16">
        <f t="shared" si="11"/>
        <v>8800</v>
      </c>
    </row>
    <row r="214" spans="1:16" ht="15" customHeight="1">
      <c r="A214" s="78"/>
      <c r="B214" s="78"/>
      <c r="C214" s="1235" t="s">
        <v>1263</v>
      </c>
      <c r="D214" s="1236"/>
      <c r="E214" s="21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f t="shared" si="11"/>
        <v>0</v>
      </c>
    </row>
    <row r="215" spans="1:16" ht="24.75" customHeight="1">
      <c r="A215" s="78"/>
      <c r="B215" s="78"/>
      <c r="C215" s="1235" t="s">
        <v>49</v>
      </c>
      <c r="D215" s="1236"/>
      <c r="E215" s="212">
        <v>2</v>
      </c>
      <c r="F215" s="16"/>
      <c r="G215" s="16"/>
      <c r="H215" s="16">
        <v>112967</v>
      </c>
      <c r="I215" s="16"/>
      <c r="J215" s="16"/>
      <c r="K215" s="16"/>
      <c r="L215" s="16"/>
      <c r="M215" s="16"/>
      <c r="N215" s="16"/>
      <c r="O215" s="16"/>
      <c r="P215" s="16">
        <f t="shared" si="11"/>
        <v>112967</v>
      </c>
    </row>
    <row r="216" spans="1:16" ht="13.5" customHeight="1">
      <c r="A216" s="78"/>
      <c r="B216" s="78"/>
      <c r="C216" s="598" t="s">
        <v>1225</v>
      </c>
      <c r="D216" s="599"/>
      <c r="E216" s="140"/>
      <c r="F216" s="16"/>
      <c r="G216" s="85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3.5" customHeight="1">
      <c r="A217" s="78"/>
      <c r="B217" s="78"/>
      <c r="C217" s="80" t="s">
        <v>1506</v>
      </c>
      <c r="D217" s="79"/>
      <c r="E217" s="79">
        <v>1</v>
      </c>
      <c r="F217" s="16"/>
      <c r="G217" s="16"/>
      <c r="H217" s="16"/>
      <c r="I217" s="16"/>
      <c r="J217" s="16">
        <v>250</v>
      </c>
      <c r="K217" s="16"/>
      <c r="L217" s="16"/>
      <c r="M217" s="16"/>
      <c r="N217" s="16"/>
      <c r="O217" s="16"/>
      <c r="P217" s="16">
        <f>SUM(F217:O217)</f>
        <v>250</v>
      </c>
    </row>
    <row r="218" spans="1:16" ht="12.75" customHeight="1">
      <c r="A218" s="68"/>
      <c r="B218" s="68"/>
      <c r="C218" s="86" t="s">
        <v>25</v>
      </c>
      <c r="D218" s="72"/>
      <c r="E218" s="72"/>
      <c r="F218" s="76">
        <f aca="true" t="shared" si="12" ref="F218:K218">SUM(F146:F217)</f>
        <v>1500</v>
      </c>
      <c r="G218" s="76">
        <f t="shared" si="12"/>
        <v>400</v>
      </c>
      <c r="H218" s="76">
        <f t="shared" si="12"/>
        <v>1244463</v>
      </c>
      <c r="I218" s="76">
        <f t="shared" si="12"/>
        <v>0</v>
      </c>
      <c r="J218" s="76">
        <f t="shared" si="12"/>
        <v>37950</v>
      </c>
      <c r="K218" s="76">
        <f t="shared" si="12"/>
        <v>0</v>
      </c>
      <c r="L218" s="76"/>
      <c r="M218" s="76">
        <f>SUM(M146:M217)</f>
        <v>0</v>
      </c>
      <c r="N218" s="76"/>
      <c r="O218" s="76">
        <f>SUM(O146:O217)</f>
        <v>0</v>
      </c>
      <c r="P218" s="76">
        <f>SUM(P147:P217)</f>
        <v>1284313</v>
      </c>
    </row>
    <row r="219" spans="1:16" ht="12.75" customHeight="1">
      <c r="A219" s="87"/>
      <c r="B219" s="87"/>
      <c r="C219" s="88" t="s">
        <v>1536</v>
      </c>
      <c r="D219" s="88"/>
      <c r="E219" s="88"/>
      <c r="F219" s="89"/>
      <c r="G219" s="89"/>
      <c r="H219" s="89"/>
      <c r="I219" s="89"/>
      <c r="J219" s="89"/>
      <c r="K219" s="90"/>
      <c r="L219" s="90">
        <v>396156</v>
      </c>
      <c r="M219" s="90">
        <v>1000</v>
      </c>
      <c r="N219" s="89"/>
      <c r="O219" s="89"/>
      <c r="P219" s="90">
        <f>SUM(F219:O219)</f>
        <v>397156</v>
      </c>
    </row>
    <row r="220" spans="1:16" ht="12.75" customHeight="1">
      <c r="A220" s="84"/>
      <c r="B220" s="84"/>
      <c r="C220" s="15" t="s">
        <v>1537</v>
      </c>
      <c r="D220" s="18"/>
      <c r="E220" s="18"/>
      <c r="F220" s="17"/>
      <c r="G220" s="17"/>
      <c r="H220" s="17"/>
      <c r="I220" s="17"/>
      <c r="J220" s="17"/>
      <c r="K220" s="16">
        <v>277632</v>
      </c>
      <c r="L220" s="16"/>
      <c r="M220" s="16">
        <v>355893</v>
      </c>
      <c r="N220" s="16"/>
      <c r="O220" s="16"/>
      <c r="P220" s="90">
        <f>SUM(F220:O220)</f>
        <v>633525</v>
      </c>
    </row>
    <row r="221" spans="1:16" ht="13.5" customHeight="1">
      <c r="A221" s="68"/>
      <c r="B221" s="68"/>
      <c r="C221" s="71" t="s">
        <v>765</v>
      </c>
      <c r="D221" s="72"/>
      <c r="E221" s="72"/>
      <c r="F221" s="76">
        <f aca="true" t="shared" si="13" ref="F221:P221">SUM(F218:F220)</f>
        <v>1500</v>
      </c>
      <c r="G221" s="76">
        <f t="shared" si="13"/>
        <v>400</v>
      </c>
      <c r="H221" s="76">
        <f t="shared" si="13"/>
        <v>1244463</v>
      </c>
      <c r="I221" s="76">
        <f t="shared" si="13"/>
        <v>0</v>
      </c>
      <c r="J221" s="76">
        <f t="shared" si="13"/>
        <v>37950</v>
      </c>
      <c r="K221" s="76">
        <f t="shared" si="13"/>
        <v>277632</v>
      </c>
      <c r="L221" s="76">
        <f t="shared" si="13"/>
        <v>396156</v>
      </c>
      <c r="M221" s="76">
        <f t="shared" si="13"/>
        <v>356893</v>
      </c>
      <c r="N221" s="76"/>
      <c r="O221" s="76">
        <f t="shared" si="13"/>
        <v>0</v>
      </c>
      <c r="P221" s="76">
        <f t="shared" si="13"/>
        <v>2314994</v>
      </c>
    </row>
    <row r="222" spans="1:16" ht="13.5" customHeight="1">
      <c r="A222" s="78">
        <v>1</v>
      </c>
      <c r="B222" s="78">
        <v>16</v>
      </c>
      <c r="C222" s="19" t="s">
        <v>766</v>
      </c>
      <c r="D222" s="79"/>
      <c r="E222" s="79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 customHeight="1">
      <c r="A223" s="78"/>
      <c r="B223" s="78"/>
      <c r="C223" s="15" t="s">
        <v>767</v>
      </c>
      <c r="D223" s="79"/>
      <c r="E223" s="79"/>
      <c r="F223" s="16"/>
      <c r="G223" s="16"/>
      <c r="H223" s="16"/>
      <c r="I223" s="16"/>
      <c r="J223" s="16"/>
      <c r="K223" s="16">
        <v>5680742</v>
      </c>
      <c r="L223" s="16"/>
      <c r="M223" s="16">
        <v>27500</v>
      </c>
      <c r="N223" s="16"/>
      <c r="O223" s="16"/>
      <c r="P223" s="16">
        <f>SUM(F223:O223)</f>
        <v>5708242</v>
      </c>
    </row>
    <row r="224" spans="1:16" ht="12.75" customHeight="1">
      <c r="A224" s="78"/>
      <c r="B224" s="78"/>
      <c r="C224" s="15" t="s">
        <v>768</v>
      </c>
      <c r="D224" s="79"/>
      <c r="E224" s="79"/>
      <c r="F224" s="16"/>
      <c r="G224" s="16"/>
      <c r="H224" s="16"/>
      <c r="I224" s="16"/>
      <c r="J224" s="16"/>
      <c r="K224" s="16"/>
      <c r="L224" s="16">
        <v>17087</v>
      </c>
      <c r="M224" s="16">
        <v>8412</v>
      </c>
      <c r="N224" s="16"/>
      <c r="O224" s="16"/>
      <c r="P224" s="16">
        <f>SUM(F224:O224)</f>
        <v>25499</v>
      </c>
    </row>
    <row r="225" spans="1:16" ht="12.75" customHeight="1">
      <c r="A225" s="68"/>
      <c r="B225" s="68"/>
      <c r="C225" s="71" t="s">
        <v>769</v>
      </c>
      <c r="D225" s="72"/>
      <c r="E225" s="72"/>
      <c r="F225" s="76">
        <f aca="true" t="shared" si="14" ref="F225:P225">SUM(F223:F224)</f>
        <v>0</v>
      </c>
      <c r="G225" s="76">
        <f t="shared" si="14"/>
        <v>0</v>
      </c>
      <c r="H225" s="76">
        <f t="shared" si="14"/>
        <v>0</v>
      </c>
      <c r="I225" s="76">
        <f t="shared" si="14"/>
        <v>0</v>
      </c>
      <c r="J225" s="76">
        <f t="shared" si="14"/>
        <v>0</v>
      </c>
      <c r="K225" s="76">
        <f t="shared" si="14"/>
        <v>5680742</v>
      </c>
      <c r="L225" s="76">
        <f t="shared" si="14"/>
        <v>17087</v>
      </c>
      <c r="M225" s="76">
        <f t="shared" si="14"/>
        <v>35912</v>
      </c>
      <c r="N225" s="76"/>
      <c r="O225" s="76">
        <f t="shared" si="14"/>
        <v>0</v>
      </c>
      <c r="P225" s="76">
        <f t="shared" si="14"/>
        <v>5733741</v>
      </c>
    </row>
    <row r="226" spans="1:16" ht="13.5" customHeight="1">
      <c r="A226" s="78">
        <v>1</v>
      </c>
      <c r="B226" s="78">
        <v>17</v>
      </c>
      <c r="C226" s="19" t="s">
        <v>770</v>
      </c>
      <c r="D226" s="79"/>
      <c r="E226" s="79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3.5" customHeight="1">
      <c r="A227" s="78"/>
      <c r="B227" s="78"/>
      <c r="C227" s="1231" t="s">
        <v>1264</v>
      </c>
      <c r="D227" s="1214"/>
      <c r="E227" s="140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3.5" customHeight="1">
      <c r="A228" s="78"/>
      <c r="B228" s="78"/>
      <c r="C228" s="14" t="s">
        <v>772</v>
      </c>
      <c r="D228" s="65"/>
      <c r="E228" s="65">
        <v>1</v>
      </c>
      <c r="F228" s="13"/>
      <c r="G228" s="13"/>
      <c r="H228" s="13">
        <v>80000</v>
      </c>
      <c r="I228" s="13"/>
      <c r="J228" s="13">
        <v>20000</v>
      </c>
      <c r="K228" s="16"/>
      <c r="L228" s="16"/>
      <c r="M228" s="16"/>
      <c r="N228" s="16"/>
      <c r="O228" s="16"/>
      <c r="P228" s="16">
        <f>SUM(F228:O228)</f>
        <v>100000</v>
      </c>
    </row>
    <row r="229" spans="1:16" ht="13.5" customHeight="1">
      <c r="A229" s="78"/>
      <c r="B229" s="78"/>
      <c r="C229" s="1219" t="s">
        <v>1265</v>
      </c>
      <c r="D229" s="1220"/>
      <c r="E229" s="14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6"/>
    </row>
    <row r="230" spans="1:16" ht="13.5" customHeight="1">
      <c r="A230" s="78"/>
      <c r="B230" s="78"/>
      <c r="C230" s="14" t="s">
        <v>1507</v>
      </c>
      <c r="D230" s="65"/>
      <c r="E230" s="65">
        <v>1</v>
      </c>
      <c r="F230" s="13"/>
      <c r="G230" s="13"/>
      <c r="H230" s="13">
        <v>2000</v>
      </c>
      <c r="I230" s="13"/>
      <c r="J230" s="13"/>
      <c r="K230" s="13"/>
      <c r="L230" s="13"/>
      <c r="M230" s="13"/>
      <c r="N230" s="13"/>
      <c r="O230" s="13"/>
      <c r="P230" s="16">
        <f aca="true" t="shared" si="15" ref="P230:P240">SUM(F230:O230)</f>
        <v>2000</v>
      </c>
    </row>
    <row r="231" spans="1:16" ht="13.5" customHeight="1">
      <c r="A231" s="78"/>
      <c r="B231" s="78"/>
      <c r="C231" s="14" t="s">
        <v>1413</v>
      </c>
      <c r="D231" s="65"/>
      <c r="E231" s="65">
        <v>1</v>
      </c>
      <c r="F231" s="13"/>
      <c r="G231" s="13"/>
      <c r="H231" s="13">
        <v>4000</v>
      </c>
      <c r="I231" s="13"/>
      <c r="J231" s="13"/>
      <c r="K231" s="13"/>
      <c r="L231" s="13"/>
      <c r="M231" s="13"/>
      <c r="N231" s="13"/>
      <c r="O231" s="13"/>
      <c r="P231" s="16">
        <f t="shared" si="15"/>
        <v>4000</v>
      </c>
    </row>
    <row r="232" spans="1:16" ht="13.5" customHeight="1">
      <c r="A232" s="78"/>
      <c r="B232" s="78"/>
      <c r="C232" s="14" t="s">
        <v>771</v>
      </c>
      <c r="D232" s="65"/>
      <c r="E232" s="65">
        <v>1</v>
      </c>
      <c r="F232" s="13"/>
      <c r="G232" s="13"/>
      <c r="H232" s="13">
        <v>2500</v>
      </c>
      <c r="I232" s="13"/>
      <c r="J232" s="13"/>
      <c r="K232" s="13"/>
      <c r="L232" s="13"/>
      <c r="M232" s="13"/>
      <c r="N232" s="13"/>
      <c r="O232" s="13"/>
      <c r="P232" s="16">
        <f t="shared" si="15"/>
        <v>2500</v>
      </c>
    </row>
    <row r="233" spans="1:16" ht="13.5" customHeight="1">
      <c r="A233" s="78"/>
      <c r="B233" s="78"/>
      <c r="C233" s="1280" t="s">
        <v>1366</v>
      </c>
      <c r="D233" s="1281"/>
      <c r="E233" s="144">
        <v>1</v>
      </c>
      <c r="F233" s="13"/>
      <c r="G233" s="13"/>
      <c r="H233" s="13">
        <v>8300</v>
      </c>
      <c r="I233" s="13"/>
      <c r="J233" s="13"/>
      <c r="K233" s="13"/>
      <c r="L233" s="13"/>
      <c r="M233" s="13"/>
      <c r="N233" s="13"/>
      <c r="O233" s="13"/>
      <c r="P233" s="16">
        <f t="shared" si="15"/>
        <v>8300</v>
      </c>
    </row>
    <row r="234" spans="1:16" ht="13.5" customHeight="1">
      <c r="A234" s="78"/>
      <c r="B234" s="78"/>
      <c r="C234" s="1185" t="s">
        <v>1626</v>
      </c>
      <c r="D234" s="622"/>
      <c r="E234" s="211">
        <v>1</v>
      </c>
      <c r="F234" s="13"/>
      <c r="G234" s="13"/>
      <c r="H234" s="13">
        <v>31000</v>
      </c>
      <c r="I234" s="13"/>
      <c r="J234" s="13"/>
      <c r="K234" s="13"/>
      <c r="L234" s="13"/>
      <c r="M234" s="13"/>
      <c r="N234" s="13"/>
      <c r="O234" s="13"/>
      <c r="P234" s="16">
        <f t="shared" si="15"/>
        <v>31000</v>
      </c>
    </row>
    <row r="235" spans="1:16" ht="13.5" customHeight="1">
      <c r="A235" s="78"/>
      <c r="B235" s="78"/>
      <c r="C235" s="1185" t="s">
        <v>127</v>
      </c>
      <c r="D235" s="622"/>
      <c r="E235" s="211">
        <v>1</v>
      </c>
      <c r="F235" s="13"/>
      <c r="G235" s="13"/>
      <c r="H235" s="13">
        <v>1000</v>
      </c>
      <c r="I235" s="13"/>
      <c r="J235" s="13"/>
      <c r="K235" s="13"/>
      <c r="L235" s="13"/>
      <c r="M235" s="13"/>
      <c r="N235" s="13"/>
      <c r="O235" s="13"/>
      <c r="P235" s="16">
        <f t="shared" si="15"/>
        <v>1000</v>
      </c>
    </row>
    <row r="236" spans="1:16" ht="13.5" customHeight="1">
      <c r="A236" s="78"/>
      <c r="B236" s="78"/>
      <c r="C236" s="1185" t="s">
        <v>128</v>
      </c>
      <c r="D236" s="622"/>
      <c r="E236" s="211">
        <v>1</v>
      </c>
      <c r="F236" s="13"/>
      <c r="G236" s="13"/>
      <c r="H236" s="13">
        <v>3000</v>
      </c>
      <c r="I236" s="13"/>
      <c r="J236" s="13"/>
      <c r="K236" s="13"/>
      <c r="L236" s="13"/>
      <c r="M236" s="13"/>
      <c r="N236" s="13"/>
      <c r="O236" s="13"/>
      <c r="P236" s="16">
        <f t="shared" si="15"/>
        <v>3000</v>
      </c>
    </row>
    <row r="237" spans="1:16" ht="15" customHeight="1">
      <c r="A237" s="78"/>
      <c r="B237" s="78"/>
      <c r="C237" s="1185" t="s">
        <v>129</v>
      </c>
      <c r="D237" s="622"/>
      <c r="E237" s="211">
        <v>1</v>
      </c>
      <c r="F237" s="13"/>
      <c r="G237" s="13"/>
      <c r="H237" s="13">
        <v>1000</v>
      </c>
      <c r="I237" s="13"/>
      <c r="J237" s="13"/>
      <c r="K237" s="13"/>
      <c r="L237" s="13"/>
      <c r="M237" s="13"/>
      <c r="N237" s="13"/>
      <c r="O237" s="13"/>
      <c r="P237" s="16">
        <f t="shared" si="15"/>
        <v>1000</v>
      </c>
    </row>
    <row r="238" spans="1:16" ht="13.5" customHeight="1">
      <c r="A238" s="78"/>
      <c r="B238" s="78"/>
      <c r="C238" s="1185" t="s">
        <v>130</v>
      </c>
      <c r="D238" s="622"/>
      <c r="E238" s="211">
        <v>1</v>
      </c>
      <c r="F238" s="13"/>
      <c r="G238" s="13"/>
      <c r="H238" s="13">
        <v>2000</v>
      </c>
      <c r="I238" s="13"/>
      <c r="J238" s="13"/>
      <c r="K238" s="13"/>
      <c r="L238" s="13"/>
      <c r="M238" s="13"/>
      <c r="N238" s="13"/>
      <c r="O238" s="13"/>
      <c r="P238" s="16">
        <f t="shared" si="15"/>
        <v>2000</v>
      </c>
    </row>
    <row r="239" spans="1:16" ht="24.75" customHeight="1">
      <c r="A239" s="78"/>
      <c r="B239" s="78"/>
      <c r="C239" s="1185" t="s">
        <v>131</v>
      </c>
      <c r="D239" s="622"/>
      <c r="E239" s="211">
        <v>1</v>
      </c>
      <c r="F239" s="13"/>
      <c r="G239" s="13"/>
      <c r="H239" s="13">
        <v>2000</v>
      </c>
      <c r="I239" s="13"/>
      <c r="J239" s="13"/>
      <c r="K239" s="13"/>
      <c r="L239" s="13"/>
      <c r="M239" s="13"/>
      <c r="N239" s="13"/>
      <c r="O239" s="13"/>
      <c r="P239" s="16">
        <f t="shared" si="15"/>
        <v>2000</v>
      </c>
    </row>
    <row r="240" spans="1:16" ht="15" customHeight="1">
      <c r="A240" s="78"/>
      <c r="B240" s="78"/>
      <c r="C240" s="1185" t="s">
        <v>142</v>
      </c>
      <c r="D240" s="622"/>
      <c r="E240" s="211">
        <v>1</v>
      </c>
      <c r="F240" s="13"/>
      <c r="G240" s="13"/>
      <c r="H240" s="13">
        <v>2000</v>
      </c>
      <c r="I240" s="13"/>
      <c r="J240" s="13"/>
      <c r="K240" s="13"/>
      <c r="L240" s="13"/>
      <c r="M240" s="13"/>
      <c r="N240" s="13"/>
      <c r="O240" s="13"/>
      <c r="P240" s="16">
        <f t="shared" si="15"/>
        <v>2000</v>
      </c>
    </row>
    <row r="241" spans="1:16" ht="13.5" customHeight="1">
      <c r="A241" s="78"/>
      <c r="B241" s="78"/>
      <c r="C241" s="14" t="s">
        <v>1414</v>
      </c>
      <c r="D241" s="65"/>
      <c r="E241" s="65">
        <v>1</v>
      </c>
      <c r="F241" s="13"/>
      <c r="G241" s="13"/>
      <c r="H241" s="13">
        <v>1000</v>
      </c>
      <c r="I241" s="13"/>
      <c r="J241" s="13"/>
      <c r="K241" s="13"/>
      <c r="L241" s="13"/>
      <c r="M241" s="13"/>
      <c r="N241" s="13"/>
      <c r="O241" s="13"/>
      <c r="P241" s="16">
        <f aca="true" t="shared" si="16" ref="P241:P260">SUM(F241:O241)</f>
        <v>1000</v>
      </c>
    </row>
    <row r="242" spans="1:16" ht="13.5" customHeight="1">
      <c r="A242" s="78"/>
      <c r="B242" s="78"/>
      <c r="C242" s="14" t="s">
        <v>1415</v>
      </c>
      <c r="D242" s="65"/>
      <c r="E242" s="65">
        <v>1</v>
      </c>
      <c r="F242" s="13"/>
      <c r="G242" s="13"/>
      <c r="H242" s="13">
        <v>2500</v>
      </c>
      <c r="I242" s="13"/>
      <c r="J242" s="13"/>
      <c r="K242" s="13"/>
      <c r="L242" s="13"/>
      <c r="M242" s="13"/>
      <c r="N242" s="13"/>
      <c r="O242" s="13"/>
      <c r="P242" s="16">
        <f t="shared" si="16"/>
        <v>2500</v>
      </c>
    </row>
    <row r="243" spans="1:16" ht="13.5" customHeight="1">
      <c r="A243" s="78"/>
      <c r="B243" s="78"/>
      <c r="C243" s="14" t="s">
        <v>95</v>
      </c>
      <c r="D243" s="65"/>
      <c r="E243" s="65">
        <v>1</v>
      </c>
      <c r="F243" s="13"/>
      <c r="G243" s="13"/>
      <c r="H243" s="13">
        <v>1000</v>
      </c>
      <c r="I243" s="13"/>
      <c r="J243" s="13"/>
      <c r="K243" s="13"/>
      <c r="L243" s="13"/>
      <c r="M243" s="13"/>
      <c r="N243" s="13"/>
      <c r="O243" s="13"/>
      <c r="P243" s="16">
        <f t="shared" si="16"/>
        <v>1000</v>
      </c>
    </row>
    <row r="244" spans="1:16" ht="13.5" customHeight="1">
      <c r="A244" s="78"/>
      <c r="B244" s="78"/>
      <c r="C244" s="14" t="s">
        <v>96</v>
      </c>
      <c r="D244" s="65"/>
      <c r="E244" s="65">
        <v>1</v>
      </c>
      <c r="F244" s="13"/>
      <c r="G244" s="13"/>
      <c r="H244" s="13">
        <v>6000</v>
      </c>
      <c r="I244" s="13"/>
      <c r="J244" s="13"/>
      <c r="K244" s="13"/>
      <c r="L244" s="13"/>
      <c r="M244" s="13"/>
      <c r="N244" s="13"/>
      <c r="O244" s="13"/>
      <c r="P244" s="16">
        <f t="shared" si="16"/>
        <v>6000</v>
      </c>
    </row>
    <row r="245" spans="1:16" ht="13.5" customHeight="1">
      <c r="A245" s="78"/>
      <c r="B245" s="78"/>
      <c r="C245" s="14" t="s">
        <v>1416</v>
      </c>
      <c r="D245" s="65"/>
      <c r="E245" s="65">
        <v>1</v>
      </c>
      <c r="F245" s="13"/>
      <c r="G245" s="13"/>
      <c r="H245" s="13">
        <v>1200</v>
      </c>
      <c r="I245" s="13"/>
      <c r="J245" s="13"/>
      <c r="K245" s="13"/>
      <c r="L245" s="13"/>
      <c r="M245" s="13"/>
      <c r="N245" s="13"/>
      <c r="O245" s="13"/>
      <c r="P245" s="16">
        <f t="shared" si="16"/>
        <v>1200</v>
      </c>
    </row>
    <row r="246" spans="1:16" ht="13.5" customHeight="1">
      <c r="A246" s="78"/>
      <c r="B246" s="78"/>
      <c r="C246" s="14" t="s">
        <v>1508</v>
      </c>
      <c r="D246" s="65"/>
      <c r="E246" s="65">
        <v>1</v>
      </c>
      <c r="F246" s="13"/>
      <c r="G246" s="13"/>
      <c r="H246" s="13">
        <v>2000</v>
      </c>
      <c r="I246" s="13"/>
      <c r="J246" s="13"/>
      <c r="K246" s="13"/>
      <c r="L246" s="13"/>
      <c r="M246" s="13"/>
      <c r="N246" s="13"/>
      <c r="O246" s="13"/>
      <c r="P246" s="16">
        <f t="shared" si="16"/>
        <v>2000</v>
      </c>
    </row>
    <row r="247" spans="1:16" ht="13.5" customHeight="1">
      <c r="A247" s="78"/>
      <c r="B247" s="78"/>
      <c r="C247" s="14" t="s">
        <v>98</v>
      </c>
      <c r="D247" s="65"/>
      <c r="E247" s="65">
        <v>1</v>
      </c>
      <c r="F247" s="13"/>
      <c r="G247" s="13"/>
      <c r="H247" s="13">
        <v>1000</v>
      </c>
      <c r="I247" s="13"/>
      <c r="J247" s="13"/>
      <c r="K247" s="13"/>
      <c r="L247" s="13"/>
      <c r="M247" s="13"/>
      <c r="N247" s="13"/>
      <c r="O247" s="13"/>
      <c r="P247" s="16">
        <f t="shared" si="16"/>
        <v>1000</v>
      </c>
    </row>
    <row r="248" spans="1:16" ht="13.5" customHeight="1">
      <c r="A248" s="78"/>
      <c r="B248" s="78"/>
      <c r="C248" s="14" t="s">
        <v>99</v>
      </c>
      <c r="D248" s="65"/>
      <c r="E248" s="65">
        <v>1</v>
      </c>
      <c r="F248" s="13"/>
      <c r="G248" s="13"/>
      <c r="H248" s="13">
        <v>2500</v>
      </c>
      <c r="I248" s="13"/>
      <c r="J248" s="13"/>
      <c r="K248" s="13"/>
      <c r="L248" s="13"/>
      <c r="M248" s="13"/>
      <c r="N248" s="13"/>
      <c r="O248" s="13"/>
      <c r="P248" s="16">
        <f t="shared" si="16"/>
        <v>2500</v>
      </c>
    </row>
    <row r="249" spans="1:16" ht="13.5" customHeight="1">
      <c r="A249" s="78"/>
      <c r="B249" s="78"/>
      <c r="C249" s="14" t="s">
        <v>1353</v>
      </c>
      <c r="D249" s="65"/>
      <c r="E249" s="65">
        <v>2</v>
      </c>
      <c r="F249" s="13"/>
      <c r="G249" s="13"/>
      <c r="H249" s="13">
        <v>1250</v>
      </c>
      <c r="I249" s="13"/>
      <c r="J249" s="13"/>
      <c r="K249" s="13"/>
      <c r="L249" s="13"/>
      <c r="M249" s="13"/>
      <c r="N249" s="13"/>
      <c r="O249" s="13"/>
      <c r="P249" s="16">
        <f t="shared" si="16"/>
        <v>1250</v>
      </c>
    </row>
    <row r="250" spans="1:16" ht="24.75" customHeight="1">
      <c r="A250" s="78"/>
      <c r="B250" s="78"/>
      <c r="C250" s="1235" t="s">
        <v>97</v>
      </c>
      <c r="D250" s="1236"/>
      <c r="E250" s="212">
        <v>1</v>
      </c>
      <c r="F250" s="13"/>
      <c r="G250" s="13"/>
      <c r="H250" s="13">
        <v>1000</v>
      </c>
      <c r="I250" s="13"/>
      <c r="J250" s="13"/>
      <c r="K250" s="13"/>
      <c r="L250" s="13"/>
      <c r="M250" s="13"/>
      <c r="N250" s="13"/>
      <c r="O250" s="13"/>
      <c r="P250" s="16">
        <f t="shared" si="16"/>
        <v>1000</v>
      </c>
    </row>
    <row r="251" spans="1:16" ht="13.5" customHeight="1">
      <c r="A251" s="78"/>
      <c r="B251" s="78"/>
      <c r="C251" s="14" t="s">
        <v>698</v>
      </c>
      <c r="D251" s="65"/>
      <c r="E251" s="65">
        <v>1</v>
      </c>
      <c r="F251" s="13"/>
      <c r="G251" s="13"/>
      <c r="H251" s="13">
        <v>8000</v>
      </c>
      <c r="I251" s="134"/>
      <c r="J251" s="134"/>
      <c r="K251" s="13"/>
      <c r="L251" s="13"/>
      <c r="M251" s="13"/>
      <c r="N251" s="13"/>
      <c r="O251" s="13"/>
      <c r="P251" s="16">
        <f t="shared" si="16"/>
        <v>8000</v>
      </c>
    </row>
    <row r="252" spans="1:16" ht="13.5" customHeight="1">
      <c r="A252" s="78"/>
      <c r="B252" s="78"/>
      <c r="C252" s="14" t="s">
        <v>126</v>
      </c>
      <c r="D252" s="65"/>
      <c r="E252" s="65">
        <v>1</v>
      </c>
      <c r="F252" s="13"/>
      <c r="G252" s="13"/>
      <c r="H252" s="13">
        <v>500</v>
      </c>
      <c r="I252" s="134"/>
      <c r="J252" s="134"/>
      <c r="K252" s="13"/>
      <c r="L252" s="13"/>
      <c r="M252" s="13"/>
      <c r="N252" s="13"/>
      <c r="O252" s="13"/>
      <c r="P252" s="16">
        <f t="shared" si="16"/>
        <v>500</v>
      </c>
    </row>
    <row r="253" spans="1:16" ht="24.75" customHeight="1">
      <c r="A253" s="78"/>
      <c r="B253" s="78"/>
      <c r="C253" s="1235" t="s">
        <v>1270</v>
      </c>
      <c r="D253" s="1236"/>
      <c r="E253" s="212">
        <v>2</v>
      </c>
      <c r="F253" s="13"/>
      <c r="G253" s="13"/>
      <c r="H253" s="13">
        <v>1000</v>
      </c>
      <c r="I253" s="134"/>
      <c r="J253" s="134"/>
      <c r="K253" s="13"/>
      <c r="L253" s="13"/>
      <c r="M253" s="13"/>
      <c r="N253" s="13"/>
      <c r="O253" s="13"/>
      <c r="P253" s="16">
        <f t="shared" si="16"/>
        <v>1000</v>
      </c>
    </row>
    <row r="254" spans="1:16" ht="13.5" customHeight="1">
      <c r="A254" s="78"/>
      <c r="B254" s="78"/>
      <c r="C254" s="14" t="s">
        <v>143</v>
      </c>
      <c r="D254" s="65"/>
      <c r="E254" s="65">
        <v>1</v>
      </c>
      <c r="F254" s="13"/>
      <c r="G254" s="13"/>
      <c r="H254" s="13">
        <v>1425</v>
      </c>
      <c r="I254" s="134"/>
      <c r="J254" s="134"/>
      <c r="K254" s="13"/>
      <c r="L254" s="13"/>
      <c r="M254" s="13"/>
      <c r="N254" s="13"/>
      <c r="O254" s="13"/>
      <c r="P254" s="16">
        <f t="shared" si="16"/>
        <v>1425</v>
      </c>
    </row>
    <row r="255" spans="1:16" ht="13.5" customHeight="1">
      <c r="A255" s="78"/>
      <c r="B255" s="78"/>
      <c r="C255" s="14" t="s">
        <v>625</v>
      </c>
      <c r="D255" s="65"/>
      <c r="E255" s="65">
        <v>1</v>
      </c>
      <c r="F255" s="13"/>
      <c r="G255" s="13"/>
      <c r="H255" s="13">
        <v>3000</v>
      </c>
      <c r="I255" s="134"/>
      <c r="J255" s="134"/>
      <c r="K255" s="13"/>
      <c r="L255" s="13"/>
      <c r="M255" s="13"/>
      <c r="N255" s="13"/>
      <c r="O255" s="13"/>
      <c r="P255" s="16">
        <f t="shared" si="16"/>
        <v>3000</v>
      </c>
    </row>
    <row r="256" spans="1:16" ht="13.5" customHeight="1">
      <c r="A256" s="78"/>
      <c r="B256" s="78"/>
      <c r="C256" s="1280" t="s">
        <v>1226</v>
      </c>
      <c r="D256" s="1287"/>
      <c r="E256" s="65"/>
      <c r="F256" s="13"/>
      <c r="G256" s="13"/>
      <c r="H256" s="13"/>
      <c r="I256" s="134"/>
      <c r="J256" s="134"/>
      <c r="K256" s="13"/>
      <c r="L256" s="13"/>
      <c r="M256" s="13"/>
      <c r="N256" s="13"/>
      <c r="O256" s="13"/>
      <c r="P256" s="16"/>
    </row>
    <row r="257" spans="1:16" ht="13.5" customHeight="1">
      <c r="A257" s="78"/>
      <c r="B257" s="78"/>
      <c r="C257" s="14" t="s">
        <v>185</v>
      </c>
      <c r="D257" s="65"/>
      <c r="E257" s="65">
        <v>2</v>
      </c>
      <c r="F257" s="13"/>
      <c r="G257" s="13"/>
      <c r="H257" s="13"/>
      <c r="I257" s="134"/>
      <c r="J257" s="13">
        <v>400</v>
      </c>
      <c r="K257" s="13"/>
      <c r="L257" s="13"/>
      <c r="M257" s="13"/>
      <c r="N257" s="13"/>
      <c r="O257" s="13"/>
      <c r="P257" s="16">
        <f t="shared" si="16"/>
        <v>400</v>
      </c>
    </row>
    <row r="258" spans="1:16" ht="13.5" customHeight="1">
      <c r="A258" s="68"/>
      <c r="B258" s="68"/>
      <c r="C258" s="71" t="s">
        <v>1579</v>
      </c>
      <c r="D258" s="72"/>
      <c r="E258" s="72"/>
      <c r="F258" s="76">
        <f>SUM(F227:F257)</f>
        <v>0</v>
      </c>
      <c r="G258" s="76">
        <f aca="true" t="shared" si="17" ref="G258:P258">SUM(G227:G257)</f>
        <v>0</v>
      </c>
      <c r="H258" s="76">
        <f t="shared" si="17"/>
        <v>172175</v>
      </c>
      <c r="I258" s="76">
        <f t="shared" si="17"/>
        <v>0</v>
      </c>
      <c r="J258" s="76">
        <f t="shared" si="17"/>
        <v>20400</v>
      </c>
      <c r="K258" s="76">
        <f t="shared" si="17"/>
        <v>0</v>
      </c>
      <c r="L258" s="76">
        <f t="shared" si="17"/>
        <v>0</v>
      </c>
      <c r="M258" s="76">
        <f t="shared" si="17"/>
        <v>0</v>
      </c>
      <c r="N258" s="76"/>
      <c r="O258" s="76">
        <f t="shared" si="17"/>
        <v>0</v>
      </c>
      <c r="P258" s="76">
        <f t="shared" si="17"/>
        <v>192575</v>
      </c>
    </row>
    <row r="259" spans="1:16" ht="13.5" customHeight="1">
      <c r="A259" s="87"/>
      <c r="B259" s="87"/>
      <c r="C259" s="91" t="s">
        <v>1545</v>
      </c>
      <c r="D259" s="92"/>
      <c r="E259" s="92"/>
      <c r="F259" s="89"/>
      <c r="G259" s="89"/>
      <c r="H259" s="89"/>
      <c r="I259" s="89"/>
      <c r="J259" s="89"/>
      <c r="K259" s="90"/>
      <c r="L259" s="90">
        <v>31564</v>
      </c>
      <c r="M259" s="90">
        <v>11131</v>
      </c>
      <c r="N259" s="90"/>
      <c r="O259" s="89"/>
      <c r="P259" s="90">
        <f t="shared" si="16"/>
        <v>42695</v>
      </c>
    </row>
    <row r="260" spans="1:16" ht="13.5" customHeight="1">
      <c r="A260" s="93"/>
      <c r="B260" s="93"/>
      <c r="C260" s="91" t="s">
        <v>1546</v>
      </c>
      <c r="D260" s="94"/>
      <c r="E260" s="94"/>
      <c r="F260" s="90"/>
      <c r="G260" s="89"/>
      <c r="H260" s="89"/>
      <c r="I260" s="89"/>
      <c r="J260" s="89"/>
      <c r="K260" s="90">
        <v>448983</v>
      </c>
      <c r="L260" s="90"/>
      <c r="M260" s="90">
        <v>300</v>
      </c>
      <c r="N260" s="90"/>
      <c r="O260" s="89"/>
      <c r="P260" s="90">
        <f t="shared" si="16"/>
        <v>449283</v>
      </c>
    </row>
    <row r="261" spans="1:16" ht="13.5" customHeight="1">
      <c r="A261" s="68"/>
      <c r="B261" s="68"/>
      <c r="C261" s="71" t="s">
        <v>282</v>
      </c>
      <c r="D261" s="72"/>
      <c r="E261" s="72"/>
      <c r="F261" s="76">
        <f aca="true" t="shared" si="18" ref="F261:O261">SUM(F258:F260)</f>
        <v>0</v>
      </c>
      <c r="G261" s="76">
        <f t="shared" si="18"/>
        <v>0</v>
      </c>
      <c r="H261" s="76">
        <f t="shared" si="18"/>
        <v>172175</v>
      </c>
      <c r="I261" s="76">
        <f t="shared" si="18"/>
        <v>0</v>
      </c>
      <c r="J261" s="76">
        <f t="shared" si="18"/>
        <v>20400</v>
      </c>
      <c r="K261" s="76">
        <f t="shared" si="18"/>
        <v>448983</v>
      </c>
      <c r="L261" s="76">
        <f t="shared" si="18"/>
        <v>31564</v>
      </c>
      <c r="M261" s="76">
        <f t="shared" si="18"/>
        <v>11431</v>
      </c>
      <c r="N261" s="76"/>
      <c r="O261" s="76">
        <f t="shared" si="18"/>
        <v>0</v>
      </c>
      <c r="P261" s="76">
        <f>SUM(P258:P260)</f>
        <v>684553</v>
      </c>
    </row>
    <row r="262" spans="1:16" ht="13.5" customHeight="1">
      <c r="A262" s="78">
        <v>1</v>
      </c>
      <c r="B262" s="78">
        <v>18</v>
      </c>
      <c r="C262" s="19" t="s">
        <v>1580</v>
      </c>
      <c r="D262" s="18"/>
      <c r="E262" s="1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1:16" ht="13.5" customHeight="1">
      <c r="A263" s="78"/>
      <c r="B263" s="78"/>
      <c r="C263" s="1231" t="s">
        <v>1265</v>
      </c>
      <c r="D263" s="1214"/>
      <c r="E263" s="14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3.5" customHeight="1">
      <c r="A264" s="78"/>
      <c r="B264" s="78"/>
      <c r="C264" s="15" t="s">
        <v>967</v>
      </c>
      <c r="D264" s="79"/>
      <c r="E264" s="65">
        <v>2</v>
      </c>
      <c r="F264" s="16"/>
      <c r="G264" s="16"/>
      <c r="H264" s="13">
        <v>8000</v>
      </c>
      <c r="I264" s="16"/>
      <c r="J264" s="16"/>
      <c r="K264" s="16"/>
      <c r="L264" s="16"/>
      <c r="M264" s="16"/>
      <c r="N264" s="16"/>
      <c r="O264" s="16"/>
      <c r="P264" s="16">
        <f>SUM(F264:O264)</f>
        <v>8000</v>
      </c>
    </row>
    <row r="265" spans="1:16" ht="15" customHeight="1">
      <c r="A265" s="78"/>
      <c r="B265" s="78"/>
      <c r="C265" s="1217" t="s">
        <v>162</v>
      </c>
      <c r="D265" s="1218"/>
      <c r="E265" s="21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1:16" ht="24.75" customHeight="1">
      <c r="A266" s="78"/>
      <c r="B266" s="78"/>
      <c r="C266" s="1215" t="s">
        <v>1582</v>
      </c>
      <c r="D266" s="1216"/>
      <c r="E266" s="140">
        <v>1</v>
      </c>
      <c r="F266" s="16"/>
      <c r="G266" s="16"/>
      <c r="H266" s="16">
        <v>5000</v>
      </c>
      <c r="I266" s="16"/>
      <c r="J266" s="16"/>
      <c r="K266" s="16"/>
      <c r="L266" s="16"/>
      <c r="M266" s="16"/>
      <c r="N266" s="16"/>
      <c r="O266" s="16"/>
      <c r="P266" s="16">
        <f>SUM(F266:O266)</f>
        <v>5000</v>
      </c>
    </row>
    <row r="267" spans="1:16" ht="24.75" customHeight="1">
      <c r="A267" s="78"/>
      <c r="B267" s="78"/>
      <c r="C267" s="596" t="s">
        <v>1399</v>
      </c>
      <c r="D267" s="597"/>
      <c r="E267" s="140">
        <v>1</v>
      </c>
      <c r="F267" s="16"/>
      <c r="G267" s="16"/>
      <c r="H267" s="16">
        <v>17000</v>
      </c>
      <c r="I267" s="16"/>
      <c r="J267" s="16"/>
      <c r="K267" s="16"/>
      <c r="L267" s="16"/>
      <c r="M267" s="16"/>
      <c r="N267" s="16"/>
      <c r="O267" s="16"/>
      <c r="P267" s="16">
        <f>SUM(F267:O267)</f>
        <v>17000</v>
      </c>
    </row>
    <row r="268" spans="1:16" ht="15" customHeight="1">
      <c r="A268" s="78"/>
      <c r="B268" s="78"/>
      <c r="C268" s="1215" t="s">
        <v>1227</v>
      </c>
      <c r="D268" s="1216"/>
      <c r="E268" s="14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5" customHeight="1">
      <c r="A269" s="78"/>
      <c r="B269" s="78"/>
      <c r="C269" s="1215" t="s">
        <v>710</v>
      </c>
      <c r="D269" s="1216"/>
      <c r="E269" s="140">
        <v>1</v>
      </c>
      <c r="F269" s="16"/>
      <c r="G269" s="16"/>
      <c r="H269" s="16">
        <v>200</v>
      </c>
      <c r="I269" s="16"/>
      <c r="J269" s="16"/>
      <c r="K269" s="16"/>
      <c r="L269" s="16"/>
      <c r="M269" s="16"/>
      <c r="N269" s="16"/>
      <c r="O269" s="16"/>
      <c r="P269" s="16">
        <f>SUM(F269:O269)</f>
        <v>200</v>
      </c>
    </row>
    <row r="270" spans="1:16" ht="13.5" customHeight="1">
      <c r="A270" s="95"/>
      <c r="B270" s="95"/>
      <c r="C270" s="16" t="s">
        <v>699</v>
      </c>
      <c r="D270" s="16"/>
      <c r="E270" s="16">
        <v>1</v>
      </c>
      <c r="F270" s="95"/>
      <c r="G270" s="95"/>
      <c r="H270" s="96">
        <v>150</v>
      </c>
      <c r="I270" s="97"/>
      <c r="J270" s="97"/>
      <c r="K270" s="95"/>
      <c r="L270" s="95"/>
      <c r="M270" s="95"/>
      <c r="N270" s="95"/>
      <c r="O270" s="95"/>
      <c r="P270" s="16">
        <f>SUM(F270:O270)</f>
        <v>150</v>
      </c>
    </row>
    <row r="271" spans="1:16" ht="15" customHeight="1">
      <c r="A271" s="76"/>
      <c r="B271" s="76"/>
      <c r="C271" s="71" t="s">
        <v>718</v>
      </c>
      <c r="D271" s="72"/>
      <c r="E271" s="72"/>
      <c r="F271" s="76"/>
      <c r="G271" s="76"/>
      <c r="H271" s="76">
        <f>SUM(H262:H270)</f>
        <v>30350</v>
      </c>
      <c r="I271" s="76">
        <f aca="true" t="shared" si="19" ref="I271:P271">SUM(I262:I270)</f>
        <v>0</v>
      </c>
      <c r="J271" s="76">
        <f t="shared" si="19"/>
        <v>0</v>
      </c>
      <c r="K271" s="76">
        <f t="shared" si="19"/>
        <v>0</v>
      </c>
      <c r="L271" s="76">
        <f t="shared" si="19"/>
        <v>0</v>
      </c>
      <c r="M271" s="76">
        <f t="shared" si="19"/>
        <v>0</v>
      </c>
      <c r="N271" s="76"/>
      <c r="O271" s="76">
        <f t="shared" si="19"/>
        <v>0</v>
      </c>
      <c r="P271" s="76">
        <f t="shared" si="19"/>
        <v>30350</v>
      </c>
    </row>
    <row r="272" spans="1:16" ht="15" customHeight="1">
      <c r="A272" s="70"/>
      <c r="B272" s="70"/>
      <c r="C272" s="91" t="s">
        <v>1546</v>
      </c>
      <c r="D272" s="74"/>
      <c r="E272" s="74"/>
      <c r="F272" s="70"/>
      <c r="G272" s="70"/>
      <c r="H272" s="70"/>
      <c r="I272" s="70"/>
      <c r="J272" s="70"/>
      <c r="K272" s="70">
        <v>500</v>
      </c>
      <c r="L272" s="70"/>
      <c r="M272" s="13"/>
      <c r="N272" s="13"/>
      <c r="O272" s="70"/>
      <c r="P272" s="70">
        <f>SUM(F272:O272)</f>
        <v>500</v>
      </c>
    </row>
    <row r="273" spans="1:16" ht="15" customHeight="1">
      <c r="A273" s="76"/>
      <c r="B273" s="76"/>
      <c r="C273" s="71" t="s">
        <v>718</v>
      </c>
      <c r="D273" s="72"/>
      <c r="E273" s="72"/>
      <c r="F273" s="76">
        <f aca="true" t="shared" si="20" ref="F273:P273">SUM(F271:F272)</f>
        <v>0</v>
      </c>
      <c r="G273" s="76">
        <f t="shared" si="20"/>
        <v>0</v>
      </c>
      <c r="H273" s="76">
        <f t="shared" si="20"/>
        <v>30350</v>
      </c>
      <c r="I273" s="76">
        <f t="shared" si="20"/>
        <v>0</v>
      </c>
      <c r="J273" s="76">
        <f t="shared" si="20"/>
        <v>0</v>
      </c>
      <c r="K273" s="76">
        <f t="shared" si="20"/>
        <v>500</v>
      </c>
      <c r="L273" s="76"/>
      <c r="M273" s="76">
        <f t="shared" si="20"/>
        <v>0</v>
      </c>
      <c r="N273" s="76"/>
      <c r="O273" s="76">
        <f t="shared" si="20"/>
        <v>0</v>
      </c>
      <c r="P273" s="76">
        <f t="shared" si="20"/>
        <v>30850</v>
      </c>
    </row>
    <row r="274" spans="1:16" ht="15" customHeight="1">
      <c r="A274" s="78">
        <v>1</v>
      </c>
      <c r="B274" s="78">
        <v>19</v>
      </c>
      <c r="C274" s="19" t="s">
        <v>719</v>
      </c>
      <c r="D274" s="79"/>
      <c r="E274" s="79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5" customHeight="1">
      <c r="A275" s="78"/>
      <c r="B275" s="78"/>
      <c r="C275" s="598" t="s">
        <v>1228</v>
      </c>
      <c r="D275" s="599"/>
      <c r="E275" s="140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1:16" ht="15" customHeight="1">
      <c r="A276" s="78"/>
      <c r="B276" s="78"/>
      <c r="C276" s="1231" t="s">
        <v>144</v>
      </c>
      <c r="D276" s="1214"/>
      <c r="E276" s="140">
        <v>1</v>
      </c>
      <c r="F276" s="16"/>
      <c r="G276" s="16"/>
      <c r="H276" s="16">
        <v>10000</v>
      </c>
      <c r="I276" s="16"/>
      <c r="J276" s="16"/>
      <c r="K276" s="16"/>
      <c r="L276" s="16"/>
      <c r="M276" s="16"/>
      <c r="N276" s="16"/>
      <c r="O276" s="16"/>
      <c r="P276" s="16">
        <f>SUM(F276:O276)</f>
        <v>10000</v>
      </c>
    </row>
    <row r="277" spans="1:16" ht="15" customHeight="1">
      <c r="A277" s="78"/>
      <c r="B277" s="78"/>
      <c r="C277" s="1217" t="s">
        <v>162</v>
      </c>
      <c r="D277" s="1218"/>
      <c r="E277" s="210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1:16" ht="15" customHeight="1">
      <c r="A278" s="78"/>
      <c r="B278" s="78"/>
      <c r="C278" s="1231" t="s">
        <v>720</v>
      </c>
      <c r="D278" s="1214"/>
      <c r="E278" s="140">
        <v>1</v>
      </c>
      <c r="F278" s="16"/>
      <c r="G278" s="16"/>
      <c r="H278" s="16">
        <v>20000</v>
      </c>
      <c r="I278" s="16"/>
      <c r="J278" s="16"/>
      <c r="K278" s="16"/>
      <c r="L278" s="16"/>
      <c r="M278" s="16"/>
      <c r="N278" s="16"/>
      <c r="O278" s="16"/>
      <c r="P278" s="16">
        <f>SUM(F278:O278)</f>
        <v>20000</v>
      </c>
    </row>
    <row r="279" spans="1:16" ht="15" customHeight="1">
      <c r="A279" s="78"/>
      <c r="B279" s="78"/>
      <c r="C279" s="15" t="s">
        <v>721</v>
      </c>
      <c r="D279" s="79"/>
      <c r="E279" s="79">
        <v>1</v>
      </c>
      <c r="F279" s="16"/>
      <c r="G279" s="16"/>
      <c r="H279" s="13">
        <v>191784</v>
      </c>
      <c r="I279" s="13"/>
      <c r="J279" s="13"/>
      <c r="K279" s="16"/>
      <c r="L279" s="16"/>
      <c r="M279" s="16"/>
      <c r="N279" s="16"/>
      <c r="O279" s="16"/>
      <c r="P279" s="16">
        <f>SUM(F279:O279)</f>
        <v>191784</v>
      </c>
    </row>
    <row r="280" spans="1:16" ht="15" customHeight="1">
      <c r="A280" s="78"/>
      <c r="B280" s="78"/>
      <c r="C280" s="15" t="s">
        <v>723</v>
      </c>
      <c r="D280" s="79"/>
      <c r="E280" s="79">
        <v>1</v>
      </c>
      <c r="F280" s="16"/>
      <c r="G280" s="16"/>
      <c r="H280" s="13">
        <v>2900</v>
      </c>
      <c r="I280" s="16"/>
      <c r="J280" s="16"/>
      <c r="K280" s="16"/>
      <c r="L280" s="16"/>
      <c r="M280" s="16"/>
      <c r="N280" s="16"/>
      <c r="O280" s="16"/>
      <c r="P280" s="16">
        <f>SUM(F280:O280)</f>
        <v>2900</v>
      </c>
    </row>
    <row r="281" spans="1:16" ht="15" customHeight="1">
      <c r="A281" s="78"/>
      <c r="B281" s="78"/>
      <c r="C281" s="1233" t="s">
        <v>1398</v>
      </c>
      <c r="D281" s="1234"/>
      <c r="E281" s="79">
        <v>1</v>
      </c>
      <c r="F281" s="16"/>
      <c r="G281" s="16"/>
      <c r="H281" s="13">
        <v>2134</v>
      </c>
      <c r="I281" s="16"/>
      <c r="J281" s="16"/>
      <c r="K281" s="16"/>
      <c r="L281" s="16"/>
      <c r="M281" s="16"/>
      <c r="N281" s="16"/>
      <c r="O281" s="16"/>
      <c r="P281" s="16">
        <f>SUM(F281:O281)</f>
        <v>2134</v>
      </c>
    </row>
    <row r="282" spans="1:16" ht="15" customHeight="1">
      <c r="A282" s="78"/>
      <c r="B282" s="78"/>
      <c r="C282" s="15" t="s">
        <v>1213</v>
      </c>
      <c r="D282" s="79"/>
      <c r="E282" s="79">
        <v>1</v>
      </c>
      <c r="F282" s="16"/>
      <c r="G282" s="16"/>
      <c r="H282" s="13">
        <v>20000</v>
      </c>
      <c r="I282" s="16"/>
      <c r="J282" s="16"/>
      <c r="K282" s="16"/>
      <c r="L282" s="16"/>
      <c r="M282" s="16"/>
      <c r="N282" s="16"/>
      <c r="O282" s="16"/>
      <c r="P282" s="16">
        <f>SUM(F282:O282)</f>
        <v>20000</v>
      </c>
    </row>
    <row r="283" spans="1:16" ht="15" customHeight="1">
      <c r="A283" s="78"/>
      <c r="B283" s="78"/>
      <c r="C283" s="15" t="s">
        <v>1265</v>
      </c>
      <c r="D283" s="79"/>
      <c r="E283" s="79"/>
      <c r="F283" s="16"/>
      <c r="G283" s="16"/>
      <c r="H283" s="13"/>
      <c r="I283" s="16"/>
      <c r="J283" s="16"/>
      <c r="K283" s="16"/>
      <c r="L283" s="16"/>
      <c r="M283" s="16"/>
      <c r="N283" s="16"/>
      <c r="O283" s="16"/>
      <c r="P283" s="16"/>
    </row>
    <row r="284" spans="1:16" ht="15" customHeight="1">
      <c r="A284" s="78"/>
      <c r="B284" s="78"/>
      <c r="C284" s="15" t="s">
        <v>722</v>
      </c>
      <c r="D284" s="79"/>
      <c r="E284" s="79">
        <v>1</v>
      </c>
      <c r="F284" s="16"/>
      <c r="G284" s="16"/>
      <c r="H284" s="13">
        <v>5000</v>
      </c>
      <c r="I284" s="16"/>
      <c r="J284" s="16"/>
      <c r="K284" s="16"/>
      <c r="L284" s="16"/>
      <c r="M284" s="16"/>
      <c r="N284" s="16"/>
      <c r="O284" s="16"/>
      <c r="P284" s="16">
        <f>SUM(F284:O284)</f>
        <v>5000</v>
      </c>
    </row>
    <row r="285" spans="1:16" ht="15" customHeight="1">
      <c r="A285" s="78"/>
      <c r="B285" s="78"/>
      <c r="C285" s="594" t="s">
        <v>1229</v>
      </c>
      <c r="D285" s="595"/>
      <c r="E285" s="21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1:16" ht="13.5" customHeight="1">
      <c r="A286" s="78"/>
      <c r="B286" s="78"/>
      <c r="C286" s="14" t="s">
        <v>46</v>
      </c>
      <c r="D286" s="65"/>
      <c r="E286" s="65"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>
        <f>SUM(F286:O286)</f>
        <v>0</v>
      </c>
    </row>
    <row r="287" spans="1:16" ht="13.5" customHeight="1">
      <c r="A287" s="78"/>
      <c r="B287" s="78"/>
      <c r="C287" s="91" t="s">
        <v>1231</v>
      </c>
      <c r="D287" s="79"/>
      <c r="E287" s="79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>
        <f>SUM(F287:O287)</f>
        <v>0</v>
      </c>
    </row>
    <row r="288" spans="1:16" ht="13.5" customHeight="1">
      <c r="A288" s="78"/>
      <c r="B288" s="78"/>
      <c r="C288" s="15" t="s">
        <v>27</v>
      </c>
      <c r="D288" s="79"/>
      <c r="E288" s="79">
        <v>2</v>
      </c>
      <c r="F288" s="16"/>
      <c r="G288" s="16"/>
      <c r="H288" s="16"/>
      <c r="I288" s="16"/>
      <c r="J288" s="16">
        <v>4000</v>
      </c>
      <c r="K288" s="16"/>
      <c r="L288" s="16"/>
      <c r="M288" s="16"/>
      <c r="N288" s="16"/>
      <c r="O288" s="16"/>
      <c r="P288" s="16">
        <f>SUM(F288:O288)</f>
        <v>4000</v>
      </c>
    </row>
    <row r="289" spans="1:16" ht="13.5" customHeight="1">
      <c r="A289" s="78"/>
      <c r="B289" s="78"/>
      <c r="C289" s="15" t="s">
        <v>1232</v>
      </c>
      <c r="D289" s="79"/>
      <c r="E289" s="79"/>
      <c r="F289" s="13"/>
      <c r="G289" s="13"/>
      <c r="H289" s="13"/>
      <c r="I289" s="13"/>
      <c r="J289" s="13"/>
      <c r="K289" s="16"/>
      <c r="L289" s="16"/>
      <c r="M289" s="16"/>
      <c r="N289" s="16"/>
      <c r="O289" s="16"/>
      <c r="P289" s="16"/>
    </row>
    <row r="290" spans="1:16" ht="13.5" customHeight="1">
      <c r="A290" s="78"/>
      <c r="B290" s="78"/>
      <c r="C290" s="15" t="s">
        <v>727</v>
      </c>
      <c r="D290" s="79"/>
      <c r="E290" s="79">
        <v>2</v>
      </c>
      <c r="F290" s="13"/>
      <c r="G290" s="13"/>
      <c r="H290" s="13"/>
      <c r="I290" s="13"/>
      <c r="J290" s="13">
        <v>4500</v>
      </c>
      <c r="K290" s="16"/>
      <c r="L290" s="16"/>
      <c r="M290" s="16"/>
      <c r="N290" s="16"/>
      <c r="O290" s="16"/>
      <c r="P290" s="16">
        <f>SUM(F290:O290)</f>
        <v>4500</v>
      </c>
    </row>
    <row r="291" spans="1:16" ht="15" customHeight="1">
      <c r="A291" s="78"/>
      <c r="B291" s="78"/>
      <c r="C291" s="1217" t="s">
        <v>162</v>
      </c>
      <c r="D291" s="1218"/>
      <c r="E291" s="210"/>
      <c r="F291" s="13"/>
      <c r="G291" s="13"/>
      <c r="H291" s="13"/>
      <c r="I291" s="13"/>
      <c r="J291" s="13"/>
      <c r="K291" s="16"/>
      <c r="L291" s="16"/>
      <c r="M291" s="16"/>
      <c r="N291" s="16"/>
      <c r="O291" s="16"/>
      <c r="P291" s="16"/>
    </row>
    <row r="292" spans="1:16" ht="13.5" customHeight="1">
      <c r="A292" s="78"/>
      <c r="B292" s="78"/>
      <c r="C292" s="15" t="s">
        <v>728</v>
      </c>
      <c r="D292" s="79"/>
      <c r="E292" s="79">
        <v>2</v>
      </c>
      <c r="F292" s="13"/>
      <c r="G292" s="13"/>
      <c r="H292" s="13">
        <v>1546</v>
      </c>
      <c r="I292" s="13"/>
      <c r="J292" s="13"/>
      <c r="K292" s="16"/>
      <c r="L292" s="16"/>
      <c r="M292" s="16"/>
      <c r="N292" s="16"/>
      <c r="O292" s="16"/>
      <c r="P292" s="16">
        <f>SUM(F292:O292)</f>
        <v>1546</v>
      </c>
    </row>
    <row r="293" spans="1:16" ht="13.5" customHeight="1">
      <c r="A293" s="78"/>
      <c r="B293" s="78"/>
      <c r="C293" s="15" t="s">
        <v>730</v>
      </c>
      <c r="D293" s="79"/>
      <c r="E293" s="79">
        <v>2</v>
      </c>
      <c r="F293" s="13"/>
      <c r="G293" s="13"/>
      <c r="H293" s="13">
        <v>4500</v>
      </c>
      <c r="I293" s="13"/>
      <c r="J293" s="13"/>
      <c r="K293" s="16"/>
      <c r="L293" s="16"/>
      <c r="M293" s="16"/>
      <c r="N293" s="16"/>
      <c r="O293" s="16"/>
      <c r="P293" s="16">
        <f>SUM(F293:O293)</f>
        <v>4500</v>
      </c>
    </row>
    <row r="294" spans="1:16" ht="13.5" customHeight="1">
      <c r="A294" s="78"/>
      <c r="B294" s="78"/>
      <c r="C294" s="15" t="s">
        <v>1424</v>
      </c>
      <c r="D294" s="140"/>
      <c r="E294" s="140">
        <v>2</v>
      </c>
      <c r="F294" s="13"/>
      <c r="G294" s="13"/>
      <c r="H294" s="13"/>
      <c r="I294" s="13"/>
      <c r="J294" s="13">
        <v>2700</v>
      </c>
      <c r="K294" s="16"/>
      <c r="L294" s="16"/>
      <c r="M294" s="16"/>
      <c r="N294" s="16"/>
      <c r="O294" s="16"/>
      <c r="P294" s="16">
        <f>SUM(F294:O294)</f>
        <v>2700</v>
      </c>
    </row>
    <row r="295" spans="1:16" ht="24.75" customHeight="1">
      <c r="A295" s="78"/>
      <c r="B295" s="78"/>
      <c r="C295" s="1233" t="s">
        <v>612</v>
      </c>
      <c r="D295" s="1234"/>
      <c r="E295" s="140">
        <v>1</v>
      </c>
      <c r="F295" s="13"/>
      <c r="G295" s="13"/>
      <c r="H295" s="13"/>
      <c r="I295" s="13"/>
      <c r="J295" s="13">
        <v>383694</v>
      </c>
      <c r="K295" s="16"/>
      <c r="L295" s="16"/>
      <c r="M295" s="16"/>
      <c r="N295" s="16"/>
      <c r="O295" s="16"/>
      <c r="P295" s="16">
        <f>SUM(F295:O295)</f>
        <v>383694</v>
      </c>
    </row>
    <row r="296" spans="1:16" ht="13.5" customHeight="1">
      <c r="A296" s="78"/>
      <c r="B296" s="78"/>
      <c r="C296" s="1231" t="s">
        <v>1233</v>
      </c>
      <c r="D296" s="1214"/>
      <c r="E296" s="140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1:16" ht="13.5" customHeight="1">
      <c r="A297" s="78"/>
      <c r="B297" s="78"/>
      <c r="C297" s="15" t="s">
        <v>729</v>
      </c>
      <c r="D297" s="79"/>
      <c r="E297" s="79">
        <v>2</v>
      </c>
      <c r="F297" s="16"/>
      <c r="G297" s="16"/>
      <c r="H297" s="16"/>
      <c r="I297" s="16"/>
      <c r="J297" s="16">
        <v>52000</v>
      </c>
      <c r="K297" s="16"/>
      <c r="L297" s="16"/>
      <c r="M297" s="16"/>
      <c r="N297" s="16"/>
      <c r="O297" s="16"/>
      <c r="P297" s="16">
        <f>SUM(F297:O297)</f>
        <v>52000</v>
      </c>
    </row>
    <row r="298" spans="1:16" ht="15" customHeight="1">
      <c r="A298" s="78"/>
      <c r="B298" s="78"/>
      <c r="C298" s="1217" t="s">
        <v>162</v>
      </c>
      <c r="D298" s="1218"/>
      <c r="E298" s="210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3.5" customHeight="1">
      <c r="A299" s="78"/>
      <c r="B299" s="78"/>
      <c r="C299" s="15" t="s">
        <v>1623</v>
      </c>
      <c r="D299" s="79"/>
      <c r="E299" s="79">
        <v>1</v>
      </c>
      <c r="F299" s="16"/>
      <c r="G299" s="16"/>
      <c r="H299" s="16">
        <v>13000</v>
      </c>
      <c r="I299" s="16"/>
      <c r="J299" s="16"/>
      <c r="K299" s="16"/>
      <c r="L299" s="16"/>
      <c r="M299" s="16"/>
      <c r="N299" s="16"/>
      <c r="O299" s="16"/>
      <c r="P299" s="16">
        <f>SUM(F299:O299)</f>
        <v>13000</v>
      </c>
    </row>
    <row r="300" spans="1:16" ht="13.5" customHeight="1">
      <c r="A300" s="78"/>
      <c r="B300" s="78"/>
      <c r="C300" s="1231" t="s">
        <v>1266</v>
      </c>
      <c r="D300" s="1214"/>
      <c r="E300" s="140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24.75" customHeight="1">
      <c r="A301" s="78"/>
      <c r="B301" s="78"/>
      <c r="C301" s="1215" t="s">
        <v>534</v>
      </c>
      <c r="D301" s="1216"/>
      <c r="E301" s="210">
        <v>2</v>
      </c>
      <c r="F301" s="16"/>
      <c r="G301" s="16"/>
      <c r="H301" s="16"/>
      <c r="I301" s="16"/>
      <c r="J301" s="16">
        <v>770</v>
      </c>
      <c r="K301" s="16"/>
      <c r="L301" s="16"/>
      <c r="M301" s="16"/>
      <c r="N301" s="16"/>
      <c r="O301" s="16"/>
      <c r="P301" s="16">
        <f>SUM(F301:O301)</f>
        <v>770</v>
      </c>
    </row>
    <row r="302" spans="1:16" ht="24.75" customHeight="1">
      <c r="A302" s="78"/>
      <c r="B302" s="78"/>
      <c r="C302" s="1215" t="s">
        <v>535</v>
      </c>
      <c r="D302" s="1216"/>
      <c r="E302" s="210">
        <v>2</v>
      </c>
      <c r="F302" s="16"/>
      <c r="G302" s="16"/>
      <c r="H302" s="16"/>
      <c r="I302" s="16"/>
      <c r="J302" s="16">
        <v>2000</v>
      </c>
      <c r="K302" s="16"/>
      <c r="L302" s="16"/>
      <c r="M302" s="16"/>
      <c r="N302" s="16"/>
      <c r="O302" s="16"/>
      <c r="P302" s="16">
        <f>SUM(F302:O302)</f>
        <v>2000</v>
      </c>
    </row>
    <row r="303" spans="1:16" ht="13.5" customHeight="1">
      <c r="A303" s="78"/>
      <c r="B303" s="78"/>
      <c r="C303" s="1231" t="s">
        <v>1234</v>
      </c>
      <c r="D303" s="1214"/>
      <c r="E303" s="140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3.5" customHeight="1">
      <c r="A304" s="78"/>
      <c r="B304" s="78"/>
      <c r="C304" s="1215" t="s">
        <v>731</v>
      </c>
      <c r="D304" s="1216"/>
      <c r="E304" s="215">
        <v>1</v>
      </c>
      <c r="F304" s="16"/>
      <c r="G304" s="16"/>
      <c r="H304" s="16"/>
      <c r="I304" s="13"/>
      <c r="J304" s="13">
        <v>150000</v>
      </c>
      <c r="K304" s="16"/>
      <c r="L304" s="16"/>
      <c r="M304" s="16"/>
      <c r="N304" s="16"/>
      <c r="O304" s="16"/>
      <c r="P304" s="16">
        <f aca="true" t="shared" si="21" ref="P304:P310">SUM(F304:O304)</f>
        <v>150000</v>
      </c>
    </row>
    <row r="305" spans="1:16" ht="15" customHeight="1">
      <c r="A305" s="78"/>
      <c r="B305" s="78"/>
      <c r="C305" s="1215" t="s">
        <v>1235</v>
      </c>
      <c r="D305" s="1216"/>
      <c r="E305" s="210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>
        <f t="shared" si="21"/>
        <v>0</v>
      </c>
    </row>
    <row r="306" spans="1:16" ht="21.75" customHeight="1">
      <c r="A306" s="78"/>
      <c r="B306" s="78"/>
      <c r="C306" s="1215" t="s">
        <v>732</v>
      </c>
      <c r="D306" s="1216"/>
      <c r="E306" s="210">
        <v>1</v>
      </c>
      <c r="F306" s="16"/>
      <c r="G306" s="16"/>
      <c r="H306" s="13">
        <v>21956</v>
      </c>
      <c r="I306" s="13"/>
      <c r="J306" s="13"/>
      <c r="K306" s="13"/>
      <c r="L306" s="13"/>
      <c r="M306" s="13"/>
      <c r="N306" s="13">
        <v>13244</v>
      </c>
      <c r="O306" s="16"/>
      <c r="P306" s="16">
        <f t="shared" si="21"/>
        <v>35200</v>
      </c>
    </row>
    <row r="307" spans="1:16" ht="15" customHeight="1">
      <c r="A307" s="78"/>
      <c r="B307" s="78"/>
      <c r="C307" s="596" t="s">
        <v>628</v>
      </c>
      <c r="D307" s="597"/>
      <c r="E307" s="210">
        <v>1</v>
      </c>
      <c r="F307" s="16"/>
      <c r="G307" s="16"/>
      <c r="H307" s="13"/>
      <c r="I307" s="13"/>
      <c r="J307" s="13"/>
      <c r="K307" s="13"/>
      <c r="L307" s="13"/>
      <c r="M307" s="13"/>
      <c r="N307" s="13"/>
      <c r="O307" s="16">
        <v>21424</v>
      </c>
      <c r="P307" s="16">
        <f t="shared" si="21"/>
        <v>21424</v>
      </c>
    </row>
    <row r="308" spans="1:16" ht="13.5" customHeight="1">
      <c r="A308" s="16"/>
      <c r="B308" s="16"/>
      <c r="C308" s="15" t="s">
        <v>725</v>
      </c>
      <c r="D308" s="140"/>
      <c r="E308" s="140">
        <v>2</v>
      </c>
      <c r="F308" s="16"/>
      <c r="G308" s="16"/>
      <c r="H308" s="16"/>
      <c r="I308" s="16"/>
      <c r="J308" s="16">
        <v>1000</v>
      </c>
      <c r="K308" s="16"/>
      <c r="L308" s="16"/>
      <c r="M308" s="16"/>
      <c r="N308" s="16"/>
      <c r="O308" s="16"/>
      <c r="P308" s="16">
        <f t="shared" si="21"/>
        <v>1000</v>
      </c>
    </row>
    <row r="309" spans="1:16" ht="13.5" customHeight="1">
      <c r="A309" s="78"/>
      <c r="B309" s="78"/>
      <c r="C309" s="598" t="s">
        <v>1221</v>
      </c>
      <c r="D309" s="599"/>
      <c r="E309" s="140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>
        <f t="shared" si="21"/>
        <v>0</v>
      </c>
    </row>
    <row r="310" spans="1:16" ht="13.5" customHeight="1">
      <c r="A310" s="78"/>
      <c r="B310" s="78"/>
      <c r="C310" s="15" t="s">
        <v>752</v>
      </c>
      <c r="D310" s="79"/>
      <c r="E310" s="79">
        <v>2</v>
      </c>
      <c r="F310" s="16"/>
      <c r="G310" s="16"/>
      <c r="H310" s="16"/>
      <c r="I310" s="16"/>
      <c r="J310" s="16">
        <v>43600</v>
      </c>
      <c r="K310" s="16"/>
      <c r="L310" s="16"/>
      <c r="M310" s="16"/>
      <c r="N310" s="16"/>
      <c r="O310" s="16"/>
      <c r="P310" s="16">
        <f t="shared" si="21"/>
        <v>43600</v>
      </c>
    </row>
    <row r="311" spans="1:16" ht="13.5" customHeight="1">
      <c r="A311" s="68"/>
      <c r="B311" s="68"/>
      <c r="C311" s="71" t="s">
        <v>753</v>
      </c>
      <c r="D311" s="72"/>
      <c r="E311" s="72"/>
      <c r="F311" s="76">
        <f aca="true" t="shared" si="22" ref="F311:P311">SUM(F274:F310)</f>
        <v>0</v>
      </c>
      <c r="G311" s="76">
        <f t="shared" si="22"/>
        <v>0</v>
      </c>
      <c r="H311" s="76">
        <f t="shared" si="22"/>
        <v>292820</v>
      </c>
      <c r="I311" s="76">
        <f t="shared" si="22"/>
        <v>0</v>
      </c>
      <c r="J311" s="76">
        <f t="shared" si="22"/>
        <v>644264</v>
      </c>
      <c r="K311" s="76">
        <f t="shared" si="22"/>
        <v>0</v>
      </c>
      <c r="L311" s="76">
        <f t="shared" si="22"/>
        <v>0</v>
      </c>
      <c r="M311" s="76">
        <f t="shared" si="22"/>
        <v>0</v>
      </c>
      <c r="N311" s="76">
        <f t="shared" si="22"/>
        <v>13244</v>
      </c>
      <c r="O311" s="76">
        <f t="shared" si="22"/>
        <v>21424</v>
      </c>
      <c r="P311" s="76">
        <f t="shared" si="22"/>
        <v>971752</v>
      </c>
    </row>
    <row r="312" spans="1:16" ht="13.5" customHeight="1">
      <c r="A312" s="84"/>
      <c r="B312" s="84"/>
      <c r="C312" s="15" t="s">
        <v>1544</v>
      </c>
      <c r="D312" s="79"/>
      <c r="E312" s="79"/>
      <c r="F312" s="17"/>
      <c r="G312" s="17"/>
      <c r="H312" s="17"/>
      <c r="I312" s="16"/>
      <c r="J312" s="16"/>
      <c r="K312" s="17"/>
      <c r="L312" s="17"/>
      <c r="M312" s="16">
        <v>5160</v>
      </c>
      <c r="N312" s="16"/>
      <c r="O312" s="17"/>
      <c r="P312" s="16">
        <f>SUM(F312:O312)</f>
        <v>5160</v>
      </c>
    </row>
    <row r="313" spans="1:16" ht="13.5" customHeight="1">
      <c r="A313" s="84"/>
      <c r="B313" s="84"/>
      <c r="C313" s="15" t="s">
        <v>1545</v>
      </c>
      <c r="D313" s="79"/>
      <c r="E313" s="79"/>
      <c r="F313" s="17"/>
      <c r="G313" s="17"/>
      <c r="H313" s="17"/>
      <c r="I313" s="16"/>
      <c r="J313" s="16"/>
      <c r="K313" s="16"/>
      <c r="L313" s="16"/>
      <c r="M313" s="16">
        <v>2000</v>
      </c>
      <c r="N313" s="16"/>
      <c r="O313" s="17"/>
      <c r="P313" s="16">
        <f>SUM(F313:O313)</f>
        <v>2000</v>
      </c>
    </row>
    <row r="314" spans="1:16" ht="13.5" customHeight="1">
      <c r="A314" s="68"/>
      <c r="B314" s="68"/>
      <c r="C314" s="71" t="s">
        <v>678</v>
      </c>
      <c r="D314" s="72"/>
      <c r="E314" s="72"/>
      <c r="F314" s="76">
        <f>SUM(F311:F313)</f>
        <v>0</v>
      </c>
      <c r="G314" s="76">
        <f>SUM(G311:G313)</f>
        <v>0</v>
      </c>
      <c r="H314" s="76">
        <f>SUM(H311:H313)</f>
        <v>292820</v>
      </c>
      <c r="I314" s="76">
        <f>SUM(I311:I313)</f>
        <v>0</v>
      </c>
      <c r="J314" s="76">
        <f>SUM(J311:J313)</f>
        <v>644264</v>
      </c>
      <c r="K314" s="76">
        <f>SUM(K312:K313)</f>
        <v>0</v>
      </c>
      <c r="L314" s="76">
        <f>SUM(L312:L313)</f>
        <v>0</v>
      </c>
      <c r="M314" s="76">
        <f>SUM(M312:M313)</f>
        <v>7160</v>
      </c>
      <c r="N314" s="76">
        <f>SUM(N311:N313)</f>
        <v>13244</v>
      </c>
      <c r="O314" s="76">
        <f>SUM(O311:O313)</f>
        <v>21424</v>
      </c>
      <c r="P314" s="76">
        <f>SUM(P311:P313)</f>
        <v>978912</v>
      </c>
    </row>
    <row r="315" spans="1:16" ht="24.75" customHeight="1">
      <c r="A315" s="77">
        <v>1</v>
      </c>
      <c r="B315" s="77">
        <v>20</v>
      </c>
      <c r="C315" s="594" t="s">
        <v>162</v>
      </c>
      <c r="D315" s="595"/>
      <c r="E315" s="14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ht="13.5" customHeight="1">
      <c r="A316" s="68"/>
      <c r="B316" s="68"/>
      <c r="C316" s="71" t="s">
        <v>124</v>
      </c>
      <c r="D316" s="72"/>
      <c r="E316" s="72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>
        <f>SUM(F316:O316)</f>
        <v>0</v>
      </c>
    </row>
    <row r="317" spans="1:16" ht="13.5" customHeight="1">
      <c r="A317" s="87">
        <v>1</v>
      </c>
      <c r="B317" s="87" t="s">
        <v>754</v>
      </c>
      <c r="C317" s="98" t="s">
        <v>755</v>
      </c>
      <c r="D317" s="92"/>
      <c r="E317" s="92"/>
      <c r="F317" s="89"/>
      <c r="G317" s="89"/>
      <c r="H317" s="85"/>
      <c r="I317" s="89"/>
      <c r="J317" s="89"/>
      <c r="K317" s="89"/>
      <c r="L317" s="89"/>
      <c r="M317" s="89"/>
      <c r="N317" s="89"/>
      <c r="O317" s="89"/>
      <c r="P317" s="89"/>
    </row>
    <row r="318" spans="1:16" ht="13.5" customHeight="1">
      <c r="A318" s="87"/>
      <c r="B318" s="87"/>
      <c r="C318" s="1217" t="s">
        <v>162</v>
      </c>
      <c r="D318" s="1218"/>
      <c r="E318" s="140"/>
      <c r="F318" s="89"/>
      <c r="G318" s="89"/>
      <c r="H318" s="85"/>
      <c r="I318" s="89"/>
      <c r="J318" s="89"/>
      <c r="K318" s="89"/>
      <c r="L318" s="89"/>
      <c r="M318" s="89"/>
      <c r="N318" s="89"/>
      <c r="O318" s="89"/>
      <c r="P318" s="89"/>
    </row>
    <row r="319" spans="1:16" ht="13.5" customHeight="1">
      <c r="A319" s="87"/>
      <c r="B319" s="87"/>
      <c r="C319" s="91" t="s">
        <v>703</v>
      </c>
      <c r="D319" s="94"/>
      <c r="E319" s="94">
        <v>2</v>
      </c>
      <c r="F319" s="149">
        <v>1600</v>
      </c>
      <c r="G319" s="90">
        <v>2000</v>
      </c>
      <c r="H319" s="16">
        <v>15217</v>
      </c>
      <c r="I319" s="90"/>
      <c r="J319" s="90">
        <v>1200</v>
      </c>
      <c r="K319" s="135"/>
      <c r="L319" s="135"/>
      <c r="M319" s="135"/>
      <c r="N319" s="135"/>
      <c r="O319" s="135"/>
      <c r="P319" s="90">
        <f aca="true" t="shared" si="23" ref="P319:P327">SUM(F319:O319)</f>
        <v>20017</v>
      </c>
    </row>
    <row r="320" spans="1:16" ht="13.5" customHeight="1">
      <c r="A320" s="87"/>
      <c r="B320" s="87"/>
      <c r="C320" s="64" t="s">
        <v>511</v>
      </c>
      <c r="D320" s="136"/>
      <c r="E320" s="221">
        <v>1</v>
      </c>
      <c r="F320" s="149"/>
      <c r="G320" s="90"/>
      <c r="H320" s="90">
        <v>4000</v>
      </c>
      <c r="I320" s="90"/>
      <c r="J320" s="90">
        <v>2000</v>
      </c>
      <c r="K320" s="135"/>
      <c r="L320" s="135"/>
      <c r="M320" s="135"/>
      <c r="N320" s="135"/>
      <c r="O320" s="135"/>
      <c r="P320" s="90">
        <f t="shared" si="23"/>
        <v>6000</v>
      </c>
    </row>
    <row r="321" spans="1:16" ht="13.5" customHeight="1">
      <c r="A321" s="87"/>
      <c r="B321" s="87"/>
      <c r="C321" s="64" t="s">
        <v>1708</v>
      </c>
      <c r="D321" s="136"/>
      <c r="E321" s="221">
        <v>2</v>
      </c>
      <c r="F321" s="149"/>
      <c r="G321" s="90"/>
      <c r="H321" s="90"/>
      <c r="I321" s="90"/>
      <c r="J321" s="90">
        <v>3000</v>
      </c>
      <c r="K321" s="135"/>
      <c r="L321" s="135"/>
      <c r="M321" s="135"/>
      <c r="N321" s="135"/>
      <c r="O321" s="135"/>
      <c r="P321" s="90">
        <f t="shared" si="23"/>
        <v>3000</v>
      </c>
    </row>
    <row r="322" spans="1:16" ht="13.5" customHeight="1">
      <c r="A322" s="87"/>
      <c r="B322" s="87"/>
      <c r="C322" s="64" t="s">
        <v>28</v>
      </c>
      <c r="D322" s="136"/>
      <c r="E322" s="221">
        <v>2</v>
      </c>
      <c r="F322" s="149"/>
      <c r="G322" s="90"/>
      <c r="H322" s="13">
        <v>8453</v>
      </c>
      <c r="I322" s="90"/>
      <c r="J322" s="90"/>
      <c r="K322" s="135"/>
      <c r="L322" s="135"/>
      <c r="M322" s="135"/>
      <c r="N322" s="135"/>
      <c r="O322" s="135"/>
      <c r="P322" s="90">
        <f t="shared" si="23"/>
        <v>8453</v>
      </c>
    </row>
    <row r="323" spans="1:16" ht="13.5" customHeight="1">
      <c r="A323" s="87"/>
      <c r="B323" s="87"/>
      <c r="C323" s="14" t="s">
        <v>1622</v>
      </c>
      <c r="D323" s="136"/>
      <c r="E323" s="221">
        <v>1</v>
      </c>
      <c r="F323" s="149">
        <v>55730</v>
      </c>
      <c r="G323" s="90">
        <v>15047</v>
      </c>
      <c r="H323" s="13">
        <v>1073</v>
      </c>
      <c r="I323" s="90"/>
      <c r="J323" s="90"/>
      <c r="K323" s="135"/>
      <c r="L323" s="135"/>
      <c r="M323" s="135"/>
      <c r="N323" s="135"/>
      <c r="O323" s="135"/>
      <c r="P323" s="90">
        <f t="shared" si="23"/>
        <v>71850</v>
      </c>
    </row>
    <row r="324" spans="1:16" ht="13.5" customHeight="1">
      <c r="A324" s="87"/>
      <c r="B324" s="87"/>
      <c r="C324" s="14" t="s">
        <v>1709</v>
      </c>
      <c r="D324" s="136"/>
      <c r="E324" s="221">
        <v>2</v>
      </c>
      <c r="F324" s="149"/>
      <c r="G324" s="90"/>
      <c r="H324" s="13">
        <v>954</v>
      </c>
      <c r="I324" s="90"/>
      <c r="J324" s="90"/>
      <c r="K324" s="135"/>
      <c r="L324" s="135"/>
      <c r="M324" s="135"/>
      <c r="N324" s="135"/>
      <c r="O324" s="135"/>
      <c r="P324" s="90">
        <f t="shared" si="23"/>
        <v>954</v>
      </c>
    </row>
    <row r="325" spans="1:16" ht="13.5" customHeight="1">
      <c r="A325" s="87"/>
      <c r="B325" s="87"/>
      <c r="C325" s="14" t="s">
        <v>1710</v>
      </c>
      <c r="D325" s="136"/>
      <c r="E325" s="221">
        <v>2</v>
      </c>
      <c r="F325" s="149"/>
      <c r="G325" s="90"/>
      <c r="H325" s="13"/>
      <c r="I325" s="90"/>
      <c r="J325" s="90">
        <v>1000</v>
      </c>
      <c r="K325" s="135"/>
      <c r="L325" s="135"/>
      <c r="M325" s="135"/>
      <c r="N325" s="135"/>
      <c r="O325" s="135"/>
      <c r="P325" s="90">
        <f t="shared" si="23"/>
        <v>1000</v>
      </c>
    </row>
    <row r="326" spans="1:16" ht="13.5" customHeight="1">
      <c r="A326" s="87"/>
      <c r="B326" s="87"/>
      <c r="C326" s="14" t="s">
        <v>614</v>
      </c>
      <c r="D326" s="136"/>
      <c r="E326" s="221">
        <v>2</v>
      </c>
      <c r="F326" s="149"/>
      <c r="G326" s="90"/>
      <c r="H326" s="13">
        <v>1000</v>
      </c>
      <c r="I326" s="90"/>
      <c r="J326" s="90"/>
      <c r="K326" s="135"/>
      <c r="L326" s="135"/>
      <c r="M326" s="135"/>
      <c r="N326" s="135"/>
      <c r="O326" s="135"/>
      <c r="P326" s="90">
        <f t="shared" si="23"/>
        <v>1000</v>
      </c>
    </row>
    <row r="327" spans="1:16" ht="13.5" customHeight="1">
      <c r="A327" s="87"/>
      <c r="B327" s="87"/>
      <c r="C327" s="14" t="s">
        <v>615</v>
      </c>
      <c r="D327" s="136"/>
      <c r="E327" s="221">
        <v>2</v>
      </c>
      <c r="F327" s="149"/>
      <c r="G327" s="90"/>
      <c r="H327" s="13"/>
      <c r="I327" s="90"/>
      <c r="J327" s="90">
        <v>500</v>
      </c>
      <c r="K327" s="135"/>
      <c r="L327" s="135"/>
      <c r="M327" s="135"/>
      <c r="N327" s="135"/>
      <c r="O327" s="135"/>
      <c r="P327" s="90">
        <f t="shared" si="23"/>
        <v>500</v>
      </c>
    </row>
    <row r="328" spans="1:16" ht="13.5" customHeight="1">
      <c r="A328" s="87"/>
      <c r="B328" s="87"/>
      <c r="C328" s="1231" t="s">
        <v>1230</v>
      </c>
      <c r="D328" s="1214"/>
      <c r="E328" s="140"/>
      <c r="F328" s="16"/>
      <c r="G328" s="16"/>
      <c r="H328" s="13"/>
      <c r="I328" s="13"/>
      <c r="J328" s="13"/>
      <c r="K328" s="16"/>
      <c r="L328" s="16"/>
      <c r="M328" s="16"/>
      <c r="N328" s="16"/>
      <c r="O328" s="16"/>
      <c r="P328" s="16">
        <f>SUM(F328:O328)</f>
        <v>0</v>
      </c>
    </row>
    <row r="329" spans="1:16" ht="13.5" customHeight="1">
      <c r="A329" s="87"/>
      <c r="B329" s="87"/>
      <c r="C329" s="15" t="s">
        <v>702</v>
      </c>
      <c r="D329" s="79"/>
      <c r="E329" s="79">
        <v>2</v>
      </c>
      <c r="F329" s="16"/>
      <c r="G329" s="16"/>
      <c r="H329" s="13"/>
      <c r="I329" s="13"/>
      <c r="J329" s="13">
        <v>31000</v>
      </c>
      <c r="K329" s="16"/>
      <c r="L329" s="16"/>
      <c r="M329" s="16"/>
      <c r="N329" s="16"/>
      <c r="O329" s="16"/>
      <c r="P329" s="16">
        <f>SUM(F329:O329)</f>
        <v>31000</v>
      </c>
    </row>
    <row r="330" spans="1:16" ht="13.5" customHeight="1">
      <c r="A330" s="87"/>
      <c r="B330" s="87"/>
      <c r="C330" s="15" t="s">
        <v>724</v>
      </c>
      <c r="D330" s="79"/>
      <c r="E330" s="79">
        <v>2</v>
      </c>
      <c r="F330" s="16"/>
      <c r="G330" s="16"/>
      <c r="H330" s="13">
        <v>7200</v>
      </c>
      <c r="I330" s="13"/>
      <c r="J330" s="13"/>
      <c r="K330" s="16"/>
      <c r="L330" s="16"/>
      <c r="M330" s="16"/>
      <c r="N330" s="16"/>
      <c r="O330" s="16"/>
      <c r="P330" s="16">
        <f>SUM(F330:O330)</f>
        <v>7200</v>
      </c>
    </row>
    <row r="331" spans="1:16" ht="13.5" customHeight="1">
      <c r="A331" s="87"/>
      <c r="B331" s="87"/>
      <c r="C331" s="1231" t="s">
        <v>1267</v>
      </c>
      <c r="D331" s="1214"/>
      <c r="E331" s="140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3.5" customHeight="1">
      <c r="A332" s="87"/>
      <c r="B332" s="87"/>
      <c r="C332" s="15" t="s">
        <v>726</v>
      </c>
      <c r="D332" s="79"/>
      <c r="E332" s="79">
        <v>2</v>
      </c>
      <c r="F332" s="13"/>
      <c r="G332" s="13"/>
      <c r="H332" s="13">
        <v>9000</v>
      </c>
      <c r="I332" s="13"/>
      <c r="J332" s="13"/>
      <c r="K332" s="16"/>
      <c r="L332" s="16"/>
      <c r="M332" s="16"/>
      <c r="N332" s="16"/>
      <c r="O332" s="16"/>
      <c r="P332" s="16">
        <f>SUM(F332:O332)</f>
        <v>9000</v>
      </c>
    </row>
    <row r="333" spans="1:16" ht="13.5" customHeight="1">
      <c r="A333" s="87"/>
      <c r="B333" s="87"/>
      <c r="C333" s="64" t="s">
        <v>1219</v>
      </c>
      <c r="D333" s="136"/>
      <c r="E333" s="221"/>
      <c r="F333" s="101"/>
      <c r="G333" s="90"/>
      <c r="H333" s="13"/>
      <c r="I333" s="90"/>
      <c r="J333" s="90"/>
      <c r="K333" s="135"/>
      <c r="L333" s="135"/>
      <c r="M333" s="135"/>
      <c r="N333" s="135"/>
      <c r="O333" s="135"/>
      <c r="P333" s="90"/>
    </row>
    <row r="334" spans="1:16" ht="13.5" customHeight="1">
      <c r="A334" s="87"/>
      <c r="B334" s="87"/>
      <c r="C334" s="1215" t="s">
        <v>1367</v>
      </c>
      <c r="D334" s="1216"/>
      <c r="E334" s="222">
        <v>2</v>
      </c>
      <c r="F334" s="16"/>
      <c r="G334" s="16"/>
      <c r="H334" s="16">
        <v>900</v>
      </c>
      <c r="I334" s="16"/>
      <c r="J334" s="16">
        <v>7100</v>
      </c>
      <c r="K334" s="16"/>
      <c r="L334" s="16"/>
      <c r="M334" s="16"/>
      <c r="N334" s="16"/>
      <c r="O334" s="16"/>
      <c r="P334" s="16">
        <f>SUM(F334:O334)</f>
        <v>8000</v>
      </c>
    </row>
    <row r="335" spans="1:16" ht="13.5" customHeight="1">
      <c r="A335" s="87"/>
      <c r="B335" s="87"/>
      <c r="C335" s="141" t="s">
        <v>707</v>
      </c>
      <c r="D335" s="136"/>
      <c r="E335" s="221">
        <v>2</v>
      </c>
      <c r="F335" s="101"/>
      <c r="G335" s="90"/>
      <c r="H335" s="90">
        <v>17640</v>
      </c>
      <c r="I335" s="90"/>
      <c r="J335" s="90"/>
      <c r="K335" s="135"/>
      <c r="L335" s="135"/>
      <c r="M335" s="135"/>
      <c r="N335" s="135"/>
      <c r="O335" s="135"/>
      <c r="P335" s="90">
        <f>SUM(F335:O335)</f>
        <v>17640</v>
      </c>
    </row>
    <row r="336" spans="1:16" ht="13.5" customHeight="1">
      <c r="A336" s="87"/>
      <c r="B336" s="87"/>
      <c r="C336" s="137" t="s">
        <v>1236</v>
      </c>
      <c r="D336" s="136"/>
      <c r="E336" s="221"/>
      <c r="F336" s="101"/>
      <c r="G336" s="90"/>
      <c r="H336" s="90"/>
      <c r="I336" s="90"/>
      <c r="J336" s="90"/>
      <c r="K336" s="135"/>
      <c r="L336" s="135"/>
      <c r="M336" s="135"/>
      <c r="N336" s="135"/>
      <c r="O336" s="135"/>
      <c r="P336" s="90"/>
    </row>
    <row r="337" spans="1:16" ht="13.5" customHeight="1">
      <c r="A337" s="87"/>
      <c r="B337" s="87"/>
      <c r="C337" s="137" t="s">
        <v>708</v>
      </c>
      <c r="D337" s="136"/>
      <c r="E337" s="221">
        <v>1</v>
      </c>
      <c r="F337" s="101"/>
      <c r="G337" s="90"/>
      <c r="H337" s="90"/>
      <c r="I337" s="90"/>
      <c r="J337" s="90">
        <v>19000</v>
      </c>
      <c r="K337" s="135"/>
      <c r="L337" s="135"/>
      <c r="M337" s="135"/>
      <c r="N337" s="135"/>
      <c r="O337" s="135"/>
      <c r="P337" s="90">
        <f>SUM(F337:O337)</f>
        <v>19000</v>
      </c>
    </row>
    <row r="338" spans="1:16" ht="13.5" customHeight="1">
      <c r="A338" s="87"/>
      <c r="B338" s="87"/>
      <c r="C338" s="64" t="s">
        <v>709</v>
      </c>
      <c r="D338" s="136"/>
      <c r="E338" s="221">
        <v>1</v>
      </c>
      <c r="F338" s="101"/>
      <c r="G338" s="90"/>
      <c r="H338" s="90">
        <v>20000</v>
      </c>
      <c r="I338" s="90"/>
      <c r="J338" s="90"/>
      <c r="K338" s="135"/>
      <c r="L338" s="135"/>
      <c r="M338" s="135"/>
      <c r="N338" s="135"/>
      <c r="O338" s="135"/>
      <c r="P338" s="90">
        <f>SUM(F338:O338)</f>
        <v>20000</v>
      </c>
    </row>
    <row r="339" spans="1:16" ht="24.75" customHeight="1">
      <c r="A339" s="87"/>
      <c r="B339" s="87"/>
      <c r="C339" s="1294" t="s">
        <v>1711</v>
      </c>
      <c r="D339" s="1282"/>
      <c r="E339" s="221">
        <v>2</v>
      </c>
      <c r="F339" s="101"/>
      <c r="G339" s="90"/>
      <c r="H339" s="90"/>
      <c r="I339" s="90"/>
      <c r="J339" s="90">
        <v>3000</v>
      </c>
      <c r="K339" s="135"/>
      <c r="L339" s="135"/>
      <c r="M339" s="135"/>
      <c r="N339" s="135"/>
      <c r="O339" s="135"/>
      <c r="P339" s="90">
        <f>SUM(F339:O339)</f>
        <v>3000</v>
      </c>
    </row>
    <row r="340" spans="1:16" ht="13.5" customHeight="1">
      <c r="A340" s="68"/>
      <c r="B340" s="68"/>
      <c r="C340" s="86" t="s">
        <v>300</v>
      </c>
      <c r="D340" s="102"/>
      <c r="E340" s="102"/>
      <c r="F340" s="103">
        <f>SUM(F319:F339)</f>
        <v>57330</v>
      </c>
      <c r="G340" s="103">
        <f aca="true" t="shared" si="24" ref="G340:P340">SUM(G319:G339)</f>
        <v>17047</v>
      </c>
      <c r="H340" s="103">
        <f t="shared" si="24"/>
        <v>85437</v>
      </c>
      <c r="I340" s="103">
        <f t="shared" si="24"/>
        <v>0</v>
      </c>
      <c r="J340" s="103">
        <f t="shared" si="24"/>
        <v>67800</v>
      </c>
      <c r="K340" s="103">
        <f t="shared" si="24"/>
        <v>0</v>
      </c>
      <c r="L340" s="103">
        <f t="shared" si="24"/>
        <v>0</v>
      </c>
      <c r="M340" s="103">
        <f t="shared" si="24"/>
        <v>0</v>
      </c>
      <c r="N340" s="103"/>
      <c r="O340" s="103">
        <f t="shared" si="24"/>
        <v>0</v>
      </c>
      <c r="P340" s="103">
        <f t="shared" si="24"/>
        <v>227614</v>
      </c>
    </row>
    <row r="341" spans="1:16" ht="13.5" customHeight="1">
      <c r="A341" s="87"/>
      <c r="B341" s="87"/>
      <c r="C341" s="99" t="s">
        <v>1191</v>
      </c>
      <c r="D341" s="100"/>
      <c r="E341" s="100"/>
      <c r="F341" s="89"/>
      <c r="G341" s="89"/>
      <c r="H341" s="90"/>
      <c r="I341" s="89"/>
      <c r="J341" s="89"/>
      <c r="K341" s="89"/>
      <c r="L341" s="89"/>
      <c r="M341" s="90"/>
      <c r="N341" s="90"/>
      <c r="O341" s="89"/>
      <c r="P341" s="90">
        <f>SUM(F341:O341)</f>
        <v>0</v>
      </c>
    </row>
    <row r="342" spans="1:152" s="105" customFormat="1" ht="13.5" customHeight="1">
      <c r="A342" s="68"/>
      <c r="B342" s="68"/>
      <c r="C342" s="71" t="s">
        <v>301</v>
      </c>
      <c r="D342" s="72"/>
      <c r="E342" s="72"/>
      <c r="F342" s="76">
        <f aca="true" t="shared" si="25" ref="F342:P342">SUM(F340:F341)</f>
        <v>57330</v>
      </c>
      <c r="G342" s="76">
        <f t="shared" si="25"/>
        <v>17047</v>
      </c>
      <c r="H342" s="76">
        <f t="shared" si="25"/>
        <v>85437</v>
      </c>
      <c r="I342" s="76">
        <f t="shared" si="25"/>
        <v>0</v>
      </c>
      <c r="J342" s="76">
        <f t="shared" si="25"/>
        <v>67800</v>
      </c>
      <c r="K342" s="76">
        <f t="shared" si="25"/>
        <v>0</v>
      </c>
      <c r="L342" s="76">
        <f t="shared" si="25"/>
        <v>0</v>
      </c>
      <c r="M342" s="76">
        <f t="shared" si="25"/>
        <v>0</v>
      </c>
      <c r="N342" s="76"/>
      <c r="O342" s="76">
        <f t="shared" si="25"/>
        <v>0</v>
      </c>
      <c r="P342" s="76">
        <f t="shared" si="25"/>
        <v>227614</v>
      </c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</row>
    <row r="343" spans="1:16" ht="13.5" customHeight="1">
      <c r="A343" s="84">
        <v>1</v>
      </c>
      <c r="B343" s="84">
        <v>30</v>
      </c>
      <c r="C343" s="19" t="s">
        <v>1237</v>
      </c>
      <c r="D343" s="79"/>
      <c r="E343" s="7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1:16" ht="13.5" customHeight="1">
      <c r="A344" s="84"/>
      <c r="B344" s="84">
        <v>31</v>
      </c>
      <c r="C344" s="19" t="s">
        <v>302</v>
      </c>
      <c r="D344" s="18"/>
      <c r="E344" s="18"/>
      <c r="F344" s="17"/>
      <c r="G344" s="17"/>
      <c r="H344" s="17"/>
      <c r="I344" s="17"/>
      <c r="J344" s="16">
        <v>5000</v>
      </c>
      <c r="K344" s="17"/>
      <c r="L344" s="17"/>
      <c r="M344" s="17"/>
      <c r="N344" s="17"/>
      <c r="O344" s="16"/>
      <c r="P344" s="16">
        <f>SUM(F344:O344)</f>
        <v>5000</v>
      </c>
    </row>
    <row r="345" spans="1:16" ht="13.5" customHeight="1">
      <c r="A345" s="78"/>
      <c r="B345" s="78">
        <v>32</v>
      </c>
      <c r="C345" s="19" t="s">
        <v>1549</v>
      </c>
      <c r="D345" s="79"/>
      <c r="E345" s="79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3.5" customHeight="1">
      <c r="A346" s="78"/>
      <c r="B346" s="78"/>
      <c r="C346" s="15" t="s">
        <v>303</v>
      </c>
      <c r="D346" s="79"/>
      <c r="E346" s="79">
        <v>1</v>
      </c>
      <c r="F346" s="16"/>
      <c r="G346" s="16"/>
      <c r="H346" s="16"/>
      <c r="I346" s="16"/>
      <c r="J346" s="16">
        <v>27129</v>
      </c>
      <c r="K346" s="16"/>
      <c r="L346" s="16"/>
      <c r="M346" s="16"/>
      <c r="N346" s="16"/>
      <c r="O346" s="16"/>
      <c r="P346" s="16">
        <f aca="true" t="shared" si="26" ref="P346:P351">SUM(F346:O346)</f>
        <v>27129</v>
      </c>
    </row>
    <row r="347" spans="1:16" ht="12.75" customHeight="1">
      <c r="A347" s="81"/>
      <c r="B347" s="81"/>
      <c r="C347" s="106" t="s">
        <v>121</v>
      </c>
      <c r="D347" s="107"/>
      <c r="E347" s="83">
        <v>1</v>
      </c>
      <c r="F347" s="81"/>
      <c r="G347" s="81"/>
      <c r="H347" s="83"/>
      <c r="I347" s="82"/>
      <c r="J347" s="230">
        <v>20000</v>
      </c>
      <c r="K347" s="81"/>
      <c r="L347" s="81"/>
      <c r="M347" s="81"/>
      <c r="N347" s="81"/>
      <c r="O347" s="230"/>
      <c r="P347" s="16">
        <f t="shared" si="26"/>
        <v>20000</v>
      </c>
    </row>
    <row r="348" spans="1:16" ht="13.5" customHeight="1">
      <c r="A348" s="78"/>
      <c r="B348" s="78"/>
      <c r="C348" s="1231" t="s">
        <v>122</v>
      </c>
      <c r="D348" s="1214"/>
      <c r="E348" s="140">
        <v>1</v>
      </c>
      <c r="F348" s="16"/>
      <c r="G348" s="16"/>
      <c r="H348" s="16"/>
      <c r="I348" s="16"/>
      <c r="J348" s="16">
        <v>150000</v>
      </c>
      <c r="K348" s="16"/>
      <c r="L348" s="16"/>
      <c r="M348" s="16"/>
      <c r="N348" s="16"/>
      <c r="O348" s="16"/>
      <c r="P348" s="16">
        <f t="shared" si="26"/>
        <v>150000</v>
      </c>
    </row>
    <row r="349" spans="1:16" ht="24.75" customHeight="1">
      <c r="A349" s="78"/>
      <c r="B349" s="78"/>
      <c r="C349" s="1215" t="s">
        <v>1269</v>
      </c>
      <c r="D349" s="1216"/>
      <c r="E349" s="210">
        <v>1</v>
      </c>
      <c r="F349" s="16"/>
      <c r="G349" s="16"/>
      <c r="H349" s="16"/>
      <c r="I349" s="16"/>
      <c r="J349" s="16">
        <v>74739</v>
      </c>
      <c r="K349" s="16"/>
      <c r="L349" s="16"/>
      <c r="M349" s="16"/>
      <c r="N349" s="16"/>
      <c r="O349" s="16"/>
      <c r="P349" s="16">
        <f t="shared" si="26"/>
        <v>74739</v>
      </c>
    </row>
    <row r="350" spans="1:16" ht="18" customHeight="1">
      <c r="A350" s="78"/>
      <c r="B350" s="78"/>
      <c r="C350" s="596" t="s">
        <v>1214</v>
      </c>
      <c r="D350" s="597"/>
      <c r="E350" s="210">
        <v>1</v>
      </c>
      <c r="F350" s="16"/>
      <c r="G350" s="16"/>
      <c r="H350" s="16"/>
      <c r="I350" s="16"/>
      <c r="J350" s="16">
        <v>25000</v>
      </c>
      <c r="K350" s="16"/>
      <c r="L350" s="16"/>
      <c r="M350" s="16"/>
      <c r="N350" s="16"/>
      <c r="O350" s="16"/>
      <c r="P350" s="16">
        <f t="shared" si="26"/>
        <v>25000</v>
      </c>
    </row>
    <row r="351" spans="1:16" ht="15" customHeight="1">
      <c r="A351" s="78"/>
      <c r="B351" s="78"/>
      <c r="C351" s="1215" t="s">
        <v>47</v>
      </c>
      <c r="D351" s="1216"/>
      <c r="E351" s="210">
        <v>2</v>
      </c>
      <c r="F351" s="16"/>
      <c r="G351" s="16"/>
      <c r="H351" s="16"/>
      <c r="I351" s="16"/>
      <c r="J351" s="16">
        <v>2300</v>
      </c>
      <c r="K351" s="16"/>
      <c r="L351" s="16"/>
      <c r="M351" s="16"/>
      <c r="N351" s="16"/>
      <c r="O351" s="16"/>
      <c r="P351" s="16">
        <f t="shared" si="26"/>
        <v>2300</v>
      </c>
    </row>
    <row r="352" spans="1:16" ht="33.75" customHeight="1">
      <c r="A352" s="78"/>
      <c r="B352" s="78"/>
      <c r="C352" s="1283" t="s">
        <v>512</v>
      </c>
      <c r="D352" s="1284"/>
      <c r="E352" s="210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1:16" ht="13.5" customHeight="1">
      <c r="A353" s="78"/>
      <c r="B353" s="78"/>
      <c r="C353" s="1280" t="s">
        <v>1420</v>
      </c>
      <c r="D353" s="1281"/>
      <c r="E353" s="144">
        <v>2</v>
      </c>
      <c r="F353" s="16"/>
      <c r="G353" s="16"/>
      <c r="H353" s="16"/>
      <c r="I353" s="16"/>
      <c r="J353" s="16">
        <v>4450</v>
      </c>
      <c r="K353" s="16"/>
      <c r="L353" s="16"/>
      <c r="M353" s="16"/>
      <c r="N353" s="16"/>
      <c r="O353" s="16"/>
      <c r="P353" s="16">
        <f>SUM(F353:O353)</f>
        <v>4450</v>
      </c>
    </row>
    <row r="354" spans="1:16" ht="13.5" customHeight="1">
      <c r="A354" s="78"/>
      <c r="B354" s="78"/>
      <c r="C354" s="15" t="s">
        <v>1033</v>
      </c>
      <c r="D354" s="140"/>
      <c r="E354" s="140">
        <v>2</v>
      </c>
      <c r="F354" s="16"/>
      <c r="G354" s="16"/>
      <c r="H354" s="16"/>
      <c r="I354" s="16"/>
      <c r="J354" s="16">
        <v>900</v>
      </c>
      <c r="K354" s="16"/>
      <c r="L354" s="16"/>
      <c r="M354" s="16"/>
      <c r="N354" s="16"/>
      <c r="O354" s="16"/>
      <c r="P354" s="16">
        <f>SUM(F354:O354)</f>
        <v>900</v>
      </c>
    </row>
    <row r="355" spans="1:16" ht="13.5" customHeight="1">
      <c r="A355" s="78"/>
      <c r="B355" s="78"/>
      <c r="C355" s="1215" t="s">
        <v>1419</v>
      </c>
      <c r="D355" s="1216"/>
      <c r="E355" s="210">
        <v>2</v>
      </c>
      <c r="F355" s="16"/>
      <c r="G355" s="16"/>
      <c r="H355" s="16"/>
      <c r="I355" s="16"/>
      <c r="J355" s="16">
        <v>4000</v>
      </c>
      <c r="K355" s="16"/>
      <c r="L355" s="16"/>
      <c r="M355" s="16"/>
      <c r="N355" s="16"/>
      <c r="O355" s="16"/>
      <c r="P355" s="16">
        <f>SUM(F355:O355)</f>
        <v>4000</v>
      </c>
    </row>
    <row r="356" spans="1:16" ht="24.75" customHeight="1">
      <c r="A356" s="78"/>
      <c r="B356" s="78"/>
      <c r="C356" s="1283" t="s">
        <v>513</v>
      </c>
      <c r="D356" s="1284"/>
      <c r="E356" s="210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3.5" customHeight="1">
      <c r="A357" s="78"/>
      <c r="B357" s="78"/>
      <c r="C357" s="15" t="s">
        <v>1721</v>
      </c>
      <c r="D357" s="140"/>
      <c r="E357" s="140">
        <v>2</v>
      </c>
      <c r="F357" s="16"/>
      <c r="G357" s="16"/>
      <c r="H357" s="16"/>
      <c r="I357" s="16"/>
      <c r="J357" s="16">
        <v>5000</v>
      </c>
      <c r="K357" s="16"/>
      <c r="L357" s="16"/>
      <c r="M357" s="16"/>
      <c r="N357" s="16"/>
      <c r="O357" s="16"/>
      <c r="P357" s="16">
        <f>SUM(F357:O357)</f>
        <v>5000</v>
      </c>
    </row>
    <row r="358" spans="1:16" ht="13.5" customHeight="1">
      <c r="A358" s="78"/>
      <c r="B358" s="78"/>
      <c r="C358" s="1215" t="s">
        <v>696</v>
      </c>
      <c r="D358" s="1216"/>
      <c r="E358" s="210">
        <v>2</v>
      </c>
      <c r="F358" s="16"/>
      <c r="G358" s="16"/>
      <c r="H358" s="16"/>
      <c r="I358" s="16"/>
      <c r="J358" s="16">
        <v>3000</v>
      </c>
      <c r="K358" s="16"/>
      <c r="L358" s="16"/>
      <c r="M358" s="16"/>
      <c r="N358" s="16"/>
      <c r="O358" s="16"/>
      <c r="P358" s="16">
        <f>SUM(F358:O358)</f>
        <v>3000</v>
      </c>
    </row>
    <row r="359" spans="1:16" ht="24.75" customHeight="1">
      <c r="A359" s="78"/>
      <c r="B359" s="78"/>
      <c r="C359" s="1283" t="s">
        <v>756</v>
      </c>
      <c r="D359" s="1284"/>
      <c r="E359" s="210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>
        <f>SUM(F359:O359)</f>
        <v>0</v>
      </c>
    </row>
    <row r="360" spans="1:16" ht="13.5" customHeight="1">
      <c r="A360" s="78"/>
      <c r="B360" s="78"/>
      <c r="C360" s="15" t="s">
        <v>757</v>
      </c>
      <c r="D360" s="140"/>
      <c r="E360" s="140">
        <v>2</v>
      </c>
      <c r="F360" s="16"/>
      <c r="G360" s="16"/>
      <c r="H360" s="16"/>
      <c r="I360" s="16"/>
      <c r="J360" s="16">
        <v>5000</v>
      </c>
      <c r="K360" s="16"/>
      <c r="L360" s="16"/>
      <c r="M360" s="16"/>
      <c r="N360" s="16"/>
      <c r="O360" s="16"/>
      <c r="P360" s="16">
        <f>SUM(F360:O360)</f>
        <v>5000</v>
      </c>
    </row>
    <row r="361" spans="1:16" ht="31.5" customHeight="1">
      <c r="A361" s="78"/>
      <c r="B361" s="78"/>
      <c r="C361" s="1283" t="s">
        <v>1647</v>
      </c>
      <c r="D361" s="1284"/>
      <c r="E361" s="210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5" customHeight="1">
      <c r="A362" s="78"/>
      <c r="B362" s="78"/>
      <c r="C362" s="1215" t="s">
        <v>758</v>
      </c>
      <c r="D362" s="1216"/>
      <c r="E362" s="210">
        <v>2</v>
      </c>
      <c r="F362" s="16"/>
      <c r="G362" s="16"/>
      <c r="H362" s="16"/>
      <c r="I362" s="16"/>
      <c r="J362" s="16">
        <v>2200</v>
      </c>
      <c r="K362" s="16"/>
      <c r="L362" s="16"/>
      <c r="M362" s="16"/>
      <c r="N362" s="16"/>
      <c r="O362" s="16"/>
      <c r="P362" s="16">
        <f>SUM(F362:O362)</f>
        <v>2200</v>
      </c>
    </row>
    <row r="363" spans="1:16" ht="24" customHeight="1">
      <c r="A363" s="78"/>
      <c r="B363" s="78"/>
      <c r="C363" s="1292" t="s">
        <v>1034</v>
      </c>
      <c r="D363" s="1293"/>
      <c r="E363" s="21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>
        <f>SUM(F363:O363)</f>
        <v>0</v>
      </c>
    </row>
    <row r="364" spans="1:16" ht="15" customHeight="1">
      <c r="A364" s="78"/>
      <c r="B364" s="78"/>
      <c r="C364" s="1235" t="s">
        <v>1035</v>
      </c>
      <c r="D364" s="1236"/>
      <c r="E364" s="210">
        <v>1</v>
      </c>
      <c r="F364" s="16"/>
      <c r="G364" s="16"/>
      <c r="H364" s="16"/>
      <c r="I364" s="16"/>
      <c r="J364" s="16">
        <v>1100</v>
      </c>
      <c r="K364" s="16"/>
      <c r="L364" s="16"/>
      <c r="M364" s="16"/>
      <c r="N364" s="16"/>
      <c r="O364" s="16"/>
      <c r="P364" s="16">
        <f>SUM(F364:O364)</f>
        <v>1100</v>
      </c>
    </row>
    <row r="365" spans="1:16" ht="13.5" customHeight="1">
      <c r="A365" s="78"/>
      <c r="B365" s="78"/>
      <c r="C365" s="139" t="s">
        <v>1650</v>
      </c>
      <c r="D365" s="79"/>
      <c r="E365" s="79"/>
      <c r="F365" s="16"/>
      <c r="G365" s="16"/>
      <c r="H365" s="16"/>
      <c r="I365" s="16"/>
      <c r="J365" s="16"/>
      <c r="K365" s="16"/>
      <c r="L365" s="16">
        <v>10000</v>
      </c>
      <c r="M365" s="16"/>
      <c r="N365" s="16"/>
      <c r="O365" s="16"/>
      <c r="P365" s="16">
        <f>SUM(F365:O365)</f>
        <v>10000</v>
      </c>
    </row>
    <row r="366" spans="1:16" ht="15.75" customHeight="1">
      <c r="A366" s="68"/>
      <c r="B366" s="68"/>
      <c r="C366" s="71" t="s">
        <v>1651</v>
      </c>
      <c r="D366" s="72"/>
      <c r="E366" s="72"/>
      <c r="F366" s="76">
        <f>SUM(F343:F365)</f>
        <v>0</v>
      </c>
      <c r="G366" s="76">
        <f>SUM(G343:G365)</f>
        <v>0</v>
      </c>
      <c r="H366" s="76">
        <f>SUM(H343:H365)</f>
        <v>0</v>
      </c>
      <c r="I366" s="76">
        <f>SUM(I343:I365)</f>
        <v>0</v>
      </c>
      <c r="J366" s="76">
        <f>SUM(J343:J365)</f>
        <v>329818</v>
      </c>
      <c r="K366" s="76">
        <f>SUM(K365)</f>
        <v>0</v>
      </c>
      <c r="L366" s="76">
        <f>SUM(L365)</f>
        <v>10000</v>
      </c>
      <c r="M366" s="76">
        <f>SUM(M365)</f>
        <v>0</v>
      </c>
      <c r="N366" s="76"/>
      <c r="O366" s="76">
        <f>SUM(O365)</f>
        <v>0</v>
      </c>
      <c r="P366" s="76">
        <f>SUM(P344:P365)</f>
        <v>339818</v>
      </c>
    </row>
    <row r="367" spans="1:16" ht="15.75" customHeight="1">
      <c r="A367" s="68"/>
      <c r="B367" s="68"/>
      <c r="C367" s="1290" t="s">
        <v>761</v>
      </c>
      <c r="D367" s="1291"/>
      <c r="E367" s="223"/>
      <c r="F367" s="142">
        <f aca="true" t="shared" si="27" ref="F367:P367">SUM(F38+F145+F221+F225+F261+F273+F314+F316+F342+F366)</f>
        <v>60636</v>
      </c>
      <c r="G367" s="142">
        <f t="shared" si="27"/>
        <v>19397</v>
      </c>
      <c r="H367" s="142">
        <f t="shared" si="27"/>
        <v>1944262</v>
      </c>
      <c r="I367" s="142">
        <f t="shared" si="27"/>
        <v>143280</v>
      </c>
      <c r="J367" s="142">
        <f t="shared" si="27"/>
        <v>1548971</v>
      </c>
      <c r="K367" s="142">
        <f t="shared" si="27"/>
        <v>6763452</v>
      </c>
      <c r="L367" s="142">
        <f t="shared" si="27"/>
        <v>662002</v>
      </c>
      <c r="M367" s="142">
        <f t="shared" si="27"/>
        <v>516142</v>
      </c>
      <c r="N367" s="142">
        <f t="shared" si="27"/>
        <v>13244</v>
      </c>
      <c r="O367" s="142">
        <f t="shared" si="27"/>
        <v>21424</v>
      </c>
      <c r="P367" s="142">
        <f t="shared" si="27"/>
        <v>11692810</v>
      </c>
    </row>
    <row r="368" spans="1:16" ht="15.75" customHeight="1">
      <c r="A368" s="63">
        <v>2</v>
      </c>
      <c r="B368" s="63"/>
      <c r="C368" s="46" t="s">
        <v>1621</v>
      </c>
      <c r="D368" s="65"/>
      <c r="E368" s="65"/>
      <c r="F368" s="56">
        <v>2891129</v>
      </c>
      <c r="G368" s="56">
        <v>790002</v>
      </c>
      <c r="H368" s="56">
        <v>2473578</v>
      </c>
      <c r="I368" s="56"/>
      <c r="J368" s="56">
        <v>34173</v>
      </c>
      <c r="K368" s="138">
        <v>37447</v>
      </c>
      <c r="L368" s="138">
        <v>39879</v>
      </c>
      <c r="M368" s="138"/>
      <c r="N368" s="138"/>
      <c r="O368" s="138"/>
      <c r="P368" s="138">
        <f>SUM(F368:O368)</f>
        <v>6266208</v>
      </c>
    </row>
    <row r="369" spans="1:16" ht="15.75" customHeight="1">
      <c r="A369" s="68"/>
      <c r="B369" s="68"/>
      <c r="C369" s="71" t="s">
        <v>1599</v>
      </c>
      <c r="D369" s="72"/>
      <c r="E369" s="220"/>
      <c r="F369" s="42">
        <f aca="true" t="shared" si="28" ref="F369:O369">SUM(F367:F368)</f>
        <v>2951765</v>
      </c>
      <c r="G369" s="42">
        <f t="shared" si="28"/>
        <v>809399</v>
      </c>
      <c r="H369" s="42">
        <f t="shared" si="28"/>
        <v>4417840</v>
      </c>
      <c r="I369" s="42">
        <f t="shared" si="28"/>
        <v>143280</v>
      </c>
      <c r="J369" s="42">
        <f t="shared" si="28"/>
        <v>1583144</v>
      </c>
      <c r="K369" s="76">
        <f t="shared" si="28"/>
        <v>6800899</v>
      </c>
      <c r="L369" s="76">
        <f t="shared" si="28"/>
        <v>701881</v>
      </c>
      <c r="M369" s="76">
        <f t="shared" si="28"/>
        <v>516142</v>
      </c>
      <c r="N369" s="76">
        <f t="shared" si="28"/>
        <v>13244</v>
      </c>
      <c r="O369" s="76">
        <f t="shared" si="28"/>
        <v>21424</v>
      </c>
      <c r="P369" s="76">
        <f>SUM(P367:P368)</f>
        <v>17959018</v>
      </c>
    </row>
    <row r="370" spans="1:16" ht="15.75" customHeight="1">
      <c r="A370" s="191"/>
      <c r="B370" s="191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3"/>
      <c r="N370" s="193"/>
      <c r="O370" s="193"/>
      <c r="P370" s="192"/>
    </row>
    <row r="371" spans="1:16" ht="1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1:16" ht="1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1:16" ht="1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1:16" ht="1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1:16" ht="1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</sheetData>
  <sheetProtection/>
  <mergeCells count="157">
    <mergeCell ref="C203:D203"/>
    <mergeCell ref="C180:D180"/>
    <mergeCell ref="C198:D198"/>
    <mergeCell ref="C183:D183"/>
    <mergeCell ref="C178:D178"/>
    <mergeCell ref="C190:D190"/>
    <mergeCell ref="C177:D177"/>
    <mergeCell ref="C181:D181"/>
    <mergeCell ref="C94:D94"/>
    <mergeCell ref="C116:D116"/>
    <mergeCell ref="C105:D105"/>
    <mergeCell ref="C43:D43"/>
    <mergeCell ref="C52:D52"/>
    <mergeCell ref="C71:D71"/>
    <mergeCell ref="C72:D72"/>
    <mergeCell ref="C53:D53"/>
    <mergeCell ref="C65:D65"/>
    <mergeCell ref="C45:D45"/>
    <mergeCell ref="C93:D93"/>
    <mergeCell ref="C91:D91"/>
    <mergeCell ref="C81:D81"/>
    <mergeCell ref="C79:D79"/>
    <mergeCell ref="C82:D82"/>
    <mergeCell ref="C87:D87"/>
    <mergeCell ref="C80:D80"/>
    <mergeCell ref="C89:D89"/>
    <mergeCell ref="C90:D90"/>
    <mergeCell ref="C88:D88"/>
    <mergeCell ref="C135:D135"/>
    <mergeCell ref="C138:D138"/>
    <mergeCell ref="C132:D132"/>
    <mergeCell ref="C134:D134"/>
    <mergeCell ref="C136:D136"/>
    <mergeCell ref="C118:D118"/>
    <mergeCell ref="C120:D120"/>
    <mergeCell ref="C124:D124"/>
    <mergeCell ref="C123:D123"/>
    <mergeCell ref="C213:D213"/>
    <mergeCell ref="C227:D227"/>
    <mergeCell ref="C214:D214"/>
    <mergeCell ref="C139:D139"/>
    <mergeCell ref="C158:D158"/>
    <mergeCell ref="C161:D161"/>
    <mergeCell ref="C210:D210"/>
    <mergeCell ref="C189:D189"/>
    <mergeCell ref="C168:D168"/>
    <mergeCell ref="C204:D204"/>
    <mergeCell ref="C240:D240"/>
    <mergeCell ref="C233:D233"/>
    <mergeCell ref="C234:D234"/>
    <mergeCell ref="C265:D265"/>
    <mergeCell ref="C238:D238"/>
    <mergeCell ref="C263:D263"/>
    <mergeCell ref="C350:D350"/>
    <mergeCell ref="C358:D358"/>
    <mergeCell ref="C351:D351"/>
    <mergeCell ref="C349:D349"/>
    <mergeCell ref="C355:D355"/>
    <mergeCell ref="C353:D353"/>
    <mergeCell ref="C352:D352"/>
    <mergeCell ref="C356:D356"/>
    <mergeCell ref="C331:D331"/>
    <mergeCell ref="C334:D334"/>
    <mergeCell ref="C348:D348"/>
    <mergeCell ref="C339:D339"/>
    <mergeCell ref="C268:D268"/>
    <mergeCell ref="C309:D309"/>
    <mergeCell ref="C305:D305"/>
    <mergeCell ref="C306:D306"/>
    <mergeCell ref="C301:D301"/>
    <mergeCell ref="C275:D275"/>
    <mergeCell ref="C295:D295"/>
    <mergeCell ref="C307:D307"/>
    <mergeCell ref="C296:D296"/>
    <mergeCell ref="C277:D277"/>
    <mergeCell ref="C318:D318"/>
    <mergeCell ref="C315:D315"/>
    <mergeCell ref="C303:D303"/>
    <mergeCell ref="C302:D302"/>
    <mergeCell ref="C304:D304"/>
    <mergeCell ref="C367:D367"/>
    <mergeCell ref="C361:D361"/>
    <mergeCell ref="C363:D363"/>
    <mergeCell ref="C362:D362"/>
    <mergeCell ref="C364:D364"/>
    <mergeCell ref="C359:D359"/>
    <mergeCell ref="C30:D30"/>
    <mergeCell ref="C32:D32"/>
    <mergeCell ref="C24:D24"/>
    <mergeCell ref="C256:D256"/>
    <mergeCell ref="C239:D239"/>
    <mergeCell ref="C137:D137"/>
    <mergeCell ref="C166:D166"/>
    <mergeCell ref="C171:D171"/>
    <mergeCell ref="C159:D159"/>
    <mergeCell ref="C163:D163"/>
    <mergeCell ref="C216:D216"/>
    <mergeCell ref="C235:D235"/>
    <mergeCell ref="C33:D33"/>
    <mergeCell ref="C207:D207"/>
    <mergeCell ref="C99:D99"/>
    <mergeCell ref="C108:D108"/>
    <mergeCell ref="C106:D106"/>
    <mergeCell ref="C114:D114"/>
    <mergeCell ref="C102:D102"/>
    <mergeCell ref="C115:D115"/>
    <mergeCell ref="C101:D101"/>
    <mergeCell ref="C285:D285"/>
    <mergeCell ref="C328:D328"/>
    <mergeCell ref="C281:D281"/>
    <mergeCell ref="C267:D267"/>
    <mergeCell ref="C176:D176"/>
    <mergeCell ref="C276:D276"/>
    <mergeCell ref="C174:D174"/>
    <mergeCell ref="C250:D250"/>
    <mergeCell ref="C266:D266"/>
    <mergeCell ref="C215:D215"/>
    <mergeCell ref="C6:D6"/>
    <mergeCell ref="C26:D26"/>
    <mergeCell ref="C12:D12"/>
    <mergeCell ref="C16:D16"/>
    <mergeCell ref="C17:D17"/>
    <mergeCell ref="C22:D22"/>
    <mergeCell ref="C9:D9"/>
    <mergeCell ref="C19:D19"/>
    <mergeCell ref="C133:D133"/>
    <mergeCell ref="C172:D172"/>
    <mergeCell ref="C41:D41"/>
    <mergeCell ref="C47:D47"/>
    <mergeCell ref="C76:D76"/>
    <mergeCell ref="C51:D51"/>
    <mergeCell ref="C44:D44"/>
    <mergeCell ref="C46:D46"/>
    <mergeCell ref="C60:D60"/>
    <mergeCell ref="C77:D77"/>
    <mergeCell ref="C278:D278"/>
    <mergeCell ref="C300:D300"/>
    <mergeCell ref="C175:D175"/>
    <mergeCell ref="C291:D291"/>
    <mergeCell ref="C298:D298"/>
    <mergeCell ref="C229:D229"/>
    <mergeCell ref="C269:D269"/>
    <mergeCell ref="C253:D253"/>
    <mergeCell ref="C236:D236"/>
    <mergeCell ref="C237:D237"/>
    <mergeCell ref="F1:M1"/>
    <mergeCell ref="N1:O1"/>
    <mergeCell ref="A1:A2"/>
    <mergeCell ref="B1:B2"/>
    <mergeCell ref="C1:D2"/>
    <mergeCell ref="E1:E2"/>
    <mergeCell ref="C78:D78"/>
    <mergeCell ref="C69:D69"/>
    <mergeCell ref="C75:D75"/>
    <mergeCell ref="C49:D49"/>
    <mergeCell ref="C73:D73"/>
    <mergeCell ref="C74:D74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2014. ÉVBEN&amp;R&amp;"Times New Roman CE,Félkövér dőlt"6.a melléklet
Adatok ezer Ft-ban</oddHeader>
    <oddFooter>&amp;LFeladat jellege:
1=kötelező
2=önként vállalt
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7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E67" sqref="E67:E206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93" customFormat="1" ht="24.75" customHeight="1">
      <c r="A1" s="1347" t="s">
        <v>679</v>
      </c>
      <c r="B1" s="1349" t="s">
        <v>680</v>
      </c>
      <c r="C1" s="1350" t="s">
        <v>1345</v>
      </c>
      <c r="D1" s="1351"/>
      <c r="E1" s="1354" t="s">
        <v>1638</v>
      </c>
      <c r="F1" s="1356" t="s">
        <v>1359</v>
      </c>
      <c r="G1" s="1357"/>
      <c r="H1" s="1357"/>
      <c r="I1" s="1357"/>
      <c r="J1" s="1357"/>
      <c r="K1" s="1357"/>
      <c r="L1" s="1357"/>
      <c r="M1" s="1357"/>
      <c r="N1" s="1358" t="s">
        <v>1358</v>
      </c>
      <c r="O1" s="1358"/>
      <c r="P1" s="1345" t="s">
        <v>1348</v>
      </c>
      <c r="Q1" s="1301" t="s">
        <v>884</v>
      </c>
    </row>
    <row r="2" spans="1:17" ht="63.75" customHeight="1">
      <c r="A2" s="1348"/>
      <c r="B2" s="1242"/>
      <c r="C2" s="1352"/>
      <c r="D2" s="1353"/>
      <c r="E2" s="1355"/>
      <c r="F2" s="233" t="s">
        <v>50</v>
      </c>
      <c r="G2" s="233" t="s">
        <v>806</v>
      </c>
      <c r="H2" s="233" t="s">
        <v>1646</v>
      </c>
      <c r="I2" s="233" t="s">
        <v>885</v>
      </c>
      <c r="J2" s="233" t="s">
        <v>1031</v>
      </c>
      <c r="K2" s="233" t="s">
        <v>1015</v>
      </c>
      <c r="L2" s="233" t="s">
        <v>1014</v>
      </c>
      <c r="M2" s="233" t="s">
        <v>886</v>
      </c>
      <c r="N2" s="233" t="s">
        <v>807</v>
      </c>
      <c r="O2" s="494" t="s">
        <v>1368</v>
      </c>
      <c r="P2" s="1346"/>
      <c r="Q2" s="1302"/>
    </row>
    <row r="3" spans="1:17" ht="13.5" customHeight="1">
      <c r="A3" s="269">
        <v>1</v>
      </c>
      <c r="B3" s="269"/>
      <c r="C3" s="495" t="s">
        <v>1619</v>
      </c>
      <c r="D3" s="59"/>
      <c r="E3" s="271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7"/>
      <c r="Q3" s="498"/>
    </row>
    <row r="4" spans="1:17" ht="13.5" customHeight="1">
      <c r="A4" s="8">
        <v>1</v>
      </c>
      <c r="B4" s="8">
        <v>1</v>
      </c>
      <c r="C4" s="58" t="s">
        <v>1547</v>
      </c>
      <c r="D4" s="59"/>
      <c r="E4" s="16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499"/>
    </row>
    <row r="5" spans="1:17" ht="13.5" customHeight="1">
      <c r="A5" s="8">
        <v>1</v>
      </c>
      <c r="B5" s="8">
        <v>12</v>
      </c>
      <c r="C5" s="623" t="s">
        <v>158</v>
      </c>
      <c r="D5" s="624"/>
      <c r="E5" s="16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499"/>
    </row>
    <row r="6" spans="1:17" ht="13.5" customHeight="1">
      <c r="A6" s="8"/>
      <c r="B6" s="8"/>
      <c r="C6" s="623" t="s">
        <v>887</v>
      </c>
      <c r="D6" s="1359"/>
      <c r="E6" s="500">
        <v>1</v>
      </c>
      <c r="F6" s="235"/>
      <c r="G6" s="235"/>
      <c r="H6" s="235"/>
      <c r="I6" s="235">
        <v>20003</v>
      </c>
      <c r="J6" s="235"/>
      <c r="K6" s="235"/>
      <c r="L6" s="9"/>
      <c r="M6" s="9"/>
      <c r="N6" s="9"/>
      <c r="O6" s="9"/>
      <c r="P6" s="12">
        <f>SUM(F6:O6)</f>
        <v>20003</v>
      </c>
      <c r="Q6" s="499" t="s">
        <v>809</v>
      </c>
    </row>
    <row r="7" spans="1:17" ht="13.5" customHeight="1">
      <c r="A7" s="8"/>
      <c r="B7" s="8"/>
      <c r="C7" s="12" t="s">
        <v>44</v>
      </c>
      <c r="D7" s="140"/>
      <c r="E7" s="500">
        <v>1</v>
      </c>
      <c r="F7" s="235"/>
      <c r="G7" s="235"/>
      <c r="H7" s="235"/>
      <c r="I7" s="235">
        <v>60332</v>
      </c>
      <c r="J7" s="235"/>
      <c r="K7" s="235"/>
      <c r="L7" s="9"/>
      <c r="M7" s="9"/>
      <c r="N7" s="9"/>
      <c r="O7" s="9"/>
      <c r="P7" s="12">
        <f>SUM(F7:O7)</f>
        <v>60332</v>
      </c>
      <c r="Q7" s="499" t="s">
        <v>809</v>
      </c>
    </row>
    <row r="8" spans="1:17" ht="13.5" customHeight="1">
      <c r="A8" s="8"/>
      <c r="B8" s="8"/>
      <c r="C8" s="590" t="s">
        <v>159</v>
      </c>
      <c r="D8" s="591"/>
      <c r="E8" s="500"/>
      <c r="F8" s="235"/>
      <c r="G8" s="235"/>
      <c r="H8" s="235"/>
      <c r="I8" s="235"/>
      <c r="J8" s="235"/>
      <c r="K8" s="235"/>
      <c r="L8" s="9"/>
      <c r="M8" s="9"/>
      <c r="N8" s="9"/>
      <c r="O8" s="9"/>
      <c r="P8" s="12"/>
      <c r="Q8" s="499"/>
    </row>
    <row r="9" spans="1:17" ht="13.5" customHeight="1">
      <c r="A9" s="8"/>
      <c r="B9" s="8"/>
      <c r="C9" s="12" t="s">
        <v>1401</v>
      </c>
      <c r="D9" s="336"/>
      <c r="E9" s="500">
        <v>1</v>
      </c>
      <c r="F9" s="235"/>
      <c r="G9" s="235"/>
      <c r="H9" s="235"/>
      <c r="I9" s="235">
        <v>22439</v>
      </c>
      <c r="J9" s="235"/>
      <c r="K9" s="235"/>
      <c r="L9" s="9"/>
      <c r="M9" s="9"/>
      <c r="N9" s="9"/>
      <c r="O9" s="9"/>
      <c r="P9" s="12">
        <f>SUM(F9:O9)</f>
        <v>22439</v>
      </c>
      <c r="Q9" s="499" t="s">
        <v>809</v>
      </c>
    </row>
    <row r="10" spans="1:17" ht="13.5" customHeight="1">
      <c r="A10" s="8"/>
      <c r="B10" s="8"/>
      <c r="C10" s="590" t="s">
        <v>623</v>
      </c>
      <c r="D10" s="591"/>
      <c r="E10" s="500"/>
      <c r="F10" s="235"/>
      <c r="G10" s="235"/>
      <c r="H10" s="235"/>
      <c r="I10" s="235"/>
      <c r="J10" s="235"/>
      <c r="K10" s="235"/>
      <c r="L10" s="9"/>
      <c r="M10" s="9"/>
      <c r="N10" s="9"/>
      <c r="O10" s="9"/>
      <c r="P10" s="12"/>
      <c r="Q10" s="499"/>
    </row>
    <row r="11" spans="1:17" ht="13.5" customHeight="1">
      <c r="A11" s="8"/>
      <c r="B11" s="8"/>
      <c r="C11" s="12" t="s">
        <v>888</v>
      </c>
      <c r="D11" s="140"/>
      <c r="E11" s="500">
        <v>1</v>
      </c>
      <c r="F11" s="235"/>
      <c r="G11" s="235"/>
      <c r="H11" s="235"/>
      <c r="I11" s="235">
        <v>19</v>
      </c>
      <c r="J11" s="235"/>
      <c r="K11" s="235"/>
      <c r="L11" s="9"/>
      <c r="M11" s="9"/>
      <c r="N11" s="9"/>
      <c r="O11" s="9"/>
      <c r="P11" s="12">
        <f>SUM(F11:O11)</f>
        <v>19</v>
      </c>
      <c r="Q11" s="499" t="s">
        <v>809</v>
      </c>
    </row>
    <row r="12" spans="1:17" ht="13.5" customHeight="1">
      <c r="A12" s="8"/>
      <c r="B12" s="8"/>
      <c r="C12" s="590" t="s">
        <v>159</v>
      </c>
      <c r="D12" s="591"/>
      <c r="E12" s="500">
        <v>1</v>
      </c>
      <c r="F12" s="235"/>
      <c r="G12" s="235"/>
      <c r="H12" s="235"/>
      <c r="I12" s="235"/>
      <c r="J12" s="235"/>
      <c r="K12" s="235"/>
      <c r="L12" s="9"/>
      <c r="M12" s="9"/>
      <c r="N12" s="9"/>
      <c r="O12" s="9"/>
      <c r="P12" s="12">
        <f>SUM(F12:O12)</f>
        <v>0</v>
      </c>
      <c r="Q12" s="499" t="s">
        <v>809</v>
      </c>
    </row>
    <row r="13" spans="1:17" ht="13.5" customHeight="1">
      <c r="A13" s="8"/>
      <c r="B13" s="8"/>
      <c r="C13" s="590" t="s">
        <v>889</v>
      </c>
      <c r="D13" s="1312"/>
      <c r="E13" s="500">
        <v>1</v>
      </c>
      <c r="F13" s="235"/>
      <c r="G13" s="235"/>
      <c r="H13" s="235"/>
      <c r="I13" s="235">
        <v>4396</v>
      </c>
      <c r="J13" s="235"/>
      <c r="K13" s="235"/>
      <c r="L13" s="9"/>
      <c r="M13" s="9"/>
      <c r="N13" s="9"/>
      <c r="O13" s="9"/>
      <c r="P13" s="12">
        <f>SUM(F13:O13)</f>
        <v>4396</v>
      </c>
      <c r="Q13" s="499" t="s">
        <v>809</v>
      </c>
    </row>
    <row r="14" spans="1:17" ht="13.5" customHeight="1">
      <c r="A14" s="8"/>
      <c r="B14" s="8"/>
      <c r="C14" s="67" t="s">
        <v>890</v>
      </c>
      <c r="D14" s="65"/>
      <c r="E14" s="501"/>
      <c r="F14" s="235"/>
      <c r="G14" s="235"/>
      <c r="H14" s="235"/>
      <c r="I14" s="235"/>
      <c r="J14" s="235"/>
      <c r="K14" s="235"/>
      <c r="L14" s="9"/>
      <c r="M14" s="9"/>
      <c r="N14" s="9"/>
      <c r="O14" s="9"/>
      <c r="P14" s="12"/>
      <c r="Q14" s="499"/>
    </row>
    <row r="15" spans="1:17" ht="13.5" customHeight="1">
      <c r="A15" s="8"/>
      <c r="B15" s="8"/>
      <c r="C15" s="14" t="s">
        <v>1357</v>
      </c>
      <c r="D15" s="65"/>
      <c r="E15" s="501">
        <v>1</v>
      </c>
      <c r="F15" s="235"/>
      <c r="G15" s="235"/>
      <c r="H15" s="235"/>
      <c r="I15" s="235"/>
      <c r="J15" s="235">
        <v>-2000</v>
      </c>
      <c r="K15" s="235"/>
      <c r="L15" s="9"/>
      <c r="M15" s="9"/>
      <c r="N15" s="9"/>
      <c r="O15" s="9"/>
      <c r="P15" s="12">
        <f>SUM(F15:O15)</f>
        <v>-2000</v>
      </c>
      <c r="Q15" s="499" t="s">
        <v>809</v>
      </c>
    </row>
    <row r="16" spans="1:17" ht="13.5" customHeight="1">
      <c r="A16" s="8"/>
      <c r="B16" s="8"/>
      <c r="C16" s="1217" t="s">
        <v>162</v>
      </c>
      <c r="D16" s="1218"/>
      <c r="E16" s="502"/>
      <c r="F16" s="235"/>
      <c r="G16" s="235"/>
      <c r="H16" s="235"/>
      <c r="I16" s="235"/>
      <c r="J16" s="235"/>
      <c r="K16" s="235"/>
      <c r="L16" s="9"/>
      <c r="M16" s="9"/>
      <c r="N16" s="9"/>
      <c r="O16" s="9"/>
      <c r="P16" s="12"/>
      <c r="Q16" s="499"/>
    </row>
    <row r="17" spans="1:17" ht="13.5" customHeight="1">
      <c r="A17" s="8"/>
      <c r="B17" s="8"/>
      <c r="C17" s="91" t="s">
        <v>704</v>
      </c>
      <c r="D17" s="94"/>
      <c r="E17" s="503">
        <v>2</v>
      </c>
      <c r="F17" s="235"/>
      <c r="G17" s="235"/>
      <c r="H17" s="235">
        <v>-1975</v>
      </c>
      <c r="I17" s="235"/>
      <c r="J17" s="235"/>
      <c r="K17" s="235"/>
      <c r="L17" s="9"/>
      <c r="M17" s="9"/>
      <c r="N17" s="9"/>
      <c r="O17" s="9"/>
      <c r="P17" s="12">
        <f>SUM(F17:O17)</f>
        <v>-1975</v>
      </c>
      <c r="Q17" s="499" t="s">
        <v>809</v>
      </c>
    </row>
    <row r="18" spans="1:17" ht="13.5" customHeight="1">
      <c r="A18" s="8"/>
      <c r="B18" s="8"/>
      <c r="C18" s="581" t="s">
        <v>891</v>
      </c>
      <c r="D18" s="582"/>
      <c r="E18" s="503"/>
      <c r="F18" s="235"/>
      <c r="G18" s="235"/>
      <c r="H18" s="235"/>
      <c r="I18" s="235"/>
      <c r="J18" s="235"/>
      <c r="K18" s="235"/>
      <c r="L18" s="9"/>
      <c r="M18" s="9"/>
      <c r="N18" s="9"/>
      <c r="O18" s="9"/>
      <c r="P18" s="12"/>
      <c r="Q18" s="499"/>
    </row>
    <row r="19" spans="1:17" ht="13.5" customHeight="1">
      <c r="A19" s="8"/>
      <c r="B19" s="8"/>
      <c r="C19" s="15" t="s">
        <v>1581</v>
      </c>
      <c r="D19" s="79"/>
      <c r="E19" s="504">
        <v>1</v>
      </c>
      <c r="F19" s="235"/>
      <c r="G19" s="235"/>
      <c r="H19" s="235"/>
      <c r="I19" s="235">
        <v>-800</v>
      </c>
      <c r="J19" s="235">
        <v>800</v>
      </c>
      <c r="K19" s="235"/>
      <c r="L19" s="9"/>
      <c r="M19" s="9"/>
      <c r="N19" s="9"/>
      <c r="O19" s="9"/>
      <c r="P19" s="12">
        <f>SUM(F19:O19)</f>
        <v>0</v>
      </c>
      <c r="Q19" s="499" t="s">
        <v>809</v>
      </c>
    </row>
    <row r="20" spans="1:17" ht="13.5" customHeight="1">
      <c r="A20" s="505"/>
      <c r="B20" s="505"/>
      <c r="C20" s="506" t="s">
        <v>892</v>
      </c>
      <c r="D20" s="507"/>
      <c r="E20" s="508"/>
      <c r="F20" s="509">
        <f aca="true" t="shared" si="0" ref="F20:M20">SUM(F5:F19)</f>
        <v>0</v>
      </c>
      <c r="G20" s="509">
        <f t="shared" si="0"/>
        <v>0</v>
      </c>
      <c r="H20" s="509">
        <f t="shared" si="0"/>
        <v>-1975</v>
      </c>
      <c r="I20" s="509">
        <f t="shared" si="0"/>
        <v>106389</v>
      </c>
      <c r="J20" s="509">
        <f t="shared" si="0"/>
        <v>-1200</v>
      </c>
      <c r="K20" s="509">
        <f t="shared" si="0"/>
        <v>0</v>
      </c>
      <c r="L20" s="509">
        <f t="shared" si="0"/>
        <v>0</v>
      </c>
      <c r="M20" s="509">
        <f t="shared" si="0"/>
        <v>0</v>
      </c>
      <c r="N20" s="509"/>
      <c r="O20" s="509">
        <f>SUM(O5:O19)</f>
        <v>0</v>
      </c>
      <c r="P20" s="509">
        <f>SUM(P5:P19)</f>
        <v>103214</v>
      </c>
      <c r="Q20" s="510"/>
    </row>
    <row r="21" spans="1:17" ht="13.5" customHeight="1">
      <c r="A21" s="8"/>
      <c r="B21" s="8"/>
      <c r="C21" s="456" t="s">
        <v>893</v>
      </c>
      <c r="D21" s="59"/>
      <c r="E21" s="511"/>
      <c r="F21" s="9"/>
      <c r="G21" s="9"/>
      <c r="H21" s="9"/>
      <c r="I21" s="9"/>
      <c r="J21" s="9"/>
      <c r="K21" s="9">
        <f>'[1]7'!J7</f>
        <v>0</v>
      </c>
      <c r="L21" s="9"/>
      <c r="M21" s="9">
        <f>'[1]7'!K7</f>
        <v>0</v>
      </c>
      <c r="N21" s="9"/>
      <c r="O21" s="9"/>
      <c r="P21" s="12">
        <f>SUM(F21:O21)</f>
        <v>0</v>
      </c>
      <c r="Q21" s="499"/>
    </row>
    <row r="22" spans="1:17" ht="13.5" customHeight="1">
      <c r="A22" s="8"/>
      <c r="B22" s="8"/>
      <c r="C22" s="456" t="s">
        <v>1536</v>
      </c>
      <c r="D22" s="59"/>
      <c r="E22" s="511"/>
      <c r="F22" s="9"/>
      <c r="G22" s="9"/>
      <c r="H22" s="9"/>
      <c r="I22" s="9"/>
      <c r="J22" s="9"/>
      <c r="K22" s="9"/>
      <c r="L22" s="9"/>
      <c r="M22" s="9"/>
      <c r="N22" s="9"/>
      <c r="O22" s="9"/>
      <c r="P22" s="12">
        <f>SUM(F22:O22)</f>
        <v>0</v>
      </c>
      <c r="Q22" s="499"/>
    </row>
    <row r="23" spans="1:17" ht="13.5" customHeight="1">
      <c r="A23" s="505"/>
      <c r="B23" s="505"/>
      <c r="C23" s="506" t="s">
        <v>23</v>
      </c>
      <c r="D23" s="507"/>
      <c r="E23" s="512"/>
      <c r="F23" s="509">
        <f aca="true" t="shared" si="1" ref="F23:M23">SUM(F20:F22)</f>
        <v>0</v>
      </c>
      <c r="G23" s="509">
        <f t="shared" si="1"/>
        <v>0</v>
      </c>
      <c r="H23" s="509">
        <f t="shared" si="1"/>
        <v>-1975</v>
      </c>
      <c r="I23" s="509">
        <f t="shared" si="1"/>
        <v>106389</v>
      </c>
      <c r="J23" s="509">
        <f t="shared" si="1"/>
        <v>-1200</v>
      </c>
      <c r="K23" s="509">
        <f t="shared" si="1"/>
        <v>0</v>
      </c>
      <c r="L23" s="509">
        <f t="shared" si="1"/>
        <v>0</v>
      </c>
      <c r="M23" s="509">
        <f t="shared" si="1"/>
        <v>0</v>
      </c>
      <c r="N23" s="509"/>
      <c r="O23" s="509">
        <f>SUM(O20:O22)</f>
        <v>0</v>
      </c>
      <c r="P23" s="509">
        <f>SUM(P20:P22)</f>
        <v>103214</v>
      </c>
      <c r="Q23" s="510"/>
    </row>
    <row r="24" spans="1:17" ht="13.5" customHeight="1">
      <c r="A24" s="63">
        <v>1</v>
      </c>
      <c r="B24" s="63">
        <v>13</v>
      </c>
      <c r="C24" s="46" t="s">
        <v>20</v>
      </c>
      <c r="D24" s="74"/>
      <c r="E24" s="513"/>
      <c r="F24" s="9"/>
      <c r="G24" s="9"/>
      <c r="H24" s="9"/>
      <c r="I24" s="9"/>
      <c r="J24" s="9"/>
      <c r="K24" s="9"/>
      <c r="L24" s="9"/>
      <c r="M24" s="9"/>
      <c r="N24" s="9"/>
      <c r="O24" s="9"/>
      <c r="P24" s="12"/>
      <c r="Q24" s="499"/>
    </row>
    <row r="25" spans="1:17" ht="13.5" customHeight="1">
      <c r="A25" s="63"/>
      <c r="B25" s="63"/>
      <c r="C25" s="514" t="s">
        <v>1027</v>
      </c>
      <c r="D25" s="74"/>
      <c r="E25" s="513"/>
      <c r="F25" s="9"/>
      <c r="G25" s="9"/>
      <c r="H25" s="9"/>
      <c r="I25" s="9"/>
      <c r="J25" s="9"/>
      <c r="K25" s="9"/>
      <c r="L25" s="9"/>
      <c r="M25" s="9"/>
      <c r="N25" s="9"/>
      <c r="O25" s="9"/>
      <c r="P25" s="12"/>
      <c r="Q25" s="499"/>
    </row>
    <row r="26" spans="1:17" ht="13.5" customHeight="1">
      <c r="A26" s="63"/>
      <c r="B26" s="63"/>
      <c r="C26" s="1221" t="s">
        <v>1254</v>
      </c>
      <c r="D26" s="1222"/>
      <c r="E26" s="515"/>
      <c r="F26" s="9"/>
      <c r="G26" s="9"/>
      <c r="H26" s="235"/>
      <c r="I26" s="235"/>
      <c r="J26" s="235"/>
      <c r="K26" s="9"/>
      <c r="L26" s="9"/>
      <c r="M26" s="9"/>
      <c r="N26" s="9"/>
      <c r="O26" s="9"/>
      <c r="P26" s="12"/>
      <c r="Q26" s="499"/>
    </row>
    <row r="27" spans="1:17" ht="13.5" customHeight="1">
      <c r="A27" s="63"/>
      <c r="B27" s="63"/>
      <c r="C27" s="1235" t="s">
        <v>894</v>
      </c>
      <c r="D27" s="1237"/>
      <c r="E27" s="515">
        <v>2</v>
      </c>
      <c r="F27" s="9"/>
      <c r="G27" s="9"/>
      <c r="H27" s="235"/>
      <c r="I27" s="235"/>
      <c r="J27" s="235">
        <v>105</v>
      </c>
      <c r="K27" s="9"/>
      <c r="L27" s="9"/>
      <c r="M27" s="9"/>
      <c r="N27" s="9"/>
      <c r="O27" s="9"/>
      <c r="P27" s="12">
        <f>SUM(F27:O27)</f>
        <v>105</v>
      </c>
      <c r="Q27" s="499" t="s">
        <v>809</v>
      </c>
    </row>
    <row r="28" spans="1:17" ht="24.75" customHeight="1">
      <c r="A28" s="63"/>
      <c r="B28" s="63"/>
      <c r="C28" s="1233" t="s">
        <v>895</v>
      </c>
      <c r="D28" s="1234"/>
      <c r="E28" s="516">
        <v>2</v>
      </c>
      <c r="F28" s="235">
        <v>750</v>
      </c>
      <c r="G28" s="235">
        <v>203</v>
      </c>
      <c r="H28" s="235">
        <v>497</v>
      </c>
      <c r="I28" s="235"/>
      <c r="J28" s="235"/>
      <c r="K28" s="9"/>
      <c r="L28" s="9"/>
      <c r="M28" s="9"/>
      <c r="N28" s="9"/>
      <c r="O28" s="9"/>
      <c r="P28" s="12">
        <f>SUM(F28:O28)</f>
        <v>1450</v>
      </c>
      <c r="Q28" s="499" t="s">
        <v>809</v>
      </c>
    </row>
    <row r="29" spans="1:17" ht="15.75" customHeight="1">
      <c r="A29" s="63"/>
      <c r="B29" s="63"/>
      <c r="C29" s="1299" t="s">
        <v>1028</v>
      </c>
      <c r="D29" s="1300"/>
      <c r="E29" s="516"/>
      <c r="F29" s="235"/>
      <c r="G29" s="235"/>
      <c r="H29" s="235"/>
      <c r="I29" s="235"/>
      <c r="J29" s="235"/>
      <c r="K29" s="9"/>
      <c r="L29" s="9"/>
      <c r="M29" s="9"/>
      <c r="N29" s="9"/>
      <c r="O29" s="9"/>
      <c r="P29" s="12"/>
      <c r="Q29" s="499"/>
    </row>
    <row r="30" spans="1:17" ht="24.75" customHeight="1">
      <c r="A30" s="63"/>
      <c r="B30" s="63"/>
      <c r="C30" s="1233" t="s">
        <v>1256</v>
      </c>
      <c r="D30" s="1234"/>
      <c r="E30" s="517"/>
      <c r="F30" s="9"/>
      <c r="G30" s="9"/>
      <c r="H30" s="235"/>
      <c r="I30" s="235"/>
      <c r="J30" s="235"/>
      <c r="K30" s="9"/>
      <c r="L30" s="9"/>
      <c r="M30" s="9"/>
      <c r="N30" s="9"/>
      <c r="O30" s="9"/>
      <c r="P30" s="12"/>
      <c r="Q30" s="499"/>
    </row>
    <row r="31" spans="1:17" ht="13.5" customHeight="1">
      <c r="A31" s="63"/>
      <c r="B31" s="63"/>
      <c r="C31" s="14" t="s">
        <v>1539</v>
      </c>
      <c r="D31" s="65"/>
      <c r="E31" s="501">
        <v>2</v>
      </c>
      <c r="F31" s="9"/>
      <c r="G31" s="9"/>
      <c r="H31" s="235">
        <v>54</v>
      </c>
      <c r="I31" s="235"/>
      <c r="J31" s="235">
        <v>100</v>
      </c>
      <c r="K31" s="9"/>
      <c r="L31" s="9"/>
      <c r="M31" s="9"/>
      <c r="N31" s="9"/>
      <c r="O31" s="9"/>
      <c r="P31" s="12">
        <f>SUM(F31:O31)</f>
        <v>154</v>
      </c>
      <c r="Q31" s="499" t="s">
        <v>809</v>
      </c>
    </row>
    <row r="32" spans="1:17" ht="15" customHeight="1">
      <c r="A32" s="63"/>
      <c r="B32" s="63"/>
      <c r="C32" s="14" t="s">
        <v>1540</v>
      </c>
      <c r="D32" s="65"/>
      <c r="E32" s="518">
        <v>2</v>
      </c>
      <c r="F32" s="9"/>
      <c r="G32" s="9"/>
      <c r="H32" s="235">
        <v>39</v>
      </c>
      <c r="I32" s="235"/>
      <c r="J32" s="235"/>
      <c r="K32" s="9"/>
      <c r="L32" s="9"/>
      <c r="M32" s="9"/>
      <c r="N32" s="9"/>
      <c r="O32" s="9"/>
      <c r="P32" s="12">
        <f>SUM(F32:O32)</f>
        <v>39</v>
      </c>
      <c r="Q32" s="499" t="s">
        <v>809</v>
      </c>
    </row>
    <row r="33" spans="1:17" ht="15" customHeight="1">
      <c r="A33" s="63"/>
      <c r="B33" s="63"/>
      <c r="C33" s="64" t="s">
        <v>1257</v>
      </c>
      <c r="D33" s="65"/>
      <c r="E33" s="519"/>
      <c r="F33" s="9"/>
      <c r="G33" s="9"/>
      <c r="H33" s="235"/>
      <c r="I33" s="235"/>
      <c r="J33" s="235"/>
      <c r="K33" s="9"/>
      <c r="L33" s="9"/>
      <c r="M33" s="9"/>
      <c r="N33" s="9"/>
      <c r="O33" s="9"/>
      <c r="P33" s="12"/>
      <c r="Q33" s="499"/>
    </row>
    <row r="34" spans="1:17" ht="13.5" customHeight="1">
      <c r="A34" s="63"/>
      <c r="B34" s="63"/>
      <c r="C34" s="14" t="s">
        <v>896</v>
      </c>
      <c r="D34" s="65"/>
      <c r="E34" s="501">
        <v>2</v>
      </c>
      <c r="F34" s="9"/>
      <c r="G34" s="9"/>
      <c r="H34" s="235">
        <v>14</v>
      </c>
      <c r="I34" s="235"/>
      <c r="J34" s="235"/>
      <c r="K34" s="9"/>
      <c r="L34" s="9"/>
      <c r="M34" s="9"/>
      <c r="N34" s="9"/>
      <c r="O34" s="9"/>
      <c r="P34" s="12">
        <f>SUM(F34:O34)</f>
        <v>14</v>
      </c>
      <c r="Q34" s="499" t="s">
        <v>809</v>
      </c>
    </row>
    <row r="35" spans="1:17" ht="13.5" customHeight="1">
      <c r="A35" s="63"/>
      <c r="B35" s="63"/>
      <c r="C35" s="1280" t="s">
        <v>1258</v>
      </c>
      <c r="D35" s="1281"/>
      <c r="E35" s="500"/>
      <c r="F35" s="9"/>
      <c r="G35" s="9"/>
      <c r="H35" s="235"/>
      <c r="I35" s="235"/>
      <c r="J35" s="235"/>
      <c r="K35" s="9"/>
      <c r="L35" s="9"/>
      <c r="M35" s="9"/>
      <c r="N35" s="9"/>
      <c r="O35" s="9"/>
      <c r="P35" s="12"/>
      <c r="Q35" s="499"/>
    </row>
    <row r="36" spans="1:17" ht="13.5" customHeight="1">
      <c r="A36" s="63"/>
      <c r="B36" s="63"/>
      <c r="C36" s="1235" t="s">
        <v>294</v>
      </c>
      <c r="D36" s="1311"/>
      <c r="E36" s="517">
        <v>2</v>
      </c>
      <c r="F36" s="9"/>
      <c r="G36" s="9"/>
      <c r="H36" s="235">
        <v>187</v>
      </c>
      <c r="I36" s="235"/>
      <c r="J36" s="235"/>
      <c r="K36" s="9"/>
      <c r="L36" s="9"/>
      <c r="M36" s="9"/>
      <c r="N36" s="9"/>
      <c r="O36" s="9"/>
      <c r="P36" s="12">
        <f>SUM(F36:O36)</f>
        <v>187</v>
      </c>
      <c r="Q36" s="499" t="s">
        <v>809</v>
      </c>
    </row>
    <row r="37" spans="1:17" ht="13.5" customHeight="1">
      <c r="A37" s="63"/>
      <c r="B37" s="63"/>
      <c r="C37" s="1233" t="s">
        <v>1088</v>
      </c>
      <c r="D37" s="1234"/>
      <c r="E37" s="518">
        <v>2</v>
      </c>
      <c r="F37" s="9"/>
      <c r="G37" s="9"/>
      <c r="H37" s="235"/>
      <c r="I37" s="235"/>
      <c r="J37" s="235">
        <v>-1000</v>
      </c>
      <c r="K37" s="9"/>
      <c r="L37" s="9"/>
      <c r="M37" s="9"/>
      <c r="N37" s="9"/>
      <c r="O37" s="9"/>
      <c r="P37" s="12">
        <f>SUM(F37:O37)</f>
        <v>-1000</v>
      </c>
      <c r="Q37" s="499" t="s">
        <v>809</v>
      </c>
    </row>
    <row r="38" spans="1:17" ht="13.5" customHeight="1">
      <c r="A38" s="63"/>
      <c r="B38" s="63"/>
      <c r="C38" s="14" t="s">
        <v>506</v>
      </c>
      <c r="D38" s="450"/>
      <c r="E38" s="518">
        <v>1</v>
      </c>
      <c r="F38" s="9"/>
      <c r="G38" s="9"/>
      <c r="H38" s="235"/>
      <c r="I38" s="235"/>
      <c r="J38" s="235">
        <v>-1000</v>
      </c>
      <c r="K38" s="9"/>
      <c r="L38" s="9"/>
      <c r="M38" s="9"/>
      <c r="N38" s="9"/>
      <c r="O38" s="9"/>
      <c r="P38" s="12">
        <f>SUM(F38:O38)</f>
        <v>-1000</v>
      </c>
      <c r="Q38" s="499" t="s">
        <v>809</v>
      </c>
    </row>
    <row r="39" spans="1:17" ht="13.5" customHeight="1">
      <c r="A39" s="63"/>
      <c r="B39" s="63"/>
      <c r="C39" s="14" t="s">
        <v>897</v>
      </c>
      <c r="D39" s="450"/>
      <c r="E39" s="518">
        <v>2</v>
      </c>
      <c r="F39" s="9"/>
      <c r="G39" s="9"/>
      <c r="H39" s="235"/>
      <c r="I39" s="235"/>
      <c r="J39" s="235">
        <v>1500</v>
      </c>
      <c r="K39" s="9"/>
      <c r="L39" s="9"/>
      <c r="M39" s="9"/>
      <c r="N39" s="9"/>
      <c r="O39" s="9"/>
      <c r="P39" s="12">
        <f>SUM(F39:O39)</f>
        <v>1500</v>
      </c>
      <c r="Q39" s="499" t="s">
        <v>809</v>
      </c>
    </row>
    <row r="40" spans="1:17" ht="13.5" customHeight="1">
      <c r="A40" s="63"/>
      <c r="B40" s="63"/>
      <c r="C40" s="1280" t="s">
        <v>163</v>
      </c>
      <c r="D40" s="1281"/>
      <c r="E40" s="500"/>
      <c r="F40" s="9"/>
      <c r="G40" s="9"/>
      <c r="H40" s="235"/>
      <c r="I40" s="235"/>
      <c r="J40" s="235"/>
      <c r="K40" s="9"/>
      <c r="L40" s="9"/>
      <c r="M40" s="9"/>
      <c r="N40" s="9"/>
      <c r="O40" s="9"/>
      <c r="P40" s="12"/>
      <c r="Q40" s="499"/>
    </row>
    <row r="41" spans="1:17" ht="13.5" customHeight="1">
      <c r="A41" s="63"/>
      <c r="B41" s="63"/>
      <c r="C41" s="14" t="s">
        <v>1541</v>
      </c>
      <c r="D41" s="65"/>
      <c r="E41" s="504">
        <v>2</v>
      </c>
      <c r="F41" s="9"/>
      <c r="G41" s="9"/>
      <c r="H41" s="235"/>
      <c r="I41" s="235"/>
      <c r="J41" s="235">
        <v>150</v>
      </c>
      <c r="K41" s="9"/>
      <c r="L41" s="9"/>
      <c r="M41" s="9"/>
      <c r="N41" s="9"/>
      <c r="O41" s="9"/>
      <c r="P41" s="12">
        <f>SUM(F41:O41)</f>
        <v>150</v>
      </c>
      <c r="Q41" s="499" t="s">
        <v>848</v>
      </c>
    </row>
    <row r="42" spans="1:17" ht="13.5" customHeight="1">
      <c r="A42" s="63"/>
      <c r="B42" s="63"/>
      <c r="C42" s="14" t="s">
        <v>898</v>
      </c>
      <c r="D42" s="520"/>
      <c r="E42" s="504">
        <v>2</v>
      </c>
      <c r="F42" s="9"/>
      <c r="G42" s="9"/>
      <c r="H42" s="235"/>
      <c r="I42" s="235"/>
      <c r="J42" s="235">
        <v>5050</v>
      </c>
      <c r="K42" s="9"/>
      <c r="L42" s="9"/>
      <c r="M42" s="9"/>
      <c r="N42" s="9"/>
      <c r="O42" s="9"/>
      <c r="P42" s="12">
        <f>SUM(F42:O42)</f>
        <v>5050</v>
      </c>
      <c r="Q42" s="499" t="s">
        <v>848</v>
      </c>
    </row>
    <row r="43" spans="1:17" ht="13.5" customHeight="1">
      <c r="A43" s="63"/>
      <c r="B43" s="63"/>
      <c r="C43" s="1233" t="s">
        <v>863</v>
      </c>
      <c r="D43" s="1234"/>
      <c r="E43" s="504">
        <v>2</v>
      </c>
      <c r="F43" s="9"/>
      <c r="G43" s="9"/>
      <c r="H43" s="235">
        <v>9700</v>
      </c>
      <c r="I43" s="235"/>
      <c r="J43" s="235"/>
      <c r="K43" s="9"/>
      <c r="L43" s="9"/>
      <c r="M43" s="9"/>
      <c r="N43" s="9"/>
      <c r="O43" s="9"/>
      <c r="P43" s="12">
        <f>SUM(F43:O43)</f>
        <v>9700</v>
      </c>
      <c r="Q43" s="499" t="s">
        <v>809</v>
      </c>
    </row>
    <row r="44" spans="1:17" ht="13.5" customHeight="1">
      <c r="A44" s="63"/>
      <c r="B44" s="63"/>
      <c r="C44" s="1319" t="s">
        <v>1588</v>
      </c>
      <c r="D44" s="1320"/>
      <c r="E44" s="504"/>
      <c r="F44" s="9"/>
      <c r="G44" s="9"/>
      <c r="H44" s="235"/>
      <c r="I44" s="235"/>
      <c r="J44" s="235"/>
      <c r="K44" s="9"/>
      <c r="L44" s="9"/>
      <c r="M44" s="9"/>
      <c r="N44" s="9"/>
      <c r="O44" s="9"/>
      <c r="P44" s="12"/>
      <c r="Q44" s="499"/>
    </row>
    <row r="45" spans="1:17" ht="13.5" customHeight="1">
      <c r="A45" s="63"/>
      <c r="B45" s="63"/>
      <c r="C45" s="1280" t="s">
        <v>164</v>
      </c>
      <c r="D45" s="1281"/>
      <c r="E45" s="500"/>
      <c r="F45" s="9"/>
      <c r="G45" s="9"/>
      <c r="H45" s="235"/>
      <c r="I45" s="235"/>
      <c r="J45" s="235"/>
      <c r="K45" s="9"/>
      <c r="L45" s="9"/>
      <c r="M45" s="9"/>
      <c r="N45" s="9"/>
      <c r="O45" s="9"/>
      <c r="P45" s="12"/>
      <c r="Q45" s="499"/>
    </row>
    <row r="46" spans="1:17" ht="13.5" customHeight="1">
      <c r="A46" s="63"/>
      <c r="B46" s="63"/>
      <c r="C46" s="14" t="s">
        <v>1290</v>
      </c>
      <c r="D46" s="65"/>
      <c r="E46" s="501">
        <v>2</v>
      </c>
      <c r="F46" s="9"/>
      <c r="G46" s="9"/>
      <c r="H46" s="235">
        <v>127</v>
      </c>
      <c r="I46" s="235"/>
      <c r="J46" s="235"/>
      <c r="K46" s="9"/>
      <c r="L46" s="9"/>
      <c r="M46" s="9"/>
      <c r="N46" s="9"/>
      <c r="O46" s="9"/>
      <c r="P46" s="12">
        <f>SUM(F46:O46)</f>
        <v>127</v>
      </c>
      <c r="Q46" s="499" t="s">
        <v>809</v>
      </c>
    </row>
    <row r="47" spans="1:17" ht="13.5" customHeight="1">
      <c r="A47" s="63"/>
      <c r="B47" s="63"/>
      <c r="C47" s="523" t="s">
        <v>167</v>
      </c>
      <c r="D47" s="1279"/>
      <c r="E47" s="517"/>
      <c r="F47" s="9"/>
      <c r="G47" s="9"/>
      <c r="H47" s="235"/>
      <c r="I47" s="235"/>
      <c r="J47" s="235"/>
      <c r="K47" s="9"/>
      <c r="L47" s="9"/>
      <c r="M47" s="9"/>
      <c r="N47" s="9"/>
      <c r="O47" s="9"/>
      <c r="P47" s="12"/>
      <c r="Q47" s="499"/>
    </row>
    <row r="48" spans="1:17" ht="13.5" customHeight="1">
      <c r="A48" s="63"/>
      <c r="B48" s="63"/>
      <c r="C48" s="14" t="s">
        <v>1292</v>
      </c>
      <c r="D48" s="65"/>
      <c r="E48" s="501">
        <v>1</v>
      </c>
      <c r="F48" s="9"/>
      <c r="G48" s="9"/>
      <c r="H48" s="235"/>
      <c r="I48" s="235"/>
      <c r="J48" s="235">
        <v>-28932</v>
      </c>
      <c r="K48" s="9"/>
      <c r="L48" s="9"/>
      <c r="M48" s="9"/>
      <c r="N48" s="9"/>
      <c r="O48" s="9"/>
      <c r="P48" s="12">
        <f>SUM(F48:O48)</f>
        <v>-28932</v>
      </c>
      <c r="Q48" s="499" t="s">
        <v>809</v>
      </c>
    </row>
    <row r="49" spans="1:17" ht="13.5" customHeight="1">
      <c r="A49" s="63"/>
      <c r="B49" s="63"/>
      <c r="C49" s="14" t="s">
        <v>166</v>
      </c>
      <c r="D49" s="65"/>
      <c r="E49" s="501"/>
      <c r="F49" s="9"/>
      <c r="G49" s="9"/>
      <c r="H49" s="235"/>
      <c r="I49" s="235"/>
      <c r="J49" s="235"/>
      <c r="K49" s="9"/>
      <c r="L49" s="9"/>
      <c r="M49" s="9"/>
      <c r="N49" s="9"/>
      <c r="O49" s="9"/>
      <c r="P49" s="12"/>
      <c r="Q49" s="499"/>
    </row>
    <row r="50" spans="1:17" ht="13.5" customHeight="1">
      <c r="A50" s="63"/>
      <c r="B50" s="63"/>
      <c r="C50" s="14" t="s">
        <v>899</v>
      </c>
      <c r="D50" s="65"/>
      <c r="E50" s="501">
        <v>1</v>
      </c>
      <c r="F50" s="9"/>
      <c r="G50" s="9"/>
      <c r="H50" s="235">
        <v>2465</v>
      </c>
      <c r="I50" s="235"/>
      <c r="J50" s="235"/>
      <c r="K50" s="9"/>
      <c r="L50" s="9"/>
      <c r="M50" s="9"/>
      <c r="N50" s="9"/>
      <c r="O50" s="9"/>
      <c r="P50" s="12">
        <f>SUM(F50:O50)</f>
        <v>2465</v>
      </c>
      <c r="Q50" s="499" t="s">
        <v>809</v>
      </c>
    </row>
    <row r="51" spans="1:17" ht="15" customHeight="1">
      <c r="A51" s="63"/>
      <c r="B51" s="63"/>
      <c r="C51" s="1235" t="s">
        <v>1261</v>
      </c>
      <c r="D51" s="1236"/>
      <c r="E51" s="501"/>
      <c r="F51" s="9"/>
      <c r="G51" s="9"/>
      <c r="H51" s="235"/>
      <c r="I51" s="235"/>
      <c r="J51" s="235"/>
      <c r="K51" s="9"/>
      <c r="L51" s="9"/>
      <c r="M51" s="9"/>
      <c r="N51" s="9"/>
      <c r="O51" s="9"/>
      <c r="P51" s="12"/>
      <c r="Q51" s="499"/>
    </row>
    <row r="52" spans="1:17" ht="15" customHeight="1">
      <c r="A52" s="63"/>
      <c r="B52" s="63"/>
      <c r="C52" s="1280" t="s">
        <v>1534</v>
      </c>
      <c r="D52" s="1281"/>
      <c r="E52" s="501">
        <v>2</v>
      </c>
      <c r="F52" s="235"/>
      <c r="G52" s="235"/>
      <c r="H52" s="235">
        <v>250</v>
      </c>
      <c r="I52" s="235"/>
      <c r="J52" s="235"/>
      <c r="K52" s="9"/>
      <c r="L52" s="9"/>
      <c r="M52" s="9"/>
      <c r="N52" s="9"/>
      <c r="O52" s="9"/>
      <c r="P52" s="12">
        <f>SUM(F52:O52)</f>
        <v>250</v>
      </c>
      <c r="Q52" s="499" t="s">
        <v>809</v>
      </c>
    </row>
    <row r="53" spans="1:17" ht="13.5" customHeight="1">
      <c r="A53" s="63"/>
      <c r="B53" s="63"/>
      <c r="C53" s="521" t="s">
        <v>296</v>
      </c>
      <c r="D53" s="65"/>
      <c r="E53" s="501"/>
      <c r="F53" s="9"/>
      <c r="G53" s="9"/>
      <c r="H53" s="235"/>
      <c r="I53" s="235"/>
      <c r="J53" s="235"/>
      <c r="K53" s="9"/>
      <c r="L53" s="9"/>
      <c r="M53" s="9"/>
      <c r="N53" s="9"/>
      <c r="O53" s="9"/>
      <c r="P53" s="12"/>
      <c r="Q53" s="499"/>
    </row>
    <row r="54" spans="1:17" ht="13.5" customHeight="1">
      <c r="A54" s="63"/>
      <c r="B54" s="63"/>
      <c r="C54" s="1221" t="s">
        <v>169</v>
      </c>
      <c r="D54" s="1222"/>
      <c r="E54" s="500"/>
      <c r="F54" s="9"/>
      <c r="G54" s="9"/>
      <c r="H54" s="235"/>
      <c r="I54" s="235"/>
      <c r="J54" s="235"/>
      <c r="K54" s="9"/>
      <c r="L54" s="9"/>
      <c r="M54" s="9"/>
      <c r="N54" s="9"/>
      <c r="O54" s="9"/>
      <c r="P54" s="12"/>
      <c r="Q54" s="499"/>
    </row>
    <row r="55" spans="1:17" ht="13.5" customHeight="1">
      <c r="A55" s="63"/>
      <c r="B55" s="63"/>
      <c r="C55" s="14" t="s">
        <v>1617</v>
      </c>
      <c r="D55" s="65"/>
      <c r="E55" s="501">
        <v>2</v>
      </c>
      <c r="F55" s="9"/>
      <c r="G55" s="9"/>
      <c r="H55" s="235"/>
      <c r="I55" s="235"/>
      <c r="J55" s="235">
        <v>53400</v>
      </c>
      <c r="K55" s="9"/>
      <c r="L55" s="9"/>
      <c r="M55" s="9"/>
      <c r="N55" s="9"/>
      <c r="O55" s="9"/>
      <c r="P55" s="12">
        <f>SUM(F55:O55)</f>
        <v>53400</v>
      </c>
      <c r="Q55" s="499" t="s">
        <v>809</v>
      </c>
    </row>
    <row r="56" spans="1:17" ht="13.5" customHeight="1">
      <c r="A56" s="63"/>
      <c r="B56" s="63"/>
      <c r="C56" s="14" t="s">
        <v>1618</v>
      </c>
      <c r="D56" s="65"/>
      <c r="E56" s="501">
        <v>2</v>
      </c>
      <c r="F56" s="9"/>
      <c r="G56" s="9"/>
      <c r="H56" s="235"/>
      <c r="I56" s="235"/>
      <c r="J56" s="235">
        <v>175</v>
      </c>
      <c r="K56" s="9"/>
      <c r="L56" s="9"/>
      <c r="M56" s="9"/>
      <c r="N56" s="9"/>
      <c r="O56" s="235"/>
      <c r="P56" s="12">
        <f>SUM(F56:O56)</f>
        <v>175</v>
      </c>
      <c r="Q56" s="499" t="s">
        <v>809</v>
      </c>
    </row>
    <row r="57" spans="1:17" ht="13.5" customHeight="1">
      <c r="A57" s="63"/>
      <c r="B57" s="63"/>
      <c r="C57" s="1221" t="s">
        <v>1016</v>
      </c>
      <c r="D57" s="1222"/>
      <c r="E57" s="501">
        <v>1</v>
      </c>
      <c r="F57" s="9"/>
      <c r="G57" s="9"/>
      <c r="H57" s="235"/>
      <c r="I57" s="235"/>
      <c r="J57" s="235">
        <v>100</v>
      </c>
      <c r="K57" s="9"/>
      <c r="L57" s="9"/>
      <c r="M57" s="9"/>
      <c r="N57" s="9"/>
      <c r="O57" s="235"/>
      <c r="P57" s="12">
        <f>SUM(F57:O57)</f>
        <v>100</v>
      </c>
      <c r="Q57" s="499" t="s">
        <v>809</v>
      </c>
    </row>
    <row r="58" spans="1:17" ht="13.5" customHeight="1">
      <c r="A58" s="63"/>
      <c r="B58" s="63"/>
      <c r="C58" s="1221" t="s">
        <v>170</v>
      </c>
      <c r="D58" s="1222"/>
      <c r="E58" s="500"/>
      <c r="F58" s="9"/>
      <c r="G58" s="9"/>
      <c r="H58" s="235"/>
      <c r="I58" s="235"/>
      <c r="J58" s="235"/>
      <c r="K58" s="9"/>
      <c r="L58" s="9"/>
      <c r="M58" s="9"/>
      <c r="N58" s="9"/>
      <c r="O58" s="9"/>
      <c r="P58" s="12">
        <f>SUM(F58:O58)</f>
        <v>0</v>
      </c>
      <c r="Q58" s="499"/>
    </row>
    <row r="59" spans="1:17" ht="13.5" customHeight="1">
      <c r="A59" s="63"/>
      <c r="B59" s="63"/>
      <c r="C59" s="15" t="s">
        <v>110</v>
      </c>
      <c r="D59" s="522"/>
      <c r="E59" s="63">
        <v>1</v>
      </c>
      <c r="F59" s="9"/>
      <c r="G59" s="9"/>
      <c r="H59" s="235">
        <v>127</v>
      </c>
      <c r="I59" s="235"/>
      <c r="J59" s="235">
        <v>100</v>
      </c>
      <c r="K59" s="9"/>
      <c r="L59" s="9"/>
      <c r="M59" s="9"/>
      <c r="N59" s="9"/>
      <c r="O59" s="9"/>
      <c r="P59" s="12">
        <f>SUM(F59:O59)</f>
        <v>227</v>
      </c>
      <c r="Q59" s="499" t="s">
        <v>809</v>
      </c>
    </row>
    <row r="60" spans="1:17" ht="13.5" customHeight="1">
      <c r="A60" s="63"/>
      <c r="B60" s="63"/>
      <c r="C60" s="598" t="s">
        <v>171</v>
      </c>
      <c r="D60" s="599"/>
      <c r="E60" s="500"/>
      <c r="F60" s="9"/>
      <c r="G60" s="9"/>
      <c r="H60" s="235"/>
      <c r="I60" s="235"/>
      <c r="J60" s="235"/>
      <c r="K60" s="9"/>
      <c r="L60" s="9"/>
      <c r="M60" s="9"/>
      <c r="N60" s="9"/>
      <c r="O60" s="9"/>
      <c r="P60" s="12"/>
      <c r="Q60" s="499"/>
    </row>
    <row r="61" spans="1:17" ht="13.5" customHeight="1">
      <c r="A61" s="63"/>
      <c r="B61" s="63"/>
      <c r="C61" s="15" t="s">
        <v>111</v>
      </c>
      <c r="D61" s="79"/>
      <c r="E61" s="524">
        <v>1</v>
      </c>
      <c r="F61" s="9"/>
      <c r="G61" s="9"/>
      <c r="H61" s="235"/>
      <c r="I61" s="235"/>
      <c r="J61" s="235">
        <v>-1900</v>
      </c>
      <c r="K61" s="9"/>
      <c r="L61" s="9"/>
      <c r="M61" s="9"/>
      <c r="N61" s="9"/>
      <c r="O61" s="9"/>
      <c r="P61" s="12">
        <f aca="true" t="shared" si="2" ref="P61:P66">SUM(F61:O61)</f>
        <v>-1900</v>
      </c>
      <c r="Q61" s="499" t="s">
        <v>809</v>
      </c>
    </row>
    <row r="62" spans="1:17" ht="13.5" customHeight="1">
      <c r="A62" s="63"/>
      <c r="B62" s="63"/>
      <c r="C62" s="1317" t="s">
        <v>113</v>
      </c>
      <c r="D62" s="1318"/>
      <c r="E62" s="524">
        <v>1</v>
      </c>
      <c r="F62" s="9"/>
      <c r="G62" s="9"/>
      <c r="H62" s="235"/>
      <c r="I62" s="235"/>
      <c r="J62" s="235">
        <v>4534</v>
      </c>
      <c r="K62" s="9"/>
      <c r="L62" s="9"/>
      <c r="M62" s="9"/>
      <c r="N62" s="9"/>
      <c r="O62" s="9"/>
      <c r="P62" s="12">
        <f t="shared" si="2"/>
        <v>4534</v>
      </c>
      <c r="Q62" s="499" t="s">
        <v>809</v>
      </c>
    </row>
    <row r="63" spans="1:17" ht="13.5" customHeight="1">
      <c r="A63" s="63"/>
      <c r="B63" s="63"/>
      <c r="C63" s="15" t="s">
        <v>900</v>
      </c>
      <c r="D63" s="520"/>
      <c r="E63" s="504">
        <v>1</v>
      </c>
      <c r="F63" s="9"/>
      <c r="G63" s="9"/>
      <c r="H63" s="235"/>
      <c r="I63" s="235"/>
      <c r="J63" s="235"/>
      <c r="K63" s="9"/>
      <c r="L63" s="9"/>
      <c r="M63" s="9"/>
      <c r="N63" s="9"/>
      <c r="O63" s="9"/>
      <c r="P63" s="12">
        <f t="shared" si="2"/>
        <v>0</v>
      </c>
      <c r="Q63" s="499" t="s">
        <v>828</v>
      </c>
    </row>
    <row r="64" spans="1:17" ht="13.5" customHeight="1">
      <c r="A64" s="63"/>
      <c r="B64" s="63"/>
      <c r="C64" s="1231" t="s">
        <v>514</v>
      </c>
      <c r="D64" s="1312"/>
      <c r="E64" s="500">
        <v>2</v>
      </c>
      <c r="F64" s="9"/>
      <c r="G64" s="9"/>
      <c r="H64" s="235"/>
      <c r="I64" s="235"/>
      <c r="J64" s="235">
        <v>330</v>
      </c>
      <c r="K64" s="9"/>
      <c r="L64" s="9"/>
      <c r="M64" s="9"/>
      <c r="N64" s="9"/>
      <c r="O64" s="9"/>
      <c r="P64" s="12">
        <f t="shared" si="2"/>
        <v>330</v>
      </c>
      <c r="Q64" s="499" t="s">
        <v>809</v>
      </c>
    </row>
    <row r="65" spans="1:17" ht="24.75" customHeight="1">
      <c r="A65" s="63"/>
      <c r="B65" s="63"/>
      <c r="C65" s="1324" t="s">
        <v>901</v>
      </c>
      <c r="D65" s="1325"/>
      <c r="E65" s="500">
        <v>1</v>
      </c>
      <c r="F65" s="9"/>
      <c r="G65" s="9"/>
      <c r="H65" s="235"/>
      <c r="I65" s="235"/>
      <c r="J65" s="235">
        <v>1800</v>
      </c>
      <c r="K65" s="9"/>
      <c r="L65" s="9"/>
      <c r="M65" s="9"/>
      <c r="N65" s="9"/>
      <c r="O65" s="9"/>
      <c r="P65" s="12">
        <f t="shared" si="2"/>
        <v>1800</v>
      </c>
      <c r="Q65" s="499" t="s">
        <v>809</v>
      </c>
    </row>
    <row r="66" spans="1:17" ht="13.5" customHeight="1">
      <c r="A66" s="63"/>
      <c r="B66" s="63"/>
      <c r="C66" s="1235" t="s">
        <v>902</v>
      </c>
      <c r="D66" s="1326"/>
      <c r="E66" s="525">
        <v>2</v>
      </c>
      <c r="F66" s="9"/>
      <c r="G66" s="235"/>
      <c r="H66" s="235"/>
      <c r="I66" s="235"/>
      <c r="J66" s="235">
        <v>3450</v>
      </c>
      <c r="K66" s="9"/>
      <c r="L66" s="9"/>
      <c r="M66" s="9"/>
      <c r="N66" s="9"/>
      <c r="O66" s="9"/>
      <c r="P66" s="12">
        <f t="shared" si="2"/>
        <v>3450</v>
      </c>
      <c r="Q66" s="499" t="s">
        <v>809</v>
      </c>
    </row>
    <row r="67" spans="1:17" ht="13.5" customHeight="1">
      <c r="A67" s="68"/>
      <c r="B67" s="68"/>
      <c r="C67" s="526" t="s">
        <v>21</v>
      </c>
      <c r="D67" s="527"/>
      <c r="E67" s="68"/>
      <c r="F67" s="509">
        <f aca="true" t="shared" si="3" ref="F67:P67">SUM(F26:F66)</f>
        <v>750</v>
      </c>
      <c r="G67" s="509">
        <f t="shared" si="3"/>
        <v>203</v>
      </c>
      <c r="H67" s="509">
        <f t="shared" si="3"/>
        <v>13460</v>
      </c>
      <c r="I67" s="509">
        <f t="shared" si="3"/>
        <v>0</v>
      </c>
      <c r="J67" s="509">
        <f t="shared" si="3"/>
        <v>37962</v>
      </c>
      <c r="K67" s="509">
        <f t="shared" si="3"/>
        <v>0</v>
      </c>
      <c r="L67" s="509">
        <f t="shared" si="3"/>
        <v>0</v>
      </c>
      <c r="M67" s="509">
        <f t="shared" si="3"/>
        <v>0</v>
      </c>
      <c r="N67" s="509">
        <f t="shared" si="3"/>
        <v>0</v>
      </c>
      <c r="O67" s="509">
        <f t="shared" si="3"/>
        <v>0</v>
      </c>
      <c r="P67" s="509">
        <f t="shared" si="3"/>
        <v>52375</v>
      </c>
      <c r="Q67" s="509"/>
    </row>
    <row r="68" spans="1:17" ht="13.5" customHeight="1">
      <c r="A68" s="8"/>
      <c r="B68" s="8"/>
      <c r="C68" s="14" t="s">
        <v>903</v>
      </c>
      <c r="D68" s="59"/>
      <c r="E68" s="78"/>
      <c r="F68" s="9"/>
      <c r="G68" s="9"/>
      <c r="H68" s="9"/>
      <c r="I68" s="9"/>
      <c r="J68" s="9"/>
      <c r="K68" s="235">
        <f>'[1]7'!J32</f>
        <v>42600</v>
      </c>
      <c r="L68" s="235"/>
      <c r="M68" s="235">
        <f>'[1]7'!K32</f>
        <v>16200</v>
      </c>
      <c r="N68" s="235"/>
      <c r="O68" s="8"/>
      <c r="P68" s="12">
        <f>SUM(F68:O68)</f>
        <v>58800</v>
      </c>
      <c r="Q68" s="499"/>
    </row>
    <row r="69" spans="1:17" ht="13.5" customHeight="1">
      <c r="A69" s="8"/>
      <c r="B69" s="8"/>
      <c r="C69" s="14" t="s">
        <v>1536</v>
      </c>
      <c r="D69" s="59"/>
      <c r="E69" s="78"/>
      <c r="F69" s="9"/>
      <c r="G69" s="9"/>
      <c r="H69" s="9"/>
      <c r="I69" s="9"/>
      <c r="J69" s="9"/>
      <c r="K69" s="235"/>
      <c r="L69" s="235">
        <f>'[1]8'!J44</f>
        <v>-2500</v>
      </c>
      <c r="M69" s="235">
        <f>'[1]8'!K44</f>
        <v>2500</v>
      </c>
      <c r="N69" s="235"/>
      <c r="O69" s="8"/>
      <c r="P69" s="12">
        <f>SUM(F69:O69)</f>
        <v>0</v>
      </c>
      <c r="Q69" s="499"/>
    </row>
    <row r="70" spans="1:17" ht="13.5" customHeight="1">
      <c r="A70" s="505"/>
      <c r="B70" s="505"/>
      <c r="C70" s="71" t="s">
        <v>22</v>
      </c>
      <c r="D70" s="507"/>
      <c r="E70" s="508"/>
      <c r="F70" s="509">
        <f aca="true" t="shared" si="4" ref="F70:P70">SUM(F67:F69)</f>
        <v>750</v>
      </c>
      <c r="G70" s="509">
        <f t="shared" si="4"/>
        <v>203</v>
      </c>
      <c r="H70" s="509">
        <f t="shared" si="4"/>
        <v>13460</v>
      </c>
      <c r="I70" s="509">
        <f t="shared" si="4"/>
        <v>0</v>
      </c>
      <c r="J70" s="509">
        <f t="shared" si="4"/>
        <v>37962</v>
      </c>
      <c r="K70" s="509">
        <f t="shared" si="4"/>
        <v>42600</v>
      </c>
      <c r="L70" s="509">
        <f t="shared" si="4"/>
        <v>-2500</v>
      </c>
      <c r="M70" s="509">
        <f t="shared" si="4"/>
        <v>18700</v>
      </c>
      <c r="N70" s="509">
        <f t="shared" si="4"/>
        <v>0</v>
      </c>
      <c r="O70" s="509">
        <f t="shared" si="4"/>
        <v>0</v>
      </c>
      <c r="P70" s="509">
        <f t="shared" si="4"/>
        <v>111175</v>
      </c>
      <c r="Q70" s="510"/>
    </row>
    <row r="71" spans="1:17" ht="13.5" customHeight="1">
      <c r="A71" s="8">
        <v>1</v>
      </c>
      <c r="B71" s="8">
        <v>15</v>
      </c>
      <c r="C71" s="528" t="s">
        <v>904</v>
      </c>
      <c r="D71" s="522"/>
      <c r="E71" s="63"/>
      <c r="F71" s="9"/>
      <c r="G71" s="9"/>
      <c r="H71" s="9"/>
      <c r="I71" s="9"/>
      <c r="J71" s="9"/>
      <c r="K71" s="529"/>
      <c r="L71" s="529"/>
      <c r="M71" s="529"/>
      <c r="N71" s="529"/>
      <c r="O71" s="9"/>
      <c r="P71" s="12"/>
      <c r="Q71" s="530"/>
    </row>
    <row r="72" spans="1:17" ht="13.5" customHeight="1">
      <c r="A72" s="8"/>
      <c r="B72" s="8"/>
      <c r="C72" s="80" t="s">
        <v>173</v>
      </c>
      <c r="D72" s="531" t="s">
        <v>695</v>
      </c>
      <c r="E72" s="78"/>
      <c r="F72" s="9"/>
      <c r="G72" s="9"/>
      <c r="H72" s="9"/>
      <c r="I72" s="9"/>
      <c r="J72" s="9"/>
      <c r="K72" s="529"/>
      <c r="L72" s="529"/>
      <c r="M72" s="529"/>
      <c r="N72" s="529"/>
      <c r="O72" s="9"/>
      <c r="P72" s="12"/>
      <c r="Q72" s="530"/>
    </row>
    <row r="73" spans="1:17" ht="13.5" customHeight="1">
      <c r="A73" s="8"/>
      <c r="B73" s="8"/>
      <c r="C73" s="15" t="s">
        <v>1554</v>
      </c>
      <c r="D73" s="522"/>
      <c r="E73" s="63">
        <v>1</v>
      </c>
      <c r="F73" s="235"/>
      <c r="G73" s="235"/>
      <c r="H73" s="235">
        <v>-1448</v>
      </c>
      <c r="I73" s="235"/>
      <c r="J73" s="235"/>
      <c r="K73" s="235"/>
      <c r="L73" s="235"/>
      <c r="M73" s="235"/>
      <c r="N73" s="235"/>
      <c r="O73" s="235"/>
      <c r="P73" s="12">
        <f aca="true" t="shared" si="5" ref="P73:P78">SUM(F73:O73)</f>
        <v>-1448</v>
      </c>
      <c r="Q73" s="530" t="s">
        <v>905</v>
      </c>
    </row>
    <row r="74" spans="1:17" ht="13.5" customHeight="1">
      <c r="A74" s="8"/>
      <c r="B74" s="8"/>
      <c r="C74" s="80" t="s">
        <v>778</v>
      </c>
      <c r="D74" s="531"/>
      <c r="E74" s="63">
        <v>1</v>
      </c>
      <c r="F74" s="235"/>
      <c r="G74" s="235"/>
      <c r="H74" s="235">
        <v>771</v>
      </c>
      <c r="I74" s="235"/>
      <c r="J74" s="235"/>
      <c r="K74" s="235"/>
      <c r="L74" s="235"/>
      <c r="M74" s="235"/>
      <c r="N74" s="235"/>
      <c r="O74" s="235"/>
      <c r="P74" s="12">
        <f t="shared" si="5"/>
        <v>771</v>
      </c>
      <c r="Q74" s="530" t="s">
        <v>809</v>
      </c>
    </row>
    <row r="75" spans="1:17" ht="13.5" customHeight="1">
      <c r="A75" s="8"/>
      <c r="B75" s="8"/>
      <c r="C75" s="80" t="s">
        <v>1557</v>
      </c>
      <c r="D75" s="531"/>
      <c r="E75" s="63">
        <v>2</v>
      </c>
      <c r="F75" s="235"/>
      <c r="G75" s="235"/>
      <c r="H75" s="235">
        <v>-1000</v>
      </c>
      <c r="I75" s="235"/>
      <c r="J75" s="235"/>
      <c r="K75" s="235"/>
      <c r="L75" s="235"/>
      <c r="M75" s="235"/>
      <c r="N75" s="235"/>
      <c r="O75" s="235"/>
      <c r="P75" s="12">
        <f t="shared" si="5"/>
        <v>-1000</v>
      </c>
      <c r="Q75" s="530" t="s">
        <v>828</v>
      </c>
    </row>
    <row r="76" spans="1:17" ht="13.5" customHeight="1">
      <c r="A76" s="8"/>
      <c r="B76" s="8"/>
      <c r="C76" s="80" t="s">
        <v>1559</v>
      </c>
      <c r="D76" s="531"/>
      <c r="E76" s="63">
        <v>1</v>
      </c>
      <c r="F76" s="235"/>
      <c r="G76" s="235"/>
      <c r="H76" s="235">
        <v>390</v>
      </c>
      <c r="I76" s="235"/>
      <c r="J76" s="235"/>
      <c r="K76" s="235"/>
      <c r="L76" s="235"/>
      <c r="M76" s="235"/>
      <c r="N76" s="235"/>
      <c r="O76" s="235"/>
      <c r="P76" s="12">
        <f t="shared" si="5"/>
        <v>390</v>
      </c>
      <c r="Q76" s="530" t="s">
        <v>809</v>
      </c>
    </row>
    <row r="77" spans="1:17" ht="13.5" customHeight="1">
      <c r="A77" s="8"/>
      <c r="B77" s="8"/>
      <c r="C77" s="80" t="s">
        <v>906</v>
      </c>
      <c r="D77" s="532"/>
      <c r="E77" s="533">
        <v>1</v>
      </c>
      <c r="F77" s="235"/>
      <c r="G77" s="235"/>
      <c r="H77" s="235">
        <v>1054</v>
      </c>
      <c r="I77" s="235"/>
      <c r="J77" s="235"/>
      <c r="K77" s="235"/>
      <c r="L77" s="235"/>
      <c r="M77" s="235"/>
      <c r="N77" s="235"/>
      <c r="O77" s="235"/>
      <c r="P77" s="12">
        <f t="shared" si="5"/>
        <v>1054</v>
      </c>
      <c r="Q77" s="530" t="s">
        <v>905</v>
      </c>
    </row>
    <row r="78" spans="1:17" ht="13.5" customHeight="1">
      <c r="A78" s="8"/>
      <c r="B78" s="8"/>
      <c r="C78" s="1221" t="s">
        <v>907</v>
      </c>
      <c r="D78" s="1321"/>
      <c r="E78" s="533">
        <v>2</v>
      </c>
      <c r="F78" s="235"/>
      <c r="G78" s="235"/>
      <c r="H78" s="235">
        <v>3628</v>
      </c>
      <c r="I78" s="235"/>
      <c r="J78" s="235"/>
      <c r="K78" s="235"/>
      <c r="L78" s="235"/>
      <c r="M78" s="235"/>
      <c r="N78" s="235"/>
      <c r="O78" s="235"/>
      <c r="P78" s="12">
        <f t="shared" si="5"/>
        <v>3628</v>
      </c>
      <c r="Q78" s="530" t="s">
        <v>809</v>
      </c>
    </row>
    <row r="79" spans="1:17" ht="13.5" customHeight="1">
      <c r="A79" s="8"/>
      <c r="B79" s="8"/>
      <c r="C79" s="1231" t="s">
        <v>1262</v>
      </c>
      <c r="D79" s="1313"/>
      <c r="E79" s="534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12"/>
      <c r="Q79" s="530"/>
    </row>
    <row r="80" spans="1:17" ht="13.5" customHeight="1">
      <c r="A80" s="8"/>
      <c r="B80" s="8"/>
      <c r="C80" s="15" t="s">
        <v>1560</v>
      </c>
      <c r="D80" s="531"/>
      <c r="E80" s="78">
        <v>1</v>
      </c>
      <c r="F80" s="235"/>
      <c r="G80" s="235"/>
      <c r="H80" s="235">
        <v>5557</v>
      </c>
      <c r="I80" s="235"/>
      <c r="J80" s="235"/>
      <c r="K80" s="235"/>
      <c r="L80" s="235"/>
      <c r="M80" s="235"/>
      <c r="N80" s="235"/>
      <c r="O80" s="235"/>
      <c r="P80" s="12">
        <f>SUM(F80:O80)</f>
        <v>5557</v>
      </c>
      <c r="Q80" s="530" t="s">
        <v>809</v>
      </c>
    </row>
    <row r="81" spans="1:17" ht="13.5" customHeight="1">
      <c r="A81" s="8"/>
      <c r="B81" s="8"/>
      <c r="C81" s="1231" t="s">
        <v>1561</v>
      </c>
      <c r="D81" s="1314"/>
      <c r="E81" s="534">
        <v>1</v>
      </c>
      <c r="F81" s="235"/>
      <c r="G81" s="235"/>
      <c r="H81" s="235">
        <v>1611</v>
      </c>
      <c r="I81" s="235"/>
      <c r="J81" s="235"/>
      <c r="K81" s="235"/>
      <c r="L81" s="235"/>
      <c r="M81" s="235"/>
      <c r="N81" s="235"/>
      <c r="O81" s="235"/>
      <c r="P81" s="12">
        <f>SUM(F81:O81)</f>
        <v>1611</v>
      </c>
      <c r="Q81" s="530" t="s">
        <v>809</v>
      </c>
    </row>
    <row r="82" spans="1:17" ht="13.5" customHeight="1">
      <c r="A82" s="8"/>
      <c r="B82" s="8"/>
      <c r="C82" s="1231" t="s">
        <v>1217</v>
      </c>
      <c r="D82" s="1313"/>
      <c r="E82" s="534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12"/>
      <c r="Q82" s="530"/>
    </row>
    <row r="83" spans="1:17" ht="13.5" customHeight="1">
      <c r="A83" s="8"/>
      <c r="B83" s="8"/>
      <c r="C83" s="80" t="s">
        <v>536</v>
      </c>
      <c r="D83" s="535"/>
      <c r="E83" s="534">
        <v>1</v>
      </c>
      <c r="F83" s="235"/>
      <c r="G83" s="235"/>
      <c r="H83" s="235">
        <v>-389</v>
      </c>
      <c r="I83" s="235"/>
      <c r="J83" s="235"/>
      <c r="K83" s="235"/>
      <c r="L83" s="235"/>
      <c r="M83" s="235"/>
      <c r="N83" s="235"/>
      <c r="O83" s="235"/>
      <c r="P83" s="12">
        <f>SUM(F83:O83)</f>
        <v>-389</v>
      </c>
      <c r="Q83" s="530" t="s">
        <v>809</v>
      </c>
    </row>
    <row r="84" spans="1:17" ht="24.75" customHeight="1">
      <c r="A84" s="8"/>
      <c r="B84" s="8"/>
      <c r="C84" s="1215" t="s">
        <v>1604</v>
      </c>
      <c r="D84" s="1308"/>
      <c r="E84" s="534">
        <v>1</v>
      </c>
      <c r="F84" s="235"/>
      <c r="G84" s="235"/>
      <c r="H84" s="235">
        <v>17073</v>
      </c>
      <c r="I84" s="235"/>
      <c r="J84" s="235"/>
      <c r="K84" s="235"/>
      <c r="L84" s="235"/>
      <c r="M84" s="235"/>
      <c r="N84" s="235"/>
      <c r="O84" s="235"/>
      <c r="P84" s="12">
        <f>SUM(F84:O84)</f>
        <v>17073</v>
      </c>
      <c r="Q84" s="530" t="s">
        <v>809</v>
      </c>
    </row>
    <row r="85" spans="1:17" ht="24.75" customHeight="1">
      <c r="A85" s="8"/>
      <c r="B85" s="8"/>
      <c r="C85" s="1215" t="s">
        <v>1218</v>
      </c>
      <c r="D85" s="1308"/>
      <c r="E85" s="534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12"/>
      <c r="Q85" s="530"/>
    </row>
    <row r="86" spans="1:17" ht="15" customHeight="1">
      <c r="A86" s="8"/>
      <c r="B86" s="8"/>
      <c r="C86" s="15" t="s">
        <v>1570</v>
      </c>
      <c r="D86" s="531"/>
      <c r="E86" s="534">
        <v>1</v>
      </c>
      <c r="F86" s="235"/>
      <c r="G86" s="235"/>
      <c r="H86" s="235">
        <v>-1500</v>
      </c>
      <c r="I86" s="235"/>
      <c r="J86" s="235"/>
      <c r="K86" s="235"/>
      <c r="L86" s="235"/>
      <c r="M86" s="235"/>
      <c r="N86" s="235"/>
      <c r="O86" s="235"/>
      <c r="P86" s="12">
        <f>SUM(F86:O86)</f>
        <v>-1500</v>
      </c>
      <c r="Q86" s="530" t="s">
        <v>828</v>
      </c>
    </row>
    <row r="87" spans="1:17" ht="13.5" customHeight="1">
      <c r="A87" s="8"/>
      <c r="B87" s="8"/>
      <c r="C87" s="598" t="s">
        <v>1219</v>
      </c>
      <c r="D87" s="1309"/>
      <c r="E87" s="534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12"/>
      <c r="Q87" s="530"/>
    </row>
    <row r="88" spans="1:17" ht="13.5" customHeight="1">
      <c r="A88" s="8"/>
      <c r="B88" s="8"/>
      <c r="C88" s="15" t="s">
        <v>1571</v>
      </c>
      <c r="D88" s="531"/>
      <c r="E88" s="78">
        <v>1</v>
      </c>
      <c r="F88" s="235"/>
      <c r="G88" s="235"/>
      <c r="H88" s="235">
        <v>-993</v>
      </c>
      <c r="I88" s="235"/>
      <c r="J88" s="235"/>
      <c r="K88" s="235"/>
      <c r="L88" s="235"/>
      <c r="M88" s="235"/>
      <c r="N88" s="235"/>
      <c r="O88" s="235"/>
      <c r="P88" s="12">
        <f aca="true" t="shared" si="6" ref="P88:P94">SUM(F88:O88)</f>
        <v>-993</v>
      </c>
      <c r="Q88" s="530" t="s">
        <v>828</v>
      </c>
    </row>
    <row r="89" spans="1:17" ht="13.5" customHeight="1">
      <c r="A89" s="8"/>
      <c r="B89" s="8"/>
      <c r="C89" s="15" t="s">
        <v>1574</v>
      </c>
      <c r="D89" s="522"/>
      <c r="E89" s="63">
        <v>1</v>
      </c>
      <c r="F89" s="235"/>
      <c r="G89" s="235"/>
      <c r="H89" s="235">
        <v>6483</v>
      </c>
      <c r="I89" s="235"/>
      <c r="J89" s="235"/>
      <c r="K89" s="235"/>
      <c r="L89" s="235"/>
      <c r="M89" s="235"/>
      <c r="N89" s="235"/>
      <c r="O89" s="235"/>
      <c r="P89" s="12">
        <f t="shared" si="6"/>
        <v>6483</v>
      </c>
      <c r="Q89" s="530" t="s">
        <v>809</v>
      </c>
    </row>
    <row r="90" spans="1:17" ht="13.5" customHeight="1">
      <c r="A90" s="8"/>
      <c r="B90" s="8"/>
      <c r="C90" s="15" t="s">
        <v>48</v>
      </c>
      <c r="D90" s="522"/>
      <c r="E90" s="63">
        <v>2</v>
      </c>
      <c r="F90" s="235"/>
      <c r="G90" s="235"/>
      <c r="H90" s="235">
        <v>-800</v>
      </c>
      <c r="I90" s="235"/>
      <c r="J90" s="235">
        <v>650</v>
      </c>
      <c r="K90" s="235"/>
      <c r="L90" s="235"/>
      <c r="M90" s="235"/>
      <c r="N90" s="235"/>
      <c r="O90" s="235"/>
      <c r="P90" s="12">
        <f t="shared" si="6"/>
        <v>-150</v>
      </c>
      <c r="Q90" s="530" t="s">
        <v>905</v>
      </c>
    </row>
    <row r="91" spans="1:17" ht="13.5" customHeight="1">
      <c r="A91" s="8"/>
      <c r="B91" s="8"/>
      <c r="C91" s="15" t="s">
        <v>1565</v>
      </c>
      <c r="D91" s="522"/>
      <c r="E91" s="63">
        <v>1</v>
      </c>
      <c r="F91" s="235"/>
      <c r="G91" s="235"/>
      <c r="H91" s="235">
        <v>3388</v>
      </c>
      <c r="I91" s="235"/>
      <c r="J91" s="235"/>
      <c r="K91" s="235"/>
      <c r="L91" s="235"/>
      <c r="M91" s="235"/>
      <c r="N91" s="235"/>
      <c r="O91" s="235"/>
      <c r="P91" s="12">
        <f t="shared" si="6"/>
        <v>3388</v>
      </c>
      <c r="Q91" s="530" t="s">
        <v>809</v>
      </c>
    </row>
    <row r="92" spans="1:17" ht="13.5" customHeight="1">
      <c r="A92" s="8"/>
      <c r="B92" s="8"/>
      <c r="C92" s="15" t="s">
        <v>125</v>
      </c>
      <c r="D92" s="522"/>
      <c r="E92" s="63">
        <v>2</v>
      </c>
      <c r="F92" s="235"/>
      <c r="G92" s="235"/>
      <c r="H92" s="235">
        <v>-268</v>
      </c>
      <c r="I92" s="235"/>
      <c r="J92" s="235"/>
      <c r="K92" s="235"/>
      <c r="L92" s="235"/>
      <c r="M92" s="235"/>
      <c r="N92" s="235"/>
      <c r="O92" s="235"/>
      <c r="P92" s="12">
        <f t="shared" si="6"/>
        <v>-268</v>
      </c>
      <c r="Q92" s="530" t="s">
        <v>828</v>
      </c>
    </row>
    <row r="93" spans="1:17" ht="24.75" customHeight="1">
      <c r="A93" s="8"/>
      <c r="B93" s="8"/>
      <c r="C93" s="1315" t="s">
        <v>908</v>
      </c>
      <c r="D93" s="1316"/>
      <c r="E93" s="63">
        <v>2</v>
      </c>
      <c r="F93" s="235">
        <v>392</v>
      </c>
      <c r="G93" s="235">
        <v>53</v>
      </c>
      <c r="H93" s="235">
        <v>310</v>
      </c>
      <c r="I93" s="235"/>
      <c r="J93" s="235"/>
      <c r="K93" s="235"/>
      <c r="L93" s="235"/>
      <c r="M93" s="235"/>
      <c r="N93" s="235"/>
      <c r="O93" s="235"/>
      <c r="P93" s="12">
        <f t="shared" si="6"/>
        <v>755</v>
      </c>
      <c r="Q93" s="530" t="s">
        <v>905</v>
      </c>
    </row>
    <row r="94" spans="1:17" ht="13.5" customHeight="1">
      <c r="A94" s="8"/>
      <c r="B94" s="8"/>
      <c r="C94" s="15" t="s">
        <v>1306</v>
      </c>
      <c r="D94" s="522"/>
      <c r="E94" s="63">
        <v>2</v>
      </c>
      <c r="F94" s="235"/>
      <c r="G94" s="235"/>
      <c r="H94" s="235">
        <v>-463</v>
      </c>
      <c r="I94" s="235"/>
      <c r="J94" s="235"/>
      <c r="K94" s="235"/>
      <c r="L94" s="235"/>
      <c r="M94" s="235"/>
      <c r="N94" s="235"/>
      <c r="O94" s="235"/>
      <c r="P94" s="12">
        <f t="shared" si="6"/>
        <v>-463</v>
      </c>
      <c r="Q94" s="530" t="s">
        <v>828</v>
      </c>
    </row>
    <row r="95" spans="1:17" ht="13.5" customHeight="1">
      <c r="A95" s="8"/>
      <c r="B95" s="8"/>
      <c r="C95" s="331" t="s">
        <v>1220</v>
      </c>
      <c r="D95" s="537"/>
      <c r="E95" s="538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12"/>
      <c r="Q95" s="530"/>
    </row>
    <row r="96" spans="1:17" ht="13.5" customHeight="1">
      <c r="A96" s="8"/>
      <c r="B96" s="8"/>
      <c r="C96" s="15" t="s">
        <v>1573</v>
      </c>
      <c r="D96" s="537"/>
      <c r="E96" s="538">
        <v>1</v>
      </c>
      <c r="F96" s="235"/>
      <c r="G96" s="235"/>
      <c r="H96" s="235">
        <v>-4000</v>
      </c>
      <c r="I96" s="235"/>
      <c r="J96" s="235"/>
      <c r="K96" s="235"/>
      <c r="L96" s="235"/>
      <c r="M96" s="235"/>
      <c r="N96" s="235"/>
      <c r="O96" s="235"/>
      <c r="P96" s="12">
        <f>SUM(F96:O96)</f>
        <v>-4000</v>
      </c>
      <c r="Q96" s="530" t="s">
        <v>828</v>
      </c>
    </row>
    <row r="97" spans="1:17" ht="13.5" customHeight="1">
      <c r="A97" s="8"/>
      <c r="B97" s="8"/>
      <c r="C97" s="598" t="s">
        <v>1221</v>
      </c>
      <c r="D97" s="1309"/>
      <c r="E97" s="534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12"/>
      <c r="Q97" s="530"/>
    </row>
    <row r="98" spans="1:17" ht="13.5" customHeight="1">
      <c r="A98" s="8"/>
      <c r="B98" s="8"/>
      <c r="C98" s="16" t="s">
        <v>1288</v>
      </c>
      <c r="D98" s="536"/>
      <c r="E98" s="534">
        <v>2</v>
      </c>
      <c r="F98" s="235"/>
      <c r="G98" s="235"/>
      <c r="H98" s="235">
        <v>6282</v>
      </c>
      <c r="I98" s="235"/>
      <c r="J98" s="235"/>
      <c r="K98" s="235"/>
      <c r="L98" s="235"/>
      <c r="M98" s="235"/>
      <c r="N98" s="235"/>
      <c r="O98" s="235"/>
      <c r="P98" s="12">
        <f>SUM(F98:O98)</f>
        <v>6282</v>
      </c>
      <c r="Q98" s="530" t="s">
        <v>809</v>
      </c>
    </row>
    <row r="99" spans="1:17" ht="13.5" customHeight="1">
      <c r="A99" s="8"/>
      <c r="B99" s="8"/>
      <c r="C99" s="15" t="s">
        <v>1337</v>
      </c>
      <c r="D99" s="536"/>
      <c r="E99" s="534">
        <v>2</v>
      </c>
      <c r="F99" s="235"/>
      <c r="G99" s="235"/>
      <c r="H99" s="235">
        <v>8890</v>
      </c>
      <c r="I99" s="235"/>
      <c r="J99" s="235"/>
      <c r="K99" s="235"/>
      <c r="L99" s="235"/>
      <c r="M99" s="235"/>
      <c r="N99" s="235"/>
      <c r="O99" s="235"/>
      <c r="P99" s="12">
        <f>SUM(F99:O99)</f>
        <v>8890</v>
      </c>
      <c r="Q99" s="530" t="s">
        <v>809</v>
      </c>
    </row>
    <row r="100" spans="1:17" ht="13.5" customHeight="1">
      <c r="A100" s="8"/>
      <c r="B100" s="8"/>
      <c r="C100" s="15" t="s">
        <v>1568</v>
      </c>
      <c r="D100" s="531"/>
      <c r="E100" s="78">
        <v>2</v>
      </c>
      <c r="F100" s="235"/>
      <c r="G100" s="235"/>
      <c r="H100" s="235">
        <v>-5000</v>
      </c>
      <c r="I100" s="235"/>
      <c r="J100" s="235"/>
      <c r="K100" s="235"/>
      <c r="L100" s="235"/>
      <c r="M100" s="235"/>
      <c r="N100" s="235"/>
      <c r="O100" s="235"/>
      <c r="P100" s="12">
        <f>SUM(F100:O100)</f>
        <v>-5000</v>
      </c>
      <c r="Q100" s="530" t="s">
        <v>828</v>
      </c>
    </row>
    <row r="101" spans="1:17" ht="13.5" customHeight="1">
      <c r="A101" s="8"/>
      <c r="B101" s="8"/>
      <c r="C101" s="598" t="s">
        <v>1222</v>
      </c>
      <c r="D101" s="1309"/>
      <c r="E101" s="78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12"/>
      <c r="Q101" s="530"/>
    </row>
    <row r="102" spans="1:17" ht="24.75" customHeight="1">
      <c r="A102" s="8"/>
      <c r="B102" s="8"/>
      <c r="C102" s="596" t="s">
        <v>538</v>
      </c>
      <c r="D102" s="1330"/>
      <c r="E102" s="78">
        <v>1</v>
      </c>
      <c r="F102" s="235"/>
      <c r="G102" s="235"/>
      <c r="H102" s="235"/>
      <c r="I102" s="235"/>
      <c r="J102" s="235">
        <v>2807</v>
      </c>
      <c r="K102" s="235"/>
      <c r="L102" s="235"/>
      <c r="M102" s="235"/>
      <c r="N102" s="235"/>
      <c r="O102" s="235"/>
      <c r="P102" s="12">
        <f>SUM(F102:O102)</f>
        <v>2807</v>
      </c>
      <c r="Q102" s="530" t="s">
        <v>809</v>
      </c>
    </row>
    <row r="103" spans="1:17" ht="15" customHeight="1">
      <c r="A103" s="8"/>
      <c r="B103" s="8"/>
      <c r="C103" s="1221" t="s">
        <v>909</v>
      </c>
      <c r="D103" s="1321"/>
      <c r="E103" s="78">
        <v>1</v>
      </c>
      <c r="F103" s="235"/>
      <c r="G103" s="235"/>
      <c r="H103" s="235">
        <v>1000</v>
      </c>
      <c r="I103" s="235"/>
      <c r="J103" s="235"/>
      <c r="K103" s="235"/>
      <c r="L103" s="235"/>
      <c r="M103" s="235"/>
      <c r="N103" s="235"/>
      <c r="O103" s="235"/>
      <c r="P103" s="12">
        <f>SUM(F103:O103)</f>
        <v>1000</v>
      </c>
      <c r="Q103" s="530" t="s">
        <v>828</v>
      </c>
    </row>
    <row r="104" spans="1:17" ht="15" customHeight="1">
      <c r="A104" s="8"/>
      <c r="B104" s="8"/>
      <c r="C104" s="598" t="s">
        <v>1223</v>
      </c>
      <c r="D104" s="1309"/>
      <c r="E104" s="78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12"/>
      <c r="Q104" s="530"/>
    </row>
    <row r="105" spans="1:17" ht="15" customHeight="1">
      <c r="A105" s="8"/>
      <c r="B105" s="8"/>
      <c r="C105" s="598" t="s">
        <v>1423</v>
      </c>
      <c r="D105" s="1309"/>
      <c r="E105" s="78">
        <v>2</v>
      </c>
      <c r="F105" s="235"/>
      <c r="G105" s="235"/>
      <c r="H105" s="235">
        <v>1570</v>
      </c>
      <c r="I105" s="235"/>
      <c r="J105" s="235"/>
      <c r="K105" s="235"/>
      <c r="L105" s="235"/>
      <c r="M105" s="235"/>
      <c r="N105" s="235"/>
      <c r="O105" s="235"/>
      <c r="P105" s="12">
        <f>SUM(F105:O105)</f>
        <v>1570</v>
      </c>
      <c r="Q105" s="530" t="s">
        <v>809</v>
      </c>
    </row>
    <row r="106" spans="1:17" ht="15" customHeight="1">
      <c r="A106" s="8"/>
      <c r="B106" s="8"/>
      <c r="C106" s="14" t="s">
        <v>1226</v>
      </c>
      <c r="D106" s="539"/>
      <c r="E106" s="78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12"/>
      <c r="Q106" s="530"/>
    </row>
    <row r="107" spans="1:17" ht="15" customHeight="1">
      <c r="A107" s="8"/>
      <c r="B107" s="8"/>
      <c r="C107" s="1328" t="s">
        <v>910</v>
      </c>
      <c r="D107" s="1329"/>
      <c r="E107" s="458">
        <v>2</v>
      </c>
      <c r="F107" s="235"/>
      <c r="G107" s="235"/>
      <c r="H107" s="235"/>
      <c r="I107" s="235"/>
      <c r="J107" s="235">
        <v>2200</v>
      </c>
      <c r="K107" s="235"/>
      <c r="L107" s="235"/>
      <c r="M107" s="235"/>
      <c r="N107" s="235"/>
      <c r="O107" s="235"/>
      <c r="P107" s="12">
        <f>SUM(F107:O107)</f>
        <v>2200</v>
      </c>
      <c r="Q107" s="530" t="s">
        <v>809</v>
      </c>
    </row>
    <row r="108" spans="1:17" ht="13.5" customHeight="1">
      <c r="A108" s="505"/>
      <c r="B108" s="505"/>
      <c r="C108" s="71" t="s">
        <v>911</v>
      </c>
      <c r="D108" s="507"/>
      <c r="E108" s="508"/>
      <c r="F108" s="509">
        <f aca="true" t="shared" si="7" ref="F108:P108">SUM(F72:F107)</f>
        <v>392</v>
      </c>
      <c r="G108" s="509">
        <f t="shared" si="7"/>
        <v>53</v>
      </c>
      <c r="H108" s="509">
        <f t="shared" si="7"/>
        <v>42146</v>
      </c>
      <c r="I108" s="509">
        <f t="shared" si="7"/>
        <v>0</v>
      </c>
      <c r="J108" s="509">
        <f t="shared" si="7"/>
        <v>5657</v>
      </c>
      <c r="K108" s="509">
        <f t="shared" si="7"/>
        <v>0</v>
      </c>
      <c r="L108" s="509">
        <f t="shared" si="7"/>
        <v>0</v>
      </c>
      <c r="M108" s="509">
        <f t="shared" si="7"/>
        <v>0</v>
      </c>
      <c r="N108" s="509">
        <f t="shared" si="7"/>
        <v>0</v>
      </c>
      <c r="O108" s="509">
        <f t="shared" si="7"/>
        <v>0</v>
      </c>
      <c r="P108" s="509">
        <f t="shared" si="7"/>
        <v>48248</v>
      </c>
      <c r="Q108" s="510"/>
    </row>
    <row r="109" spans="1:17" ht="13.5" customHeight="1">
      <c r="A109" s="8"/>
      <c r="B109" s="8"/>
      <c r="C109" s="14" t="s">
        <v>912</v>
      </c>
      <c r="D109" s="522"/>
      <c r="E109" s="63"/>
      <c r="F109" s="9"/>
      <c r="G109" s="9"/>
      <c r="H109" s="9"/>
      <c r="I109" s="9"/>
      <c r="J109" s="9"/>
      <c r="K109" s="235">
        <f>'[1]7'!J121</f>
        <v>30299</v>
      </c>
      <c r="L109" s="235"/>
      <c r="M109" s="235">
        <f>'[1]7'!K121</f>
        <v>248324</v>
      </c>
      <c r="N109" s="235"/>
      <c r="O109" s="9"/>
      <c r="P109" s="12">
        <f>SUM(F109:O109)</f>
        <v>278623</v>
      </c>
      <c r="Q109" s="530"/>
    </row>
    <row r="110" spans="1:17" ht="13.5" customHeight="1">
      <c r="A110" s="8"/>
      <c r="B110" s="8"/>
      <c r="C110" s="14" t="s">
        <v>1545</v>
      </c>
      <c r="D110" s="522"/>
      <c r="E110" s="63"/>
      <c r="F110" s="9"/>
      <c r="G110" s="9"/>
      <c r="H110" s="9"/>
      <c r="I110" s="9"/>
      <c r="J110" s="9"/>
      <c r="K110" s="235"/>
      <c r="L110" s="235">
        <f>'[1]8'!J155</f>
        <v>2456</v>
      </c>
      <c r="M110" s="235">
        <f>'[1]8'!K155</f>
        <v>4300</v>
      </c>
      <c r="N110" s="235"/>
      <c r="O110" s="9"/>
      <c r="P110" s="12">
        <f>SUM(F110:O110)</f>
        <v>6756</v>
      </c>
      <c r="Q110" s="530"/>
    </row>
    <row r="111" spans="1:17" ht="13.5" customHeight="1">
      <c r="A111" s="233"/>
      <c r="B111" s="233"/>
      <c r="C111" s="71" t="s">
        <v>765</v>
      </c>
      <c r="D111" s="527"/>
      <c r="E111" s="68"/>
      <c r="F111" s="509">
        <f aca="true" t="shared" si="8" ref="F111:P111">SUM(F108:F110)</f>
        <v>392</v>
      </c>
      <c r="G111" s="509">
        <f t="shared" si="8"/>
        <v>53</v>
      </c>
      <c r="H111" s="509">
        <f t="shared" si="8"/>
        <v>42146</v>
      </c>
      <c r="I111" s="509">
        <f t="shared" si="8"/>
        <v>0</v>
      </c>
      <c r="J111" s="509">
        <f t="shared" si="8"/>
        <v>5657</v>
      </c>
      <c r="K111" s="509">
        <f t="shared" si="8"/>
        <v>30299</v>
      </c>
      <c r="L111" s="509">
        <f t="shared" si="8"/>
        <v>2456</v>
      </c>
      <c r="M111" s="509">
        <f t="shared" si="8"/>
        <v>252624</v>
      </c>
      <c r="N111" s="509">
        <f t="shared" si="8"/>
        <v>0</v>
      </c>
      <c r="O111" s="509">
        <f t="shared" si="8"/>
        <v>0</v>
      </c>
      <c r="P111" s="509">
        <f t="shared" si="8"/>
        <v>333627</v>
      </c>
      <c r="Q111" s="540"/>
    </row>
    <row r="112" spans="1:17" ht="13.5" customHeight="1">
      <c r="A112" s="8">
        <v>1</v>
      </c>
      <c r="B112" s="8">
        <v>16</v>
      </c>
      <c r="C112" s="528" t="s">
        <v>102</v>
      </c>
      <c r="D112" s="541"/>
      <c r="E112" s="77"/>
      <c r="F112" s="9"/>
      <c r="G112" s="9"/>
      <c r="H112" s="9"/>
      <c r="I112" s="9"/>
      <c r="J112" s="9"/>
      <c r="K112" s="529"/>
      <c r="L112" s="529"/>
      <c r="M112" s="529"/>
      <c r="N112" s="529"/>
      <c r="O112" s="9"/>
      <c r="P112" s="12"/>
      <c r="Q112" s="542"/>
    </row>
    <row r="113" spans="1:17" ht="13.5" customHeight="1">
      <c r="A113" s="8"/>
      <c r="B113" s="8"/>
      <c r="C113" s="1327"/>
      <c r="D113" s="1303"/>
      <c r="E113" s="533"/>
      <c r="F113" s="9"/>
      <c r="G113" s="9"/>
      <c r="H113" s="9"/>
      <c r="I113" s="9"/>
      <c r="J113" s="9"/>
      <c r="K113" s="529"/>
      <c r="L113" s="529"/>
      <c r="M113" s="529"/>
      <c r="N113" s="529"/>
      <c r="O113" s="9"/>
      <c r="P113" s="12"/>
      <c r="Q113" s="542"/>
    </row>
    <row r="114" spans="1:17" ht="13.5" customHeight="1">
      <c r="A114" s="505"/>
      <c r="B114" s="505"/>
      <c r="C114" s="71" t="s">
        <v>913</v>
      </c>
      <c r="D114" s="527"/>
      <c r="E114" s="68"/>
      <c r="F114" s="509"/>
      <c r="G114" s="509"/>
      <c r="H114" s="509"/>
      <c r="I114" s="509"/>
      <c r="J114" s="509"/>
      <c r="K114" s="509"/>
      <c r="L114" s="509"/>
      <c r="M114" s="509"/>
      <c r="N114" s="509"/>
      <c r="O114" s="509"/>
      <c r="P114" s="509"/>
      <c r="Q114" s="540"/>
    </row>
    <row r="115" spans="1:17" ht="13.5" customHeight="1">
      <c r="A115" s="9"/>
      <c r="B115" s="9"/>
      <c r="C115" s="14" t="s">
        <v>914</v>
      </c>
      <c r="D115" s="541"/>
      <c r="E115" s="77"/>
      <c r="F115" s="9"/>
      <c r="G115" s="9"/>
      <c r="H115" s="9"/>
      <c r="I115" s="9"/>
      <c r="J115" s="9"/>
      <c r="K115" s="235">
        <f>'[1]7'!J231</f>
        <v>307743</v>
      </c>
      <c r="L115" s="235"/>
      <c r="M115" s="235">
        <f>'[1]7'!K231</f>
        <v>6368</v>
      </c>
      <c r="N115" s="235"/>
      <c r="O115" s="9"/>
      <c r="P115" s="12">
        <f>SUM(F115:O115)</f>
        <v>314111</v>
      </c>
      <c r="Q115" s="542"/>
    </row>
    <row r="116" spans="1:17" ht="13.5" customHeight="1">
      <c r="A116" s="9"/>
      <c r="B116" s="9"/>
      <c r="C116" s="14" t="s">
        <v>1536</v>
      </c>
      <c r="D116" s="541"/>
      <c r="E116" s="77"/>
      <c r="F116" s="9"/>
      <c r="G116" s="9"/>
      <c r="H116" s="9"/>
      <c r="I116" s="9"/>
      <c r="J116" s="9"/>
      <c r="K116" s="235"/>
      <c r="L116" s="235">
        <f>'[1]8'!J175</f>
        <v>7292</v>
      </c>
      <c r="M116" s="235">
        <f>'[1]8'!K175</f>
        <v>0</v>
      </c>
      <c r="N116" s="235"/>
      <c r="O116" s="9"/>
      <c r="P116" s="12">
        <f>SUM(F116:O116)</f>
        <v>7292</v>
      </c>
      <c r="Q116" s="542"/>
    </row>
    <row r="117" spans="1:17" ht="13.5" customHeight="1">
      <c r="A117" s="233"/>
      <c r="B117" s="233"/>
      <c r="C117" s="71" t="s">
        <v>769</v>
      </c>
      <c r="D117" s="527"/>
      <c r="E117" s="68"/>
      <c r="F117" s="509">
        <f aca="true" t="shared" si="9" ref="F117:M117">SUM(F114:F116)</f>
        <v>0</v>
      </c>
      <c r="G117" s="509">
        <f t="shared" si="9"/>
        <v>0</v>
      </c>
      <c r="H117" s="509">
        <f t="shared" si="9"/>
        <v>0</v>
      </c>
      <c r="I117" s="509">
        <f t="shared" si="9"/>
        <v>0</v>
      </c>
      <c r="J117" s="509">
        <f t="shared" si="9"/>
        <v>0</v>
      </c>
      <c r="K117" s="509">
        <f t="shared" si="9"/>
        <v>307743</v>
      </c>
      <c r="L117" s="509">
        <f t="shared" si="9"/>
        <v>7292</v>
      </c>
      <c r="M117" s="509">
        <f t="shared" si="9"/>
        <v>6368</v>
      </c>
      <c r="N117" s="509"/>
      <c r="O117" s="509">
        <f>SUM(O114:O116)</f>
        <v>0</v>
      </c>
      <c r="P117" s="509">
        <f>SUM(P114:P116)</f>
        <v>321403</v>
      </c>
      <c r="Q117" s="540"/>
    </row>
    <row r="118" spans="1:17" ht="13.5" customHeight="1">
      <c r="A118" s="8">
        <v>1</v>
      </c>
      <c r="B118" s="8">
        <v>17</v>
      </c>
      <c r="C118" s="528" t="s">
        <v>1351</v>
      </c>
      <c r="D118" s="541"/>
      <c r="E118" s="77"/>
      <c r="F118" s="9"/>
      <c r="G118" s="9"/>
      <c r="H118" s="9"/>
      <c r="I118" s="9"/>
      <c r="J118" s="9"/>
      <c r="K118" s="529"/>
      <c r="L118" s="529"/>
      <c r="M118" s="529"/>
      <c r="N118" s="529"/>
      <c r="O118" s="9"/>
      <c r="P118" s="12"/>
      <c r="Q118" s="542"/>
    </row>
    <row r="119" spans="1:17" ht="15" customHeight="1">
      <c r="A119" s="8"/>
      <c r="B119" s="8"/>
      <c r="C119" s="1219" t="s">
        <v>1265</v>
      </c>
      <c r="D119" s="1363"/>
      <c r="E119" s="538"/>
      <c r="F119" s="9"/>
      <c r="G119" s="9"/>
      <c r="H119" s="9"/>
      <c r="I119" s="9"/>
      <c r="J119" s="9"/>
      <c r="K119" s="529"/>
      <c r="L119" s="529"/>
      <c r="M119" s="529"/>
      <c r="N119" s="529"/>
      <c r="O119" s="9"/>
      <c r="P119" s="12"/>
      <c r="Q119" s="542"/>
    </row>
    <row r="120" spans="1:17" ht="13.5" customHeight="1">
      <c r="A120" s="8"/>
      <c r="B120" s="8"/>
      <c r="C120" s="1280" t="s">
        <v>915</v>
      </c>
      <c r="D120" s="1362"/>
      <c r="E120" s="544">
        <v>1</v>
      </c>
      <c r="F120" s="9"/>
      <c r="G120" s="9"/>
      <c r="H120" s="235">
        <v>8603</v>
      </c>
      <c r="I120" s="9"/>
      <c r="J120" s="9"/>
      <c r="K120" s="529"/>
      <c r="L120" s="529"/>
      <c r="M120" s="529"/>
      <c r="N120" s="529"/>
      <c r="O120" s="9"/>
      <c r="P120" s="12">
        <f aca="true" t="shared" si="10" ref="P120:P126">SUM(F120:O120)</f>
        <v>8603</v>
      </c>
      <c r="Q120" s="530" t="s">
        <v>809</v>
      </c>
    </row>
    <row r="121" spans="1:17" ht="13.5" customHeight="1">
      <c r="A121" s="8"/>
      <c r="B121" s="8"/>
      <c r="C121" s="14" t="s">
        <v>1415</v>
      </c>
      <c r="D121" s="541"/>
      <c r="E121" s="63">
        <v>1</v>
      </c>
      <c r="F121" s="9"/>
      <c r="G121" s="9"/>
      <c r="H121" s="235">
        <v>508</v>
      </c>
      <c r="I121" s="9"/>
      <c r="J121" s="9"/>
      <c r="K121" s="529"/>
      <c r="L121" s="529"/>
      <c r="M121" s="529"/>
      <c r="N121" s="529"/>
      <c r="O121" s="9"/>
      <c r="P121" s="12">
        <f t="shared" si="10"/>
        <v>508</v>
      </c>
      <c r="Q121" s="530" t="s">
        <v>809</v>
      </c>
    </row>
    <row r="122" spans="1:17" ht="13.5" customHeight="1">
      <c r="A122" s="8"/>
      <c r="B122" s="8"/>
      <c r="C122" s="14" t="s">
        <v>95</v>
      </c>
      <c r="D122" s="541"/>
      <c r="E122" s="63">
        <v>1</v>
      </c>
      <c r="F122" s="9"/>
      <c r="G122" s="9"/>
      <c r="H122" s="235">
        <v>2555</v>
      </c>
      <c r="I122" s="9"/>
      <c r="J122" s="9"/>
      <c r="K122" s="529"/>
      <c r="L122" s="529"/>
      <c r="M122" s="529"/>
      <c r="N122" s="529"/>
      <c r="O122" s="9"/>
      <c r="P122" s="12">
        <f t="shared" si="10"/>
        <v>2555</v>
      </c>
      <c r="Q122" s="530" t="s">
        <v>809</v>
      </c>
    </row>
    <row r="123" spans="1:17" ht="13.5" customHeight="1">
      <c r="A123" s="8"/>
      <c r="B123" s="8"/>
      <c r="C123" s="14" t="s">
        <v>98</v>
      </c>
      <c r="D123" s="541"/>
      <c r="E123" s="63">
        <v>1</v>
      </c>
      <c r="F123" s="9"/>
      <c r="G123" s="9"/>
      <c r="H123" s="235">
        <v>420</v>
      </c>
      <c r="I123" s="9"/>
      <c r="J123" s="9"/>
      <c r="K123" s="529"/>
      <c r="L123" s="529"/>
      <c r="M123" s="529"/>
      <c r="N123" s="529"/>
      <c r="O123" s="9"/>
      <c r="P123" s="12">
        <f t="shared" si="10"/>
        <v>420</v>
      </c>
      <c r="Q123" s="530" t="s">
        <v>809</v>
      </c>
    </row>
    <row r="124" spans="1:17" ht="13.5" customHeight="1">
      <c r="A124" s="8"/>
      <c r="B124" s="8"/>
      <c r="C124" s="14" t="s">
        <v>698</v>
      </c>
      <c r="D124" s="541"/>
      <c r="E124" s="63">
        <v>1</v>
      </c>
      <c r="F124" s="9"/>
      <c r="G124" s="9"/>
      <c r="H124" s="235">
        <v>469</v>
      </c>
      <c r="I124" s="9"/>
      <c r="J124" s="9"/>
      <c r="K124" s="529"/>
      <c r="L124" s="529"/>
      <c r="M124" s="529"/>
      <c r="N124" s="529"/>
      <c r="O124" s="9"/>
      <c r="P124" s="12">
        <f t="shared" si="10"/>
        <v>469</v>
      </c>
      <c r="Q124" s="530" t="s">
        <v>809</v>
      </c>
    </row>
    <row r="125" spans="1:17" ht="24.75" customHeight="1">
      <c r="A125" s="8"/>
      <c r="B125" s="8"/>
      <c r="C125" s="1360" t="s">
        <v>916</v>
      </c>
      <c r="D125" s="1361"/>
      <c r="E125" s="63">
        <v>1</v>
      </c>
      <c r="F125" s="9"/>
      <c r="G125" s="9"/>
      <c r="H125" s="235"/>
      <c r="I125" s="9"/>
      <c r="J125" s="235">
        <v>2500</v>
      </c>
      <c r="K125" s="529"/>
      <c r="L125" s="529"/>
      <c r="M125" s="529"/>
      <c r="N125" s="529"/>
      <c r="O125" s="9"/>
      <c r="P125" s="12">
        <f t="shared" si="10"/>
        <v>2500</v>
      </c>
      <c r="Q125" s="530" t="s">
        <v>809</v>
      </c>
    </row>
    <row r="126" spans="1:17" ht="15" customHeight="1">
      <c r="A126" s="8"/>
      <c r="B126" s="8"/>
      <c r="C126" s="1322" t="s">
        <v>917</v>
      </c>
      <c r="D126" s="1323"/>
      <c r="E126" s="63">
        <v>1</v>
      </c>
      <c r="F126" s="9"/>
      <c r="G126" s="9"/>
      <c r="H126" s="235">
        <v>-500</v>
      </c>
      <c r="I126" s="9"/>
      <c r="J126" s="235"/>
      <c r="K126" s="529"/>
      <c r="L126" s="529"/>
      <c r="M126" s="529"/>
      <c r="N126" s="529"/>
      <c r="O126" s="9"/>
      <c r="P126" s="12">
        <f t="shared" si="10"/>
        <v>-500</v>
      </c>
      <c r="Q126" s="530" t="s">
        <v>809</v>
      </c>
    </row>
    <row r="127" spans="1:17" ht="13.5" customHeight="1">
      <c r="A127" s="8"/>
      <c r="B127" s="8"/>
      <c r="C127" s="1231" t="s">
        <v>1264</v>
      </c>
      <c r="D127" s="1313"/>
      <c r="E127" s="534"/>
      <c r="F127" s="9"/>
      <c r="G127" s="9"/>
      <c r="H127" s="235"/>
      <c r="I127" s="9"/>
      <c r="J127" s="9"/>
      <c r="K127" s="529"/>
      <c r="L127" s="529"/>
      <c r="M127" s="529"/>
      <c r="N127" s="529"/>
      <c r="O127" s="9"/>
      <c r="P127" s="12"/>
      <c r="Q127" s="530"/>
    </row>
    <row r="128" spans="1:17" ht="13.5" customHeight="1">
      <c r="A128" s="8"/>
      <c r="B128" s="8"/>
      <c r="C128" s="15" t="s">
        <v>772</v>
      </c>
      <c r="D128" s="531"/>
      <c r="E128" s="78">
        <v>1</v>
      </c>
      <c r="F128" s="9"/>
      <c r="G128" s="9"/>
      <c r="H128" s="235">
        <v>-80000</v>
      </c>
      <c r="I128" s="9"/>
      <c r="J128" s="235">
        <v>49307</v>
      </c>
      <c r="K128" s="529"/>
      <c r="L128" s="529"/>
      <c r="M128" s="529"/>
      <c r="N128" s="529"/>
      <c r="O128" s="9"/>
      <c r="P128" s="12">
        <f>SUM(F128:O128)</f>
        <v>-30693</v>
      </c>
      <c r="Q128" s="530" t="s">
        <v>809</v>
      </c>
    </row>
    <row r="129" spans="1:17" ht="13.5" customHeight="1">
      <c r="A129" s="505"/>
      <c r="B129" s="505"/>
      <c r="C129" s="71" t="s">
        <v>918</v>
      </c>
      <c r="D129" s="527"/>
      <c r="E129" s="68"/>
      <c r="F129" s="509">
        <f aca="true" t="shared" si="11" ref="F129:P129">SUM(F120:F128)</f>
        <v>0</v>
      </c>
      <c r="G129" s="509">
        <f t="shared" si="11"/>
        <v>0</v>
      </c>
      <c r="H129" s="509">
        <f t="shared" si="11"/>
        <v>-67945</v>
      </c>
      <c r="I129" s="509">
        <f t="shared" si="11"/>
        <v>0</v>
      </c>
      <c r="J129" s="509">
        <f t="shared" si="11"/>
        <v>51807</v>
      </c>
      <c r="K129" s="509">
        <f t="shared" si="11"/>
        <v>0</v>
      </c>
      <c r="L129" s="509">
        <f t="shared" si="11"/>
        <v>0</v>
      </c>
      <c r="M129" s="509">
        <f t="shared" si="11"/>
        <v>0</v>
      </c>
      <c r="N129" s="509">
        <f t="shared" si="11"/>
        <v>0</v>
      </c>
      <c r="O129" s="509">
        <f t="shared" si="11"/>
        <v>0</v>
      </c>
      <c r="P129" s="509">
        <f t="shared" si="11"/>
        <v>-16138</v>
      </c>
      <c r="Q129" s="540"/>
    </row>
    <row r="130" spans="1:17" ht="13.5" customHeight="1">
      <c r="A130" s="8"/>
      <c r="B130" s="8"/>
      <c r="C130" s="14" t="s">
        <v>903</v>
      </c>
      <c r="D130" s="541"/>
      <c r="E130" s="77"/>
      <c r="F130" s="9"/>
      <c r="G130" s="9"/>
      <c r="H130" s="9"/>
      <c r="I130" s="9"/>
      <c r="J130" s="9"/>
      <c r="K130" s="529">
        <f>'[1]7'!J241</f>
        <v>560</v>
      </c>
      <c r="L130" s="235"/>
      <c r="M130" s="235">
        <f>'[1]7'!K241</f>
        <v>-300</v>
      </c>
      <c r="N130" s="235"/>
      <c r="O130" s="9"/>
      <c r="P130" s="12">
        <f>SUM(F130:O130)</f>
        <v>260</v>
      </c>
      <c r="Q130" s="542"/>
    </row>
    <row r="131" spans="1:17" ht="13.5" customHeight="1">
      <c r="A131" s="8"/>
      <c r="B131" s="8"/>
      <c r="C131" s="14" t="s">
        <v>1545</v>
      </c>
      <c r="D131" s="541"/>
      <c r="E131" s="77"/>
      <c r="F131" s="9"/>
      <c r="G131" s="9"/>
      <c r="H131" s="9"/>
      <c r="I131" s="9"/>
      <c r="J131" s="9"/>
      <c r="K131" s="529"/>
      <c r="L131" s="235">
        <f>'[1]8'!J181</f>
        <v>0</v>
      </c>
      <c r="M131" s="235">
        <f>'[1]8'!K181</f>
        <v>13970</v>
      </c>
      <c r="N131" s="235"/>
      <c r="O131" s="9"/>
      <c r="P131" s="12">
        <f>SUM(F131:O131)</f>
        <v>13970</v>
      </c>
      <c r="Q131" s="542"/>
    </row>
    <row r="132" spans="1:17" ht="13.5" customHeight="1">
      <c r="A132" s="505"/>
      <c r="B132" s="505"/>
      <c r="C132" s="71" t="s">
        <v>282</v>
      </c>
      <c r="D132" s="527"/>
      <c r="E132" s="68"/>
      <c r="F132" s="509">
        <f aca="true" t="shared" si="12" ref="F132:P132">SUM(F129:F131)</f>
        <v>0</v>
      </c>
      <c r="G132" s="509">
        <f t="shared" si="12"/>
        <v>0</v>
      </c>
      <c r="H132" s="509">
        <f t="shared" si="12"/>
        <v>-67945</v>
      </c>
      <c r="I132" s="509">
        <f t="shared" si="12"/>
        <v>0</v>
      </c>
      <c r="J132" s="509">
        <f t="shared" si="12"/>
        <v>51807</v>
      </c>
      <c r="K132" s="509">
        <f t="shared" si="12"/>
        <v>560</v>
      </c>
      <c r="L132" s="509">
        <f t="shared" si="12"/>
        <v>0</v>
      </c>
      <c r="M132" s="509">
        <f t="shared" si="12"/>
        <v>13670</v>
      </c>
      <c r="N132" s="509">
        <f t="shared" si="12"/>
        <v>0</v>
      </c>
      <c r="O132" s="509">
        <f t="shared" si="12"/>
        <v>0</v>
      </c>
      <c r="P132" s="509">
        <f t="shared" si="12"/>
        <v>-1908</v>
      </c>
      <c r="Q132" s="540"/>
    </row>
    <row r="133" spans="1:17" ht="13.5" customHeight="1">
      <c r="A133" s="8">
        <v>1</v>
      </c>
      <c r="B133" s="8">
        <v>18</v>
      </c>
      <c r="C133" s="528" t="s">
        <v>1580</v>
      </c>
      <c r="D133" s="541"/>
      <c r="E133" s="77"/>
      <c r="F133" s="9"/>
      <c r="G133" s="9"/>
      <c r="H133" s="9"/>
      <c r="I133" s="9"/>
      <c r="J133" s="9"/>
      <c r="K133" s="529"/>
      <c r="L133" s="529"/>
      <c r="M133" s="529"/>
      <c r="N133" s="529"/>
      <c r="O133" s="9"/>
      <c r="P133" s="12"/>
      <c r="Q133" s="542"/>
    </row>
    <row r="134" spans="1:17" ht="24.75" customHeight="1">
      <c r="A134" s="8"/>
      <c r="B134" s="8"/>
      <c r="C134" s="1331" t="s">
        <v>162</v>
      </c>
      <c r="D134" s="1332"/>
      <c r="E134" s="545"/>
      <c r="F134" s="9"/>
      <c r="G134" s="9"/>
      <c r="H134" s="9"/>
      <c r="I134" s="9"/>
      <c r="J134" s="9"/>
      <c r="K134" s="529"/>
      <c r="L134" s="529"/>
      <c r="M134" s="529"/>
      <c r="N134" s="529"/>
      <c r="O134" s="9"/>
      <c r="P134" s="12"/>
      <c r="Q134" s="542"/>
    </row>
    <row r="135" spans="1:17" ht="13.5" customHeight="1">
      <c r="A135" s="8"/>
      <c r="B135" s="8"/>
      <c r="C135" s="1215" t="s">
        <v>919</v>
      </c>
      <c r="D135" s="1259"/>
      <c r="E135" s="458">
        <v>1</v>
      </c>
      <c r="F135" s="9"/>
      <c r="G135" s="9"/>
      <c r="H135" s="235">
        <v>924</v>
      </c>
      <c r="I135" s="9"/>
      <c r="J135" s="235">
        <v>1100</v>
      </c>
      <c r="K135" s="529"/>
      <c r="L135" s="529"/>
      <c r="M135" s="529"/>
      <c r="N135" s="529"/>
      <c r="O135" s="9"/>
      <c r="P135" s="12">
        <f>SUM(F135:O135)</f>
        <v>2024</v>
      </c>
      <c r="Q135" s="546" t="s">
        <v>809</v>
      </c>
    </row>
    <row r="136" spans="1:17" ht="13.5" customHeight="1">
      <c r="A136" s="8"/>
      <c r="B136" s="8"/>
      <c r="C136" s="1333" t="s">
        <v>920</v>
      </c>
      <c r="D136" s="1334"/>
      <c r="E136" s="458">
        <v>1</v>
      </c>
      <c r="F136" s="9"/>
      <c r="G136" s="9"/>
      <c r="H136" s="235">
        <v>300</v>
      </c>
      <c r="I136" s="9"/>
      <c r="J136" s="9"/>
      <c r="K136" s="529"/>
      <c r="L136" s="529"/>
      <c r="M136" s="529"/>
      <c r="N136" s="529"/>
      <c r="O136" s="9"/>
      <c r="P136" s="12">
        <f>SUM(F136:O136)</f>
        <v>300</v>
      </c>
      <c r="Q136" s="546" t="s">
        <v>809</v>
      </c>
    </row>
    <row r="137" spans="1:17" ht="13.5" customHeight="1">
      <c r="A137" s="505"/>
      <c r="B137" s="505"/>
      <c r="C137" s="71" t="s">
        <v>921</v>
      </c>
      <c r="D137" s="527"/>
      <c r="E137" s="68"/>
      <c r="F137" s="509">
        <f aca="true" t="shared" si="13" ref="F137:P137">SUM(F134:F136)</f>
        <v>0</v>
      </c>
      <c r="G137" s="509">
        <f t="shared" si="13"/>
        <v>0</v>
      </c>
      <c r="H137" s="509">
        <f t="shared" si="13"/>
        <v>1224</v>
      </c>
      <c r="I137" s="509">
        <f t="shared" si="13"/>
        <v>0</v>
      </c>
      <c r="J137" s="509">
        <f t="shared" si="13"/>
        <v>1100</v>
      </c>
      <c r="K137" s="509">
        <f t="shared" si="13"/>
        <v>0</v>
      </c>
      <c r="L137" s="509">
        <f t="shared" si="13"/>
        <v>0</v>
      </c>
      <c r="M137" s="509">
        <f t="shared" si="13"/>
        <v>0</v>
      </c>
      <c r="N137" s="509">
        <f t="shared" si="13"/>
        <v>0</v>
      </c>
      <c r="O137" s="509">
        <f t="shared" si="13"/>
        <v>0</v>
      </c>
      <c r="P137" s="509">
        <f t="shared" si="13"/>
        <v>2324</v>
      </c>
      <c r="Q137" s="540"/>
    </row>
    <row r="138" spans="1:17" ht="13.5" customHeight="1">
      <c r="A138" s="8"/>
      <c r="B138" s="8"/>
      <c r="C138" s="14" t="s">
        <v>903</v>
      </c>
      <c r="D138" s="541"/>
      <c r="E138" s="77"/>
      <c r="F138" s="9"/>
      <c r="G138" s="9"/>
      <c r="H138" s="9"/>
      <c r="I138" s="9"/>
      <c r="J138" s="9"/>
      <c r="K138" s="529">
        <f>'[1]7'!J244</f>
        <v>0</v>
      </c>
      <c r="L138" s="529"/>
      <c r="M138" s="529">
        <f>'[1]7'!K244</f>
        <v>0</v>
      </c>
      <c r="N138" s="529"/>
      <c r="O138" s="9"/>
      <c r="P138" s="12">
        <f>SUM(F138:O138)</f>
        <v>0</v>
      </c>
      <c r="Q138" s="542"/>
    </row>
    <row r="139" spans="1:17" ht="13.5" customHeight="1">
      <c r="A139" s="505"/>
      <c r="B139" s="505"/>
      <c r="C139" s="71" t="s">
        <v>718</v>
      </c>
      <c r="D139" s="527"/>
      <c r="E139" s="68"/>
      <c r="F139" s="509">
        <f aca="true" t="shared" si="14" ref="F139:P139">SUM(F137:F138)</f>
        <v>0</v>
      </c>
      <c r="G139" s="509">
        <f t="shared" si="14"/>
        <v>0</v>
      </c>
      <c r="H139" s="509">
        <f t="shared" si="14"/>
        <v>1224</v>
      </c>
      <c r="I139" s="509">
        <f t="shared" si="14"/>
        <v>0</v>
      </c>
      <c r="J139" s="509">
        <f t="shared" si="14"/>
        <v>1100</v>
      </c>
      <c r="K139" s="509">
        <f t="shared" si="14"/>
        <v>0</v>
      </c>
      <c r="L139" s="509">
        <f t="shared" si="14"/>
        <v>0</v>
      </c>
      <c r="M139" s="509">
        <f t="shared" si="14"/>
        <v>0</v>
      </c>
      <c r="N139" s="509">
        <f t="shared" si="14"/>
        <v>0</v>
      </c>
      <c r="O139" s="509">
        <f t="shared" si="14"/>
        <v>0</v>
      </c>
      <c r="P139" s="509">
        <f t="shared" si="14"/>
        <v>2324</v>
      </c>
      <c r="Q139" s="540"/>
    </row>
    <row r="140" spans="1:17" ht="13.5" customHeight="1">
      <c r="A140" s="78">
        <v>1</v>
      </c>
      <c r="B140" s="78">
        <v>19</v>
      </c>
      <c r="C140" s="19" t="s">
        <v>676</v>
      </c>
      <c r="D140" s="531"/>
      <c r="E140" s="7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2"/>
      <c r="Q140" s="499"/>
    </row>
    <row r="141" spans="1:17" ht="13.5" customHeight="1">
      <c r="A141" s="78"/>
      <c r="B141" s="78"/>
      <c r="C141" s="598" t="s">
        <v>1228</v>
      </c>
      <c r="D141" s="1309"/>
      <c r="E141" s="534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12"/>
      <c r="Q141" s="499"/>
    </row>
    <row r="142" spans="1:17" ht="13.5" customHeight="1">
      <c r="A142" s="78"/>
      <c r="B142" s="78"/>
      <c r="C142" s="1231" t="s">
        <v>144</v>
      </c>
      <c r="D142" s="1314"/>
      <c r="E142" s="534">
        <v>1</v>
      </c>
      <c r="F142" s="235"/>
      <c r="G142" s="235"/>
      <c r="H142" s="235">
        <v>-10000</v>
      </c>
      <c r="I142" s="235"/>
      <c r="J142" s="235">
        <v>59263</v>
      </c>
      <c r="K142" s="235"/>
      <c r="L142" s="235"/>
      <c r="M142" s="235"/>
      <c r="N142" s="235"/>
      <c r="O142" s="235"/>
      <c r="P142" s="12">
        <f>SUM(F142:O142)</f>
        <v>49263</v>
      </c>
      <c r="Q142" s="499" t="s">
        <v>809</v>
      </c>
    </row>
    <row r="143" spans="1:17" ht="24.75" customHeight="1">
      <c r="A143" s="78"/>
      <c r="B143" s="78"/>
      <c r="C143" s="1331" t="s">
        <v>162</v>
      </c>
      <c r="D143" s="1332"/>
      <c r="E143" s="54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12"/>
      <c r="Q143" s="499"/>
    </row>
    <row r="144" spans="1:17" ht="13.5" customHeight="1">
      <c r="A144" s="78"/>
      <c r="B144" s="78"/>
      <c r="C144" s="15" t="s">
        <v>721</v>
      </c>
      <c r="D144" s="535"/>
      <c r="E144" s="534">
        <v>1</v>
      </c>
      <c r="F144" s="235"/>
      <c r="G144" s="235"/>
      <c r="H144" s="235">
        <v>119525</v>
      </c>
      <c r="I144" s="235"/>
      <c r="J144" s="235"/>
      <c r="K144" s="235"/>
      <c r="L144" s="235"/>
      <c r="M144" s="235"/>
      <c r="N144" s="235"/>
      <c r="O144" s="235"/>
      <c r="P144" s="12">
        <f aca="true" t="shared" si="15" ref="P144:P151">SUM(F144:O144)</f>
        <v>119525</v>
      </c>
      <c r="Q144" s="499" t="s">
        <v>809</v>
      </c>
    </row>
    <row r="145" spans="1:17" ht="13.5" customHeight="1">
      <c r="A145" s="78"/>
      <c r="B145" s="78"/>
      <c r="C145" s="15" t="s">
        <v>723</v>
      </c>
      <c r="D145" s="531"/>
      <c r="E145" s="78">
        <v>2</v>
      </c>
      <c r="F145" s="235"/>
      <c r="G145" s="235"/>
      <c r="H145" s="235">
        <v>140</v>
      </c>
      <c r="I145" s="235"/>
      <c r="J145" s="235"/>
      <c r="K145" s="235"/>
      <c r="L145" s="235"/>
      <c r="M145" s="235"/>
      <c r="N145" s="235"/>
      <c r="O145" s="235"/>
      <c r="P145" s="12">
        <f t="shared" si="15"/>
        <v>140</v>
      </c>
      <c r="Q145" s="499" t="s">
        <v>809</v>
      </c>
    </row>
    <row r="146" spans="1:17" ht="24.75" customHeight="1">
      <c r="A146" s="78"/>
      <c r="B146" s="78"/>
      <c r="C146" s="1335" t="s">
        <v>922</v>
      </c>
      <c r="D146" s="1336"/>
      <c r="E146" s="78">
        <v>1</v>
      </c>
      <c r="F146" s="235"/>
      <c r="G146" s="235"/>
      <c r="H146" s="235"/>
      <c r="I146" s="235"/>
      <c r="J146" s="235">
        <v>19750</v>
      </c>
      <c r="K146" s="235"/>
      <c r="L146" s="235"/>
      <c r="M146" s="235"/>
      <c r="N146" s="235"/>
      <c r="O146" s="235"/>
      <c r="P146" s="12">
        <f t="shared" si="15"/>
        <v>19750</v>
      </c>
      <c r="Q146" s="499" t="s">
        <v>809</v>
      </c>
    </row>
    <row r="147" spans="1:17" ht="24.75" customHeight="1">
      <c r="A147" s="78"/>
      <c r="B147" s="78"/>
      <c r="C147" s="1233" t="s">
        <v>612</v>
      </c>
      <c r="D147" s="1337"/>
      <c r="E147" s="534">
        <v>1</v>
      </c>
      <c r="F147" s="235"/>
      <c r="G147" s="235"/>
      <c r="H147" s="235"/>
      <c r="I147" s="235"/>
      <c r="J147" s="235">
        <v>14114</v>
      </c>
      <c r="K147" s="235"/>
      <c r="L147" s="235"/>
      <c r="M147" s="235"/>
      <c r="N147" s="235"/>
      <c r="O147" s="235"/>
      <c r="P147" s="12">
        <f t="shared" si="15"/>
        <v>14114</v>
      </c>
      <c r="Q147" s="499" t="s">
        <v>809</v>
      </c>
    </row>
    <row r="148" spans="1:17" ht="24.75" customHeight="1">
      <c r="A148" s="78"/>
      <c r="B148" s="78"/>
      <c r="C148" s="1339" t="s">
        <v>923</v>
      </c>
      <c r="D148" s="1340"/>
      <c r="E148" s="534">
        <v>1</v>
      </c>
      <c r="F148" s="235"/>
      <c r="G148" s="235"/>
      <c r="H148" s="235"/>
      <c r="I148" s="235"/>
      <c r="J148" s="235">
        <v>339</v>
      </c>
      <c r="K148" s="235"/>
      <c r="L148" s="235"/>
      <c r="M148" s="235"/>
      <c r="N148" s="235"/>
      <c r="O148" s="235"/>
      <c r="P148" s="12">
        <f t="shared" si="15"/>
        <v>339</v>
      </c>
      <c r="Q148" s="499" t="s">
        <v>809</v>
      </c>
    </row>
    <row r="149" spans="1:17" ht="24.75" customHeight="1">
      <c r="A149" s="78"/>
      <c r="B149" s="78"/>
      <c r="C149" s="1233" t="s">
        <v>924</v>
      </c>
      <c r="D149" s="1337"/>
      <c r="E149" s="534">
        <v>1</v>
      </c>
      <c r="F149" s="235"/>
      <c r="G149" s="235"/>
      <c r="H149" s="235"/>
      <c r="I149" s="235"/>
      <c r="J149" s="235">
        <v>1021</v>
      </c>
      <c r="K149" s="235"/>
      <c r="L149" s="235"/>
      <c r="M149" s="235"/>
      <c r="N149" s="235"/>
      <c r="O149" s="235"/>
      <c r="P149" s="12">
        <f t="shared" si="15"/>
        <v>1021</v>
      </c>
      <c r="Q149" s="499" t="s">
        <v>809</v>
      </c>
    </row>
    <row r="150" spans="1:17" ht="13.5" customHeight="1">
      <c r="A150" s="78"/>
      <c r="B150" s="78"/>
      <c r="C150" s="14" t="s">
        <v>1226</v>
      </c>
      <c r="D150" s="543"/>
      <c r="E150" s="534">
        <v>2</v>
      </c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12">
        <f t="shared" si="15"/>
        <v>0</v>
      </c>
      <c r="Q150" s="499" t="s">
        <v>809</v>
      </c>
    </row>
    <row r="151" spans="1:17" ht="13.5" customHeight="1">
      <c r="A151" s="78"/>
      <c r="B151" s="78"/>
      <c r="C151" s="14" t="s">
        <v>925</v>
      </c>
      <c r="D151" s="535"/>
      <c r="E151" s="534">
        <v>2</v>
      </c>
      <c r="F151" s="235"/>
      <c r="G151" s="235"/>
      <c r="H151" s="235"/>
      <c r="I151" s="235"/>
      <c r="J151" s="235">
        <v>4900</v>
      </c>
      <c r="K151" s="235"/>
      <c r="L151" s="235"/>
      <c r="M151" s="235"/>
      <c r="N151" s="235"/>
      <c r="O151" s="235"/>
      <c r="P151" s="12">
        <f t="shared" si="15"/>
        <v>4900</v>
      </c>
      <c r="Q151" s="499" t="s">
        <v>809</v>
      </c>
    </row>
    <row r="152" spans="1:17" ht="15" customHeight="1">
      <c r="A152" s="78"/>
      <c r="B152" s="78"/>
      <c r="C152" s="1233" t="s">
        <v>160</v>
      </c>
      <c r="D152" s="1310"/>
      <c r="E152" s="547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12"/>
      <c r="Q152" s="499"/>
    </row>
    <row r="153" spans="1:17" ht="15" customHeight="1">
      <c r="A153" s="78"/>
      <c r="B153" s="78"/>
      <c r="C153" s="1235" t="s">
        <v>926</v>
      </c>
      <c r="D153" s="1336"/>
      <c r="E153" s="547">
        <v>2</v>
      </c>
      <c r="F153" s="235"/>
      <c r="G153" s="235"/>
      <c r="H153" s="235">
        <v>54</v>
      </c>
      <c r="I153" s="235"/>
      <c r="J153" s="235"/>
      <c r="K153" s="235"/>
      <c r="L153" s="235"/>
      <c r="M153" s="235"/>
      <c r="N153" s="235"/>
      <c r="O153" s="235"/>
      <c r="P153" s="12">
        <f>SUM(F153:O153)</f>
        <v>54</v>
      </c>
      <c r="Q153" s="499" t="s">
        <v>809</v>
      </c>
    </row>
    <row r="154" spans="1:17" ht="24.75" customHeight="1">
      <c r="A154" s="78"/>
      <c r="B154" s="78"/>
      <c r="C154" s="1215" t="s">
        <v>1235</v>
      </c>
      <c r="D154" s="1308"/>
      <c r="E154" s="547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12"/>
      <c r="Q154" s="499"/>
    </row>
    <row r="155" spans="1:17" ht="15" customHeight="1">
      <c r="A155" s="78"/>
      <c r="B155" s="78"/>
      <c r="C155" s="1233" t="s">
        <v>927</v>
      </c>
      <c r="D155" s="1337"/>
      <c r="E155" s="547">
        <v>1</v>
      </c>
      <c r="F155" s="235"/>
      <c r="G155" s="235"/>
      <c r="H155" s="235">
        <v>18159</v>
      </c>
      <c r="I155" s="235"/>
      <c r="J155" s="235"/>
      <c r="K155" s="235"/>
      <c r="L155" s="235"/>
      <c r="M155" s="235"/>
      <c r="N155" s="235">
        <v>938096</v>
      </c>
      <c r="O155" s="235">
        <v>225172</v>
      </c>
      <c r="P155" s="12">
        <f>SUM(H155:O155)</f>
        <v>1181427</v>
      </c>
      <c r="Q155" s="499" t="s">
        <v>809</v>
      </c>
    </row>
    <row r="156" spans="1:17" ht="24.75" customHeight="1">
      <c r="A156" s="78"/>
      <c r="B156" s="78"/>
      <c r="C156" s="1215" t="s">
        <v>732</v>
      </c>
      <c r="D156" s="1308"/>
      <c r="E156" s="78">
        <v>1</v>
      </c>
      <c r="F156" s="9"/>
      <c r="G156" s="9"/>
      <c r="H156" s="235">
        <v>-5000</v>
      </c>
      <c r="I156" s="8"/>
      <c r="J156" s="8"/>
      <c r="K156" s="8"/>
      <c r="L156" s="9"/>
      <c r="M156" s="9"/>
      <c r="N156" s="9"/>
      <c r="O156" s="9"/>
      <c r="P156" s="12">
        <f>SUM(F156:O156)</f>
        <v>-5000</v>
      </c>
      <c r="Q156" s="499" t="s">
        <v>809</v>
      </c>
    </row>
    <row r="157" spans="1:17" ht="13.5" customHeight="1">
      <c r="A157" s="508"/>
      <c r="B157" s="508"/>
      <c r="C157" s="71" t="s">
        <v>928</v>
      </c>
      <c r="D157" s="507"/>
      <c r="E157" s="508"/>
      <c r="F157" s="509">
        <f aca="true" t="shared" si="16" ref="F157:P157">SUM(F141:F156)</f>
        <v>0</v>
      </c>
      <c r="G157" s="509">
        <f t="shared" si="16"/>
        <v>0</v>
      </c>
      <c r="H157" s="509">
        <f t="shared" si="16"/>
        <v>122878</v>
      </c>
      <c r="I157" s="509">
        <f t="shared" si="16"/>
        <v>0</v>
      </c>
      <c r="J157" s="509">
        <f t="shared" si="16"/>
        <v>99387</v>
      </c>
      <c r="K157" s="509">
        <f t="shared" si="16"/>
        <v>0</v>
      </c>
      <c r="L157" s="509">
        <f t="shared" si="16"/>
        <v>0</v>
      </c>
      <c r="M157" s="509">
        <f t="shared" si="16"/>
        <v>0</v>
      </c>
      <c r="N157" s="509">
        <f t="shared" si="16"/>
        <v>938096</v>
      </c>
      <c r="O157" s="509">
        <f t="shared" si="16"/>
        <v>225172</v>
      </c>
      <c r="P157" s="509">
        <f t="shared" si="16"/>
        <v>1385533</v>
      </c>
      <c r="Q157" s="510"/>
    </row>
    <row r="158" spans="1:17" ht="13.5" customHeight="1">
      <c r="A158" s="8"/>
      <c r="B158" s="8"/>
      <c r="C158" s="15" t="s">
        <v>903</v>
      </c>
      <c r="D158" s="59"/>
      <c r="E158" s="78"/>
      <c r="F158" s="9"/>
      <c r="G158" s="9"/>
      <c r="H158" s="9"/>
      <c r="I158" s="9"/>
      <c r="J158" s="9"/>
      <c r="K158" s="529">
        <f>'[1]7'!J250</f>
        <v>0</v>
      </c>
      <c r="L158" s="529"/>
      <c r="M158" s="235">
        <f>'[1]7'!K250</f>
        <v>7550</v>
      </c>
      <c r="N158" s="235"/>
      <c r="O158" s="9"/>
      <c r="P158" s="12">
        <f>SUM(F158:O158)</f>
        <v>7550</v>
      </c>
      <c r="Q158" s="499" t="s">
        <v>809</v>
      </c>
    </row>
    <row r="159" spans="1:17" ht="13.5" customHeight="1">
      <c r="A159" s="8"/>
      <c r="B159" s="8"/>
      <c r="C159" s="15" t="s">
        <v>1545</v>
      </c>
      <c r="D159" s="59"/>
      <c r="E159" s="78"/>
      <c r="F159" s="9"/>
      <c r="G159" s="9"/>
      <c r="H159" s="9"/>
      <c r="I159" s="9"/>
      <c r="J159" s="9"/>
      <c r="K159" s="529"/>
      <c r="L159" s="529">
        <f>'[1]8'!K185</f>
        <v>0</v>
      </c>
      <c r="M159" s="235">
        <f>'[1]8'!K185</f>
        <v>0</v>
      </c>
      <c r="N159" s="235"/>
      <c r="O159" s="9"/>
      <c r="P159" s="12">
        <f>SUM(F159:O159)</f>
        <v>0</v>
      </c>
      <c r="Q159" s="499"/>
    </row>
    <row r="160" spans="1:17" ht="13.5" customHeight="1">
      <c r="A160" s="505"/>
      <c r="B160" s="505"/>
      <c r="C160" s="71" t="s">
        <v>678</v>
      </c>
      <c r="D160" s="507"/>
      <c r="E160" s="508"/>
      <c r="F160" s="509">
        <f aca="true" t="shared" si="17" ref="F160:P160">SUM(F157:F159)</f>
        <v>0</v>
      </c>
      <c r="G160" s="509">
        <f t="shared" si="17"/>
        <v>0</v>
      </c>
      <c r="H160" s="509">
        <f t="shared" si="17"/>
        <v>122878</v>
      </c>
      <c r="I160" s="509">
        <f t="shared" si="17"/>
        <v>0</v>
      </c>
      <c r="J160" s="509">
        <f t="shared" si="17"/>
        <v>99387</v>
      </c>
      <c r="K160" s="509">
        <f t="shared" si="17"/>
        <v>0</v>
      </c>
      <c r="L160" s="509">
        <f t="shared" si="17"/>
        <v>0</v>
      </c>
      <c r="M160" s="509">
        <f t="shared" si="17"/>
        <v>7550</v>
      </c>
      <c r="N160" s="509">
        <f t="shared" si="17"/>
        <v>938096</v>
      </c>
      <c r="O160" s="509">
        <f t="shared" si="17"/>
        <v>225172</v>
      </c>
      <c r="P160" s="509">
        <f t="shared" si="17"/>
        <v>1393083</v>
      </c>
      <c r="Q160" s="510"/>
    </row>
    <row r="161" spans="1:17" ht="24.75" customHeight="1">
      <c r="A161" s="8">
        <v>1</v>
      </c>
      <c r="B161" s="8">
        <v>20</v>
      </c>
      <c r="C161" s="594" t="s">
        <v>162</v>
      </c>
      <c r="D161" s="1341"/>
      <c r="E161" s="63"/>
      <c r="F161" s="9"/>
      <c r="G161" s="9"/>
      <c r="H161" s="548"/>
      <c r="I161" s="548"/>
      <c r="J161" s="548"/>
      <c r="K161" s="548"/>
      <c r="L161" s="548"/>
      <c r="M161" s="548"/>
      <c r="N161" s="548"/>
      <c r="O161" s="548"/>
      <c r="P161" s="12">
        <f>SUM(F161:O161)</f>
        <v>0</v>
      </c>
      <c r="Q161" s="530"/>
    </row>
    <row r="162" spans="1:17" ht="13.5" customHeight="1">
      <c r="A162" s="505"/>
      <c r="B162" s="505"/>
      <c r="C162" s="71" t="s">
        <v>1548</v>
      </c>
      <c r="D162" s="507"/>
      <c r="E162" s="508">
        <v>1</v>
      </c>
      <c r="F162" s="509">
        <f>SUM(F161:F161)</f>
        <v>0</v>
      </c>
      <c r="G162" s="509">
        <f>SUM(G161:G161)</f>
        <v>0</v>
      </c>
      <c r="H162" s="509">
        <v>0</v>
      </c>
      <c r="I162" s="509">
        <f aca="true" t="shared" si="18" ref="I162:O162">SUM(I161:I161)</f>
        <v>0</v>
      </c>
      <c r="J162" s="509">
        <f t="shared" si="18"/>
        <v>0</v>
      </c>
      <c r="K162" s="509">
        <f t="shared" si="18"/>
        <v>0</v>
      </c>
      <c r="L162" s="509">
        <f t="shared" si="18"/>
        <v>0</v>
      </c>
      <c r="M162" s="509">
        <f t="shared" si="18"/>
        <v>0</v>
      </c>
      <c r="N162" s="509">
        <f t="shared" si="18"/>
        <v>0</v>
      </c>
      <c r="O162" s="509">
        <f t="shared" si="18"/>
        <v>0</v>
      </c>
      <c r="P162" s="509">
        <f>SUM(F162:O162)</f>
        <v>0</v>
      </c>
      <c r="Q162" s="510" t="s">
        <v>809</v>
      </c>
    </row>
    <row r="163" spans="1:17" ht="13.5" customHeight="1">
      <c r="A163" s="549">
        <v>1</v>
      </c>
      <c r="B163" s="549">
        <v>22</v>
      </c>
      <c r="C163" s="1306" t="s">
        <v>1279</v>
      </c>
      <c r="D163" s="1307"/>
      <c r="E163" s="550"/>
      <c r="F163" s="9"/>
      <c r="G163" s="9"/>
      <c r="H163" s="9"/>
      <c r="I163" s="9"/>
      <c r="J163" s="9"/>
      <c r="K163" s="529"/>
      <c r="L163" s="529"/>
      <c r="M163" s="529"/>
      <c r="N163" s="529"/>
      <c r="O163" s="9"/>
      <c r="P163" s="12"/>
      <c r="Q163" s="499"/>
    </row>
    <row r="164" spans="1:17" ht="13.5" customHeight="1">
      <c r="A164" s="549"/>
      <c r="B164" s="549"/>
      <c r="C164" s="1217" t="s">
        <v>162</v>
      </c>
      <c r="D164" s="1338"/>
      <c r="E164" s="534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12"/>
      <c r="Q164" s="499"/>
    </row>
    <row r="165" spans="1:17" ht="13.5" customHeight="1">
      <c r="A165" s="549"/>
      <c r="B165" s="549"/>
      <c r="C165" s="91" t="s">
        <v>703</v>
      </c>
      <c r="D165" s="551"/>
      <c r="E165" s="93">
        <v>2</v>
      </c>
      <c r="F165" s="235">
        <v>107</v>
      </c>
      <c r="G165" s="235"/>
      <c r="H165" s="235">
        <v>3922</v>
      </c>
      <c r="I165" s="235"/>
      <c r="J165" s="235"/>
      <c r="K165" s="235"/>
      <c r="L165" s="235"/>
      <c r="M165" s="235"/>
      <c r="N165" s="235"/>
      <c r="O165" s="235"/>
      <c r="P165" s="12">
        <f>SUM(F165:O165)</f>
        <v>4029</v>
      </c>
      <c r="Q165" s="530" t="s">
        <v>809</v>
      </c>
    </row>
    <row r="166" spans="1:17" ht="13.5" customHeight="1">
      <c r="A166" s="549"/>
      <c r="B166" s="549"/>
      <c r="C166" s="64" t="s">
        <v>28</v>
      </c>
      <c r="D166" s="552"/>
      <c r="E166" s="93">
        <v>2</v>
      </c>
      <c r="F166" s="235">
        <v>4030</v>
      </c>
      <c r="G166" s="235">
        <v>979</v>
      </c>
      <c r="H166" s="235">
        <v>-6205</v>
      </c>
      <c r="I166" s="235"/>
      <c r="J166" s="235">
        <v>1196</v>
      </c>
      <c r="K166" s="235"/>
      <c r="L166" s="235"/>
      <c r="M166" s="235"/>
      <c r="N166" s="235"/>
      <c r="O166" s="235"/>
      <c r="P166" s="12">
        <f>SUM(F166:O166)</f>
        <v>0</v>
      </c>
      <c r="Q166" s="530" t="s">
        <v>809</v>
      </c>
    </row>
    <row r="167" spans="1:17" ht="13.5" customHeight="1">
      <c r="A167" s="549"/>
      <c r="B167" s="549"/>
      <c r="C167" s="14" t="s">
        <v>1622</v>
      </c>
      <c r="D167" s="552"/>
      <c r="E167" s="93">
        <v>1</v>
      </c>
      <c r="F167" s="235">
        <v>-1707</v>
      </c>
      <c r="G167" s="235">
        <v>-461</v>
      </c>
      <c r="H167" s="235"/>
      <c r="I167" s="235"/>
      <c r="J167" s="235"/>
      <c r="K167" s="235"/>
      <c r="L167" s="235"/>
      <c r="M167" s="235"/>
      <c r="N167" s="235"/>
      <c r="O167" s="235"/>
      <c r="P167" s="12">
        <f>SUM(F167:O167)</f>
        <v>-2168</v>
      </c>
      <c r="Q167" s="530" t="s">
        <v>809</v>
      </c>
    </row>
    <row r="168" spans="1:17" ht="13.5" customHeight="1">
      <c r="A168" s="549"/>
      <c r="B168" s="549"/>
      <c r="C168" s="1285" t="s">
        <v>614</v>
      </c>
      <c r="D168" s="1344"/>
      <c r="E168" s="93">
        <v>2</v>
      </c>
      <c r="F168" s="235"/>
      <c r="G168" s="235"/>
      <c r="H168" s="235">
        <v>-1000</v>
      </c>
      <c r="I168" s="235"/>
      <c r="J168" s="235">
        <v>407</v>
      </c>
      <c r="K168" s="235"/>
      <c r="L168" s="235"/>
      <c r="M168" s="235"/>
      <c r="N168" s="235"/>
      <c r="O168" s="235"/>
      <c r="P168" s="12">
        <f>SUM(F168:O168)</f>
        <v>-593</v>
      </c>
      <c r="Q168" s="530" t="s">
        <v>809</v>
      </c>
    </row>
    <row r="169" spans="1:17" ht="13.5" customHeight="1">
      <c r="A169" s="549"/>
      <c r="B169" s="549"/>
      <c r="C169" s="99" t="s">
        <v>929</v>
      </c>
      <c r="D169" s="553"/>
      <c r="E169" s="93">
        <v>2</v>
      </c>
      <c r="F169" s="235"/>
      <c r="G169" s="235"/>
      <c r="H169" s="235"/>
      <c r="I169" s="235"/>
      <c r="J169" s="235">
        <v>593</v>
      </c>
      <c r="K169" s="235"/>
      <c r="L169" s="235"/>
      <c r="M169" s="235"/>
      <c r="N169" s="235"/>
      <c r="O169" s="235"/>
      <c r="P169" s="12">
        <v>593</v>
      </c>
      <c r="Q169" s="530" t="s">
        <v>809</v>
      </c>
    </row>
    <row r="170" spans="1:17" ht="13.5" customHeight="1">
      <c r="A170" s="549"/>
      <c r="B170" s="549"/>
      <c r="C170" s="64" t="s">
        <v>1708</v>
      </c>
      <c r="D170" s="552"/>
      <c r="E170" s="93">
        <v>2</v>
      </c>
      <c r="F170" s="235"/>
      <c r="G170" s="235"/>
      <c r="H170" s="235"/>
      <c r="I170" s="235"/>
      <c r="J170" s="235">
        <v>5000</v>
      </c>
      <c r="K170" s="235"/>
      <c r="L170" s="235"/>
      <c r="M170" s="235"/>
      <c r="N170" s="235"/>
      <c r="O170" s="235"/>
      <c r="P170" s="12">
        <f>SUM(F170:O170)</f>
        <v>5000</v>
      </c>
      <c r="Q170" s="530" t="s">
        <v>809</v>
      </c>
    </row>
    <row r="171" spans="1:17" ht="13.5" customHeight="1">
      <c r="A171" s="549"/>
      <c r="B171" s="549"/>
      <c r="C171" s="1231" t="s">
        <v>1230</v>
      </c>
      <c r="D171" s="1313"/>
      <c r="E171" s="93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12"/>
      <c r="Q171" s="530"/>
    </row>
    <row r="172" spans="1:17" ht="13.5" customHeight="1">
      <c r="A172" s="549"/>
      <c r="B172" s="549"/>
      <c r="C172" s="15" t="s">
        <v>724</v>
      </c>
      <c r="D172" s="552"/>
      <c r="E172" s="93">
        <v>2</v>
      </c>
      <c r="F172" s="235"/>
      <c r="G172" s="235"/>
      <c r="H172" s="235">
        <v>59</v>
      </c>
      <c r="I172" s="235"/>
      <c r="J172" s="235"/>
      <c r="K172" s="235"/>
      <c r="L172" s="235"/>
      <c r="M172" s="235"/>
      <c r="N172" s="235"/>
      <c r="O172" s="235"/>
      <c r="P172" s="12">
        <f>SUM(F172:O172)</f>
        <v>59</v>
      </c>
      <c r="Q172" s="530" t="s">
        <v>809</v>
      </c>
    </row>
    <row r="173" spans="1:17" ht="13.5" customHeight="1">
      <c r="A173" s="549"/>
      <c r="B173" s="549"/>
      <c r="C173" s="1231" t="s">
        <v>1267</v>
      </c>
      <c r="D173" s="1313"/>
      <c r="E173" s="93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12"/>
      <c r="Q173" s="530"/>
    </row>
    <row r="174" spans="1:17" ht="13.5" customHeight="1">
      <c r="A174" s="549"/>
      <c r="B174" s="549"/>
      <c r="C174" s="15" t="s">
        <v>726</v>
      </c>
      <c r="D174" s="531"/>
      <c r="E174" s="93">
        <v>2</v>
      </c>
      <c r="F174" s="235">
        <v>1800</v>
      </c>
      <c r="G174" s="235">
        <v>1500</v>
      </c>
      <c r="H174" s="235">
        <v>-3152</v>
      </c>
      <c r="I174" s="235"/>
      <c r="J174" s="235">
        <v>500</v>
      </c>
      <c r="K174" s="235"/>
      <c r="L174" s="235"/>
      <c r="M174" s="235"/>
      <c r="N174" s="235"/>
      <c r="O174" s="235"/>
      <c r="P174" s="12">
        <f>SUM(F174:O174)</f>
        <v>648</v>
      </c>
      <c r="Q174" s="530" t="s">
        <v>809</v>
      </c>
    </row>
    <row r="175" spans="1:17" ht="13.5" customHeight="1">
      <c r="A175" s="549"/>
      <c r="B175" s="549"/>
      <c r="C175" s="64" t="s">
        <v>1219</v>
      </c>
      <c r="D175" s="137"/>
      <c r="E175" s="63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12"/>
      <c r="Q175" s="530"/>
    </row>
    <row r="176" spans="1:17" ht="13.5" customHeight="1">
      <c r="A176" s="549"/>
      <c r="B176" s="549"/>
      <c r="C176" s="1215" t="s">
        <v>1367</v>
      </c>
      <c r="D176" s="1308"/>
      <c r="E176" s="545">
        <v>2</v>
      </c>
      <c r="F176" s="235"/>
      <c r="G176" s="235"/>
      <c r="H176" s="235">
        <v>-100</v>
      </c>
      <c r="I176" s="235"/>
      <c r="J176" s="235">
        <v>1748</v>
      </c>
      <c r="K176" s="235"/>
      <c r="L176" s="235"/>
      <c r="M176" s="235"/>
      <c r="N176" s="235"/>
      <c r="O176" s="235"/>
      <c r="P176" s="12">
        <f>SUM(F176:O176)</f>
        <v>1648</v>
      </c>
      <c r="Q176" s="530" t="s">
        <v>809</v>
      </c>
    </row>
    <row r="177" spans="1:17" ht="13.5" customHeight="1">
      <c r="A177" s="549"/>
      <c r="B177" s="549"/>
      <c r="C177" s="141" t="s">
        <v>707</v>
      </c>
      <c r="D177" s="554"/>
      <c r="E177" s="545">
        <v>2</v>
      </c>
      <c r="F177" s="235"/>
      <c r="G177" s="235"/>
      <c r="H177" s="235">
        <v>5506</v>
      </c>
      <c r="I177" s="235"/>
      <c r="J177" s="235">
        <v>550</v>
      </c>
      <c r="K177" s="235"/>
      <c r="L177" s="235"/>
      <c r="M177" s="235"/>
      <c r="N177" s="235"/>
      <c r="O177" s="235"/>
      <c r="P177" s="12">
        <f>SUM(F177:O177)</f>
        <v>6056</v>
      </c>
      <c r="Q177" s="530" t="s">
        <v>809</v>
      </c>
    </row>
    <row r="178" spans="1:17" ht="13.5" customHeight="1">
      <c r="A178" s="549"/>
      <c r="B178" s="549"/>
      <c r="C178" s="137" t="s">
        <v>1236</v>
      </c>
      <c r="D178" s="554"/>
      <c r="E178" s="54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12"/>
      <c r="Q178" s="530"/>
    </row>
    <row r="179" spans="1:17" ht="13.5" customHeight="1">
      <c r="A179" s="549"/>
      <c r="B179" s="549"/>
      <c r="C179" s="137" t="s">
        <v>708</v>
      </c>
      <c r="D179" s="555"/>
      <c r="E179" s="550">
        <v>1</v>
      </c>
      <c r="F179" s="235"/>
      <c r="G179" s="235"/>
      <c r="H179" s="235"/>
      <c r="I179" s="235"/>
      <c r="J179" s="235">
        <v>14354</v>
      </c>
      <c r="K179" s="235"/>
      <c r="L179" s="235"/>
      <c r="M179" s="235"/>
      <c r="N179" s="235"/>
      <c r="O179" s="235"/>
      <c r="P179" s="12">
        <f>SUM(F179:O179)</f>
        <v>14354</v>
      </c>
      <c r="Q179" s="530" t="s">
        <v>809</v>
      </c>
    </row>
    <row r="180" spans="1:17" ht="13.5" customHeight="1">
      <c r="A180" s="549"/>
      <c r="B180" s="549"/>
      <c r="C180" s="64" t="s">
        <v>709</v>
      </c>
      <c r="D180" s="555"/>
      <c r="E180" s="550">
        <v>1</v>
      </c>
      <c r="F180" s="235"/>
      <c r="G180" s="235"/>
      <c r="H180" s="235">
        <v>2869</v>
      </c>
      <c r="I180" s="235"/>
      <c r="J180" s="235"/>
      <c r="K180" s="235"/>
      <c r="L180" s="235"/>
      <c r="M180" s="235"/>
      <c r="N180" s="235"/>
      <c r="O180" s="235"/>
      <c r="P180" s="12">
        <f>SUM(F180:O180)</f>
        <v>2869</v>
      </c>
      <c r="Q180" s="530" t="s">
        <v>809</v>
      </c>
    </row>
    <row r="181" spans="1:17" ht="13.5" customHeight="1">
      <c r="A181" s="556"/>
      <c r="B181" s="556"/>
      <c r="C181" s="557" t="s">
        <v>300</v>
      </c>
      <c r="D181" s="558"/>
      <c r="E181" s="451"/>
      <c r="F181" s="509">
        <f aca="true" t="shared" si="19" ref="F181:P181">SUM(F163:F180)</f>
        <v>4230</v>
      </c>
      <c r="G181" s="509">
        <f t="shared" si="19"/>
        <v>2018</v>
      </c>
      <c r="H181" s="509">
        <f t="shared" si="19"/>
        <v>1899</v>
      </c>
      <c r="I181" s="509">
        <f t="shared" si="19"/>
        <v>0</v>
      </c>
      <c r="J181" s="509">
        <f t="shared" si="19"/>
        <v>24348</v>
      </c>
      <c r="K181" s="509">
        <f t="shared" si="19"/>
        <v>0</v>
      </c>
      <c r="L181" s="509">
        <f t="shared" si="19"/>
        <v>0</v>
      </c>
      <c r="M181" s="509">
        <f t="shared" si="19"/>
        <v>0</v>
      </c>
      <c r="N181" s="509">
        <f t="shared" si="19"/>
        <v>0</v>
      </c>
      <c r="O181" s="509">
        <f t="shared" si="19"/>
        <v>0</v>
      </c>
      <c r="P181" s="509">
        <f t="shared" si="19"/>
        <v>32495</v>
      </c>
      <c r="Q181" s="540"/>
    </row>
    <row r="182" spans="1:17" ht="13.5" customHeight="1">
      <c r="A182" s="8"/>
      <c r="B182" s="8"/>
      <c r="C182" s="15" t="s">
        <v>903</v>
      </c>
      <c r="D182" s="59"/>
      <c r="E182" s="78"/>
      <c r="F182" s="9"/>
      <c r="G182" s="9"/>
      <c r="H182" s="9"/>
      <c r="I182" s="9"/>
      <c r="J182" s="9"/>
      <c r="K182" s="235">
        <f>'[1]7'!J253</f>
        <v>250</v>
      </c>
      <c r="L182" s="235"/>
      <c r="M182" s="235">
        <f>'[1]7'!K253</f>
        <v>0</v>
      </c>
      <c r="N182" s="235"/>
      <c r="O182" s="9"/>
      <c r="P182" s="12">
        <f>SUM(F182:O182)</f>
        <v>250</v>
      </c>
      <c r="Q182" s="499" t="s">
        <v>809</v>
      </c>
    </row>
    <row r="183" spans="1:17" ht="13.5" customHeight="1">
      <c r="A183" s="505"/>
      <c r="B183" s="505"/>
      <c r="C183" s="71" t="s">
        <v>1281</v>
      </c>
      <c r="D183" s="507"/>
      <c r="E183" s="508"/>
      <c r="F183" s="509">
        <f aca="true" t="shared" si="20" ref="F183:P183">SUM(F181:F182)</f>
        <v>4230</v>
      </c>
      <c r="G183" s="509">
        <f t="shared" si="20"/>
        <v>2018</v>
      </c>
      <c r="H183" s="509">
        <f t="shared" si="20"/>
        <v>1899</v>
      </c>
      <c r="I183" s="509">
        <f t="shared" si="20"/>
        <v>0</v>
      </c>
      <c r="J183" s="509">
        <f t="shared" si="20"/>
        <v>24348</v>
      </c>
      <c r="K183" s="509">
        <f t="shared" si="20"/>
        <v>250</v>
      </c>
      <c r="L183" s="509">
        <f t="shared" si="20"/>
        <v>0</v>
      </c>
      <c r="M183" s="509">
        <f t="shared" si="20"/>
        <v>0</v>
      </c>
      <c r="N183" s="509">
        <f t="shared" si="20"/>
        <v>0</v>
      </c>
      <c r="O183" s="509">
        <f t="shared" si="20"/>
        <v>0</v>
      </c>
      <c r="P183" s="509">
        <f t="shared" si="20"/>
        <v>32745</v>
      </c>
      <c r="Q183" s="510"/>
    </row>
    <row r="184" spans="1:17" ht="13.5" customHeight="1">
      <c r="A184" s="78">
        <v>1</v>
      </c>
      <c r="B184" s="78">
        <v>30</v>
      </c>
      <c r="C184" s="19" t="s">
        <v>930</v>
      </c>
      <c r="D184" s="531"/>
      <c r="E184" s="7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2"/>
      <c r="Q184" s="499"/>
    </row>
    <row r="185" spans="1:17" ht="13.5" customHeight="1">
      <c r="A185" s="78">
        <v>1</v>
      </c>
      <c r="B185" s="78">
        <v>31</v>
      </c>
      <c r="C185" s="19" t="s">
        <v>302</v>
      </c>
      <c r="D185" s="531"/>
      <c r="E185" s="78"/>
      <c r="F185" s="16"/>
      <c r="G185" s="16"/>
      <c r="H185" s="16"/>
      <c r="I185" s="16"/>
      <c r="J185" s="16">
        <v>-100</v>
      </c>
      <c r="K185" s="16"/>
      <c r="L185" s="16"/>
      <c r="M185" s="16"/>
      <c r="N185" s="16"/>
      <c r="O185" s="16"/>
      <c r="P185" s="12">
        <f>SUM(J185:O185)</f>
        <v>-100</v>
      </c>
      <c r="Q185" s="499" t="s">
        <v>809</v>
      </c>
    </row>
    <row r="186" spans="1:17" ht="13.5" customHeight="1">
      <c r="A186" s="78"/>
      <c r="B186" s="78">
        <v>32</v>
      </c>
      <c r="C186" s="19" t="s">
        <v>931</v>
      </c>
      <c r="D186" s="531"/>
      <c r="E186" s="7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2"/>
      <c r="Q186" s="499"/>
    </row>
    <row r="187" spans="1:17" ht="15" customHeight="1">
      <c r="A187" s="78"/>
      <c r="B187" s="78"/>
      <c r="C187" s="1215" t="s">
        <v>121</v>
      </c>
      <c r="D187" s="1342"/>
      <c r="E187" s="545">
        <v>1</v>
      </c>
      <c r="F187" s="16"/>
      <c r="G187" s="16"/>
      <c r="H187" s="16"/>
      <c r="I187" s="16"/>
      <c r="J187" s="16">
        <v>30514</v>
      </c>
      <c r="K187" s="16"/>
      <c r="L187" s="16"/>
      <c r="M187" s="16"/>
      <c r="N187" s="16"/>
      <c r="O187" s="16"/>
      <c r="P187" s="12">
        <f>SUM(F187:O187)</f>
        <v>30514</v>
      </c>
      <c r="Q187" s="499" t="s">
        <v>809</v>
      </c>
    </row>
    <row r="188" spans="1:17" ht="24.75" customHeight="1">
      <c r="A188" s="78"/>
      <c r="B188" s="78"/>
      <c r="C188" s="1215" t="s">
        <v>1269</v>
      </c>
      <c r="D188" s="1308"/>
      <c r="E188" s="560">
        <v>1</v>
      </c>
      <c r="F188" s="16"/>
      <c r="G188" s="16"/>
      <c r="H188" s="16"/>
      <c r="I188" s="16"/>
      <c r="J188" s="16">
        <v>-6500</v>
      </c>
      <c r="K188" s="16"/>
      <c r="L188" s="16"/>
      <c r="M188" s="16"/>
      <c r="N188" s="16"/>
      <c r="O188" s="16"/>
      <c r="P188" s="12">
        <f>SUM(F188:O188)</f>
        <v>-6500</v>
      </c>
      <c r="Q188" s="499" t="s">
        <v>809</v>
      </c>
    </row>
    <row r="189" spans="1:17" ht="12.75" customHeight="1">
      <c r="A189" s="78"/>
      <c r="B189" s="78"/>
      <c r="C189" s="15" t="s">
        <v>932</v>
      </c>
      <c r="D189" s="531"/>
      <c r="E189" s="78">
        <v>1</v>
      </c>
      <c r="F189" s="16"/>
      <c r="G189" s="16"/>
      <c r="H189" s="16"/>
      <c r="I189" s="16"/>
      <c r="J189" s="16">
        <v>-99769</v>
      </c>
      <c r="K189" s="16"/>
      <c r="L189" s="16"/>
      <c r="M189" s="16"/>
      <c r="N189" s="16"/>
      <c r="O189" s="16"/>
      <c r="P189" s="12">
        <f>SUM(F189:O189)</f>
        <v>-99769</v>
      </c>
      <c r="Q189" s="499" t="s">
        <v>809</v>
      </c>
    </row>
    <row r="190" spans="1:17" ht="31.5" customHeight="1">
      <c r="A190" s="78"/>
      <c r="B190" s="78"/>
      <c r="C190" s="1283" t="s">
        <v>512</v>
      </c>
      <c r="D190" s="1342"/>
      <c r="E190" s="545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2"/>
      <c r="Q190" s="499"/>
    </row>
    <row r="191" spans="1:17" ht="12.75" customHeight="1">
      <c r="A191" s="78"/>
      <c r="B191" s="78"/>
      <c r="C191" s="1215" t="s">
        <v>1419</v>
      </c>
      <c r="D191" s="1342"/>
      <c r="E191" s="545">
        <v>2</v>
      </c>
      <c r="F191" s="16"/>
      <c r="G191" s="16"/>
      <c r="H191" s="16"/>
      <c r="I191" s="16"/>
      <c r="J191" s="16">
        <v>-3973</v>
      </c>
      <c r="K191" s="16"/>
      <c r="L191" s="16"/>
      <c r="M191" s="16"/>
      <c r="N191" s="16"/>
      <c r="O191" s="16"/>
      <c r="P191" s="12">
        <f>SUM(F191:O191)</f>
        <v>-3973</v>
      </c>
      <c r="Q191" s="499" t="s">
        <v>809</v>
      </c>
    </row>
    <row r="192" spans="1:17" ht="31.5" customHeight="1">
      <c r="A192" s="78"/>
      <c r="B192" s="78"/>
      <c r="C192" s="1283" t="s">
        <v>513</v>
      </c>
      <c r="D192" s="1342"/>
      <c r="E192" s="54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2"/>
      <c r="Q192" s="499"/>
    </row>
    <row r="193" spans="1:17" ht="12.75" customHeight="1">
      <c r="A193" s="78"/>
      <c r="B193" s="78"/>
      <c r="C193" s="15" t="s">
        <v>1721</v>
      </c>
      <c r="D193" s="535"/>
      <c r="E193" s="534">
        <v>2</v>
      </c>
      <c r="F193" s="16"/>
      <c r="G193" s="16"/>
      <c r="H193" s="16"/>
      <c r="I193" s="16"/>
      <c r="J193" s="16">
        <v>-5000</v>
      </c>
      <c r="K193" s="16"/>
      <c r="L193" s="16"/>
      <c r="M193" s="16"/>
      <c r="N193" s="16"/>
      <c r="O193" s="16"/>
      <c r="P193" s="12">
        <f>SUM(F193:O193)</f>
        <v>-5000</v>
      </c>
      <c r="Q193" s="499" t="s">
        <v>809</v>
      </c>
    </row>
    <row r="194" spans="1:17" ht="12.75" customHeight="1">
      <c r="A194" s="78"/>
      <c r="B194" s="78"/>
      <c r="C194" s="1215" t="s">
        <v>696</v>
      </c>
      <c r="D194" s="1342"/>
      <c r="E194" s="545">
        <v>2</v>
      </c>
      <c r="F194" s="16"/>
      <c r="G194" s="16"/>
      <c r="H194" s="16"/>
      <c r="I194" s="16"/>
      <c r="J194" s="16">
        <v>-3000</v>
      </c>
      <c r="K194" s="16"/>
      <c r="L194" s="16"/>
      <c r="M194" s="16"/>
      <c r="N194" s="16"/>
      <c r="O194" s="16"/>
      <c r="P194" s="12">
        <f>SUM(F194:O194)</f>
        <v>-3000</v>
      </c>
      <c r="Q194" s="499" t="s">
        <v>809</v>
      </c>
    </row>
    <row r="195" spans="1:17" ht="24.75" customHeight="1">
      <c r="A195" s="78"/>
      <c r="B195" s="78"/>
      <c r="C195" s="1283" t="s">
        <v>756</v>
      </c>
      <c r="D195" s="1342"/>
      <c r="E195" s="545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2"/>
      <c r="Q195" s="499"/>
    </row>
    <row r="196" spans="1:17" ht="12.75" customHeight="1">
      <c r="A196" s="78"/>
      <c r="B196" s="78"/>
      <c r="C196" s="15" t="s">
        <v>757</v>
      </c>
      <c r="D196" s="535"/>
      <c r="E196" s="534">
        <v>2</v>
      </c>
      <c r="F196" s="16"/>
      <c r="G196" s="16"/>
      <c r="H196" s="16"/>
      <c r="I196" s="16"/>
      <c r="J196" s="16">
        <v>-5000</v>
      </c>
      <c r="K196" s="16"/>
      <c r="L196" s="16"/>
      <c r="M196" s="16"/>
      <c r="N196" s="16"/>
      <c r="O196" s="16"/>
      <c r="P196" s="12">
        <f>SUM(F196:O196)</f>
        <v>-5000</v>
      </c>
      <c r="Q196" s="499" t="s">
        <v>809</v>
      </c>
    </row>
    <row r="197" spans="1:17" ht="24.75" customHeight="1">
      <c r="A197" s="78"/>
      <c r="B197" s="78"/>
      <c r="C197" s="1283" t="s">
        <v>1647</v>
      </c>
      <c r="D197" s="1342"/>
      <c r="E197" s="54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2"/>
      <c r="Q197" s="499"/>
    </row>
    <row r="198" spans="1:17" ht="12.75" customHeight="1">
      <c r="A198" s="78"/>
      <c r="B198" s="78"/>
      <c r="C198" s="1215" t="s">
        <v>758</v>
      </c>
      <c r="D198" s="1342"/>
      <c r="E198" s="545">
        <v>2</v>
      </c>
      <c r="F198" s="16"/>
      <c r="G198" s="16"/>
      <c r="H198" s="16"/>
      <c r="I198" s="16"/>
      <c r="J198" s="16">
        <v>-2200</v>
      </c>
      <c r="K198" s="16"/>
      <c r="L198" s="16"/>
      <c r="M198" s="16"/>
      <c r="N198" s="16"/>
      <c r="O198" s="16"/>
      <c r="P198" s="12">
        <f>SUM(F198:O198)</f>
        <v>-2200</v>
      </c>
      <c r="Q198" s="499" t="s">
        <v>809</v>
      </c>
    </row>
    <row r="199" spans="1:17" ht="31.5" customHeight="1">
      <c r="A199" s="78"/>
      <c r="B199" s="78"/>
      <c r="C199" s="1292" t="s">
        <v>933</v>
      </c>
      <c r="D199" s="1343"/>
      <c r="E199" s="561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2"/>
      <c r="Q199" s="499"/>
    </row>
    <row r="200" spans="1:17" ht="12.75" customHeight="1">
      <c r="A200" s="78"/>
      <c r="B200" s="78"/>
      <c r="C200" s="1235" t="s">
        <v>1035</v>
      </c>
      <c r="D200" s="1342"/>
      <c r="E200" s="545">
        <v>1</v>
      </c>
      <c r="F200" s="16"/>
      <c r="G200" s="16"/>
      <c r="H200" s="16"/>
      <c r="I200" s="16"/>
      <c r="J200" s="16">
        <v>-1100</v>
      </c>
      <c r="K200" s="16"/>
      <c r="L200" s="16"/>
      <c r="M200" s="16"/>
      <c r="N200" s="16"/>
      <c r="O200" s="16"/>
      <c r="P200" s="12">
        <f>SUM(F200:O200)</f>
        <v>-1100</v>
      </c>
      <c r="Q200" s="499" t="s">
        <v>809</v>
      </c>
    </row>
    <row r="201" spans="1:17" ht="12.75" customHeight="1">
      <c r="A201" s="78"/>
      <c r="B201" s="78"/>
      <c r="C201" s="14" t="s">
        <v>934</v>
      </c>
      <c r="D201" s="559"/>
      <c r="E201" s="545">
        <v>1</v>
      </c>
      <c r="F201" s="16"/>
      <c r="G201" s="16"/>
      <c r="H201" s="16"/>
      <c r="I201" s="16"/>
      <c r="J201" s="16">
        <v>45000</v>
      </c>
      <c r="K201" s="16"/>
      <c r="L201" s="16"/>
      <c r="M201" s="16"/>
      <c r="N201" s="16"/>
      <c r="O201" s="16"/>
      <c r="P201" s="12">
        <f>SUM(F201:O201)</f>
        <v>45000</v>
      </c>
      <c r="Q201" s="499" t="s">
        <v>809</v>
      </c>
    </row>
    <row r="202" spans="1:17" ht="12.75" customHeight="1">
      <c r="A202" s="78"/>
      <c r="B202" s="78"/>
      <c r="C202" s="139" t="s">
        <v>1650</v>
      </c>
      <c r="D202" s="531"/>
      <c r="E202" s="78"/>
      <c r="F202" s="16"/>
      <c r="G202" s="16"/>
      <c r="H202" s="16"/>
      <c r="I202" s="16"/>
      <c r="J202" s="16"/>
      <c r="K202" s="16">
        <f>'[1]7'!J256</f>
        <v>0</v>
      </c>
      <c r="L202" s="16">
        <f>'[1]8'!J188</f>
        <v>0</v>
      </c>
      <c r="M202" s="16"/>
      <c r="N202" s="16"/>
      <c r="O202" s="16"/>
      <c r="P202" s="12">
        <f>SUM(K202:O202)</f>
        <v>0</v>
      </c>
      <c r="Q202" s="499" t="s">
        <v>809</v>
      </c>
    </row>
    <row r="203" spans="1:17" ht="13.5" customHeight="1">
      <c r="A203" s="68"/>
      <c r="B203" s="68"/>
      <c r="C203" s="71" t="s">
        <v>1651</v>
      </c>
      <c r="D203" s="562"/>
      <c r="E203" s="68"/>
      <c r="F203" s="76">
        <f aca="true" t="shared" si="21" ref="F203:P203">SUM(F184:F202)</f>
        <v>0</v>
      </c>
      <c r="G203" s="76">
        <f t="shared" si="21"/>
        <v>0</v>
      </c>
      <c r="H203" s="76">
        <f t="shared" si="21"/>
        <v>0</v>
      </c>
      <c r="I203" s="76">
        <f t="shared" si="21"/>
        <v>0</v>
      </c>
      <c r="J203" s="76">
        <f t="shared" si="21"/>
        <v>-51128</v>
      </c>
      <c r="K203" s="76">
        <f t="shared" si="21"/>
        <v>0</v>
      </c>
      <c r="L203" s="76">
        <f t="shared" si="21"/>
        <v>0</v>
      </c>
      <c r="M203" s="76">
        <f t="shared" si="21"/>
        <v>0</v>
      </c>
      <c r="N203" s="76">
        <f t="shared" si="21"/>
        <v>0</v>
      </c>
      <c r="O203" s="76">
        <f t="shared" si="21"/>
        <v>0</v>
      </c>
      <c r="P203" s="76">
        <f t="shared" si="21"/>
        <v>-51128</v>
      </c>
      <c r="Q203" s="510"/>
    </row>
    <row r="204" spans="1:17" ht="25.5" customHeight="1">
      <c r="A204" s="68"/>
      <c r="B204" s="68"/>
      <c r="C204" s="1290" t="s">
        <v>805</v>
      </c>
      <c r="D204" s="1303"/>
      <c r="E204" s="563"/>
      <c r="F204" s="76">
        <f aca="true" t="shared" si="22" ref="F204:P204">SUM(F23+F70+F111+F117+F132+F139+F160+F162+F183+F203)</f>
        <v>5372</v>
      </c>
      <c r="G204" s="76">
        <f t="shared" si="22"/>
        <v>2274</v>
      </c>
      <c r="H204" s="76">
        <f t="shared" si="22"/>
        <v>111687</v>
      </c>
      <c r="I204" s="76">
        <f t="shared" si="22"/>
        <v>106389</v>
      </c>
      <c r="J204" s="76">
        <f t="shared" si="22"/>
        <v>167933</v>
      </c>
      <c r="K204" s="76">
        <f t="shared" si="22"/>
        <v>381452</v>
      </c>
      <c r="L204" s="76">
        <f t="shared" si="22"/>
        <v>7248</v>
      </c>
      <c r="M204" s="76">
        <f t="shared" si="22"/>
        <v>298912</v>
      </c>
      <c r="N204" s="76">
        <f t="shared" si="22"/>
        <v>938096</v>
      </c>
      <c r="O204" s="76">
        <f t="shared" si="22"/>
        <v>225172</v>
      </c>
      <c r="P204" s="76">
        <f t="shared" si="22"/>
        <v>2244535</v>
      </c>
      <c r="Q204" s="76"/>
    </row>
    <row r="205" spans="1:17" ht="12.75" customHeight="1">
      <c r="A205" s="63">
        <v>2</v>
      </c>
      <c r="B205" s="63"/>
      <c r="C205" s="180" t="s">
        <v>1621</v>
      </c>
      <c r="D205" s="67"/>
      <c r="E205" s="63"/>
      <c r="F205" s="13">
        <f>'[1]táj.2.'!C20</f>
        <v>66585</v>
      </c>
      <c r="G205" s="13">
        <f>'[1]táj.2.'!D20</f>
        <v>12329</v>
      </c>
      <c r="H205" s="13">
        <f>'[1]táj.2.'!E20</f>
        <v>142599</v>
      </c>
      <c r="I205" s="13">
        <f>'[1]táj.2.'!F20</f>
        <v>0</v>
      </c>
      <c r="J205" s="13">
        <f>'[1]táj.2.'!G20</f>
        <v>7966</v>
      </c>
      <c r="K205" s="13">
        <f>'[1]táj.2.'!H20</f>
        <v>73182</v>
      </c>
      <c r="L205" s="13">
        <f>'[1]táj.2.'!I20</f>
        <v>29876</v>
      </c>
      <c r="M205" s="13">
        <f>'[1]táj.2.'!J20</f>
        <v>0</v>
      </c>
      <c r="N205" s="13"/>
      <c r="O205" s="13"/>
      <c r="P205" s="12">
        <f>SUM(F205:O205)</f>
        <v>332537</v>
      </c>
      <c r="Q205" s="70"/>
    </row>
    <row r="206" spans="1:17" ht="12.75" customHeight="1">
      <c r="A206" s="68"/>
      <c r="B206" s="68"/>
      <c r="C206" s="49" t="s">
        <v>1599</v>
      </c>
      <c r="D206" s="562"/>
      <c r="E206" s="68"/>
      <c r="F206" s="76">
        <f aca="true" t="shared" si="23" ref="F206:P206">SUM(F204:F205)</f>
        <v>71957</v>
      </c>
      <c r="G206" s="76">
        <f t="shared" si="23"/>
        <v>14603</v>
      </c>
      <c r="H206" s="76">
        <f t="shared" si="23"/>
        <v>254286</v>
      </c>
      <c r="I206" s="76">
        <f t="shared" si="23"/>
        <v>106389</v>
      </c>
      <c r="J206" s="76">
        <f t="shared" si="23"/>
        <v>175899</v>
      </c>
      <c r="K206" s="76">
        <f t="shared" si="23"/>
        <v>454634</v>
      </c>
      <c r="L206" s="76">
        <f t="shared" si="23"/>
        <v>37124</v>
      </c>
      <c r="M206" s="76">
        <f t="shared" si="23"/>
        <v>298912</v>
      </c>
      <c r="N206" s="76">
        <f t="shared" si="23"/>
        <v>938096</v>
      </c>
      <c r="O206" s="76">
        <f t="shared" si="23"/>
        <v>225172</v>
      </c>
      <c r="P206" s="76">
        <f t="shared" si="23"/>
        <v>2577072</v>
      </c>
      <c r="Q206" s="76"/>
    </row>
    <row r="207" spans="3:5" ht="12.75">
      <c r="C207" s="1304"/>
      <c r="D207" s="1305"/>
      <c r="E207" s="564"/>
    </row>
  </sheetData>
  <sheetProtection/>
  <mergeCells count="95">
    <mergeCell ref="C6:D6"/>
    <mergeCell ref="C103:D103"/>
    <mergeCell ref="C104:D104"/>
    <mergeCell ref="C125:D125"/>
    <mergeCell ref="C120:D120"/>
    <mergeCell ref="C119:D119"/>
    <mergeCell ref="C105:D105"/>
    <mergeCell ref="C101:D101"/>
    <mergeCell ref="C51:D51"/>
    <mergeCell ref="C57:D57"/>
    <mergeCell ref="P1:P2"/>
    <mergeCell ref="A1:A2"/>
    <mergeCell ref="B1:B2"/>
    <mergeCell ref="C1:D2"/>
    <mergeCell ref="E1:E2"/>
    <mergeCell ref="F1:M1"/>
    <mergeCell ref="N1:O1"/>
    <mergeCell ref="C190:D190"/>
    <mergeCell ref="C168:D168"/>
    <mergeCell ref="C191:D191"/>
    <mergeCell ref="C192:D192"/>
    <mergeCell ref="C176:D176"/>
    <mergeCell ref="C187:D187"/>
    <mergeCell ref="C171:D171"/>
    <mergeCell ref="C173:D173"/>
    <mergeCell ref="C200:D200"/>
    <mergeCell ref="C194:D194"/>
    <mergeCell ref="C195:D195"/>
    <mergeCell ref="C197:D197"/>
    <mergeCell ref="C198:D198"/>
    <mergeCell ref="C199:D199"/>
    <mergeCell ref="C146:D146"/>
    <mergeCell ref="C147:D147"/>
    <mergeCell ref="C164:D164"/>
    <mergeCell ref="C148:D148"/>
    <mergeCell ref="C149:D149"/>
    <mergeCell ref="C154:D154"/>
    <mergeCell ref="C156:D156"/>
    <mergeCell ref="C153:D153"/>
    <mergeCell ref="C161:D161"/>
    <mergeCell ref="C155:D155"/>
    <mergeCell ref="C142:D142"/>
    <mergeCell ref="C143:D143"/>
    <mergeCell ref="C134:D134"/>
    <mergeCell ref="C127:D127"/>
    <mergeCell ref="C136:D136"/>
    <mergeCell ref="C135:D135"/>
    <mergeCell ref="C126:D126"/>
    <mergeCell ref="C30:D30"/>
    <mergeCell ref="C26:D26"/>
    <mergeCell ref="C28:D28"/>
    <mergeCell ref="C65:D65"/>
    <mergeCell ref="C66:D66"/>
    <mergeCell ref="C113:D113"/>
    <mergeCell ref="C107:D107"/>
    <mergeCell ref="C97:D97"/>
    <mergeCell ref="C102:D102"/>
    <mergeCell ref="C93:D93"/>
    <mergeCell ref="C79:D79"/>
    <mergeCell ref="C45:D45"/>
    <mergeCell ref="C64:D64"/>
    <mergeCell ref="C62:D62"/>
    <mergeCell ref="C47:D47"/>
    <mergeCell ref="C78:D78"/>
    <mergeCell ref="C58:D58"/>
    <mergeCell ref="C60:D60"/>
    <mergeCell ref="C40:D40"/>
    <mergeCell ref="C52:D52"/>
    <mergeCell ref="C54:D54"/>
    <mergeCell ref="C87:D87"/>
    <mergeCell ref="C82:D82"/>
    <mergeCell ref="C84:D84"/>
    <mergeCell ref="C85:D85"/>
    <mergeCell ref="C81:D81"/>
    <mergeCell ref="C44:D44"/>
    <mergeCell ref="Q1:Q2"/>
    <mergeCell ref="C204:D204"/>
    <mergeCell ref="C207:D207"/>
    <mergeCell ref="C163:D163"/>
    <mergeCell ref="C188:D188"/>
    <mergeCell ref="C141:D141"/>
    <mergeCell ref="C152:D152"/>
    <mergeCell ref="C36:D36"/>
    <mergeCell ref="C12:D12"/>
    <mergeCell ref="C13:D13"/>
    <mergeCell ref="C5:D5"/>
    <mergeCell ref="C8:D8"/>
    <mergeCell ref="C43:D43"/>
    <mergeCell ref="C10:D10"/>
    <mergeCell ref="C29:D29"/>
    <mergeCell ref="C16:D16"/>
    <mergeCell ref="C35:D35"/>
    <mergeCell ref="C37:D37"/>
    <mergeCell ref="C18:D18"/>
    <mergeCell ref="C27:D27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AZ 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3"/>
  <sheetViews>
    <sheetView zoomScaleSheetLayoutView="120" workbookViewId="0" topLeftCell="A1">
      <pane ySplit="2" topLeftCell="BM3" activePane="bottomLeft" state="frozen"/>
      <selection pane="topLeft" activeCell="A1" sqref="A1"/>
      <selection pane="bottomLeft" activeCell="C123" sqref="C123"/>
    </sheetView>
  </sheetViews>
  <sheetFormatPr defaultColWidth="9.00390625" defaultRowHeight="12.75"/>
  <cols>
    <col min="1" max="1" width="5.125" style="7" customWidth="1"/>
    <col min="2" max="2" width="5.875" style="7" customWidth="1"/>
    <col min="3" max="3" width="9.375" style="7" customWidth="1"/>
    <col min="4" max="4" width="35.125" style="7" customWidth="1"/>
    <col min="5" max="5" width="4.375" style="7" customWidth="1"/>
    <col min="6" max="6" width="10.125" style="7" customWidth="1"/>
    <col min="7" max="7" width="11.00390625" style="7" customWidth="1"/>
    <col min="8" max="8" width="10.00390625" style="7" customWidth="1"/>
    <col min="9" max="10" width="9.375" style="7" customWidth="1"/>
    <col min="11" max="11" width="10.125" style="7" customWidth="1"/>
    <col min="12" max="12" width="9.375" style="7" customWidth="1"/>
    <col min="13" max="13" width="11.00390625" style="7" bestFit="1" customWidth="1"/>
    <col min="14" max="14" width="10.125" style="7" customWidth="1"/>
    <col min="15" max="15" width="9.875" style="7" bestFit="1" customWidth="1"/>
    <col min="16" max="16" width="10.50390625" style="7" customWidth="1"/>
    <col min="17" max="17" width="7.625" style="7" customWidth="1"/>
    <col min="18" max="16384" width="9.375" style="7" customWidth="1"/>
  </cols>
  <sheetData>
    <row r="1" spans="1:17" s="493" customFormat="1" ht="24.75" customHeight="1">
      <c r="A1" s="1423" t="s">
        <v>679</v>
      </c>
      <c r="B1" s="1425" t="s">
        <v>680</v>
      </c>
      <c r="C1" s="1426" t="s">
        <v>1345</v>
      </c>
      <c r="D1" s="1427"/>
      <c r="E1" s="1372" t="s">
        <v>1638</v>
      </c>
      <c r="F1" s="1374"/>
      <c r="G1" s="1375"/>
      <c r="H1" s="1375"/>
      <c r="I1" s="1375"/>
      <c r="J1" s="1375"/>
      <c r="K1" s="1375"/>
      <c r="L1" s="1375"/>
      <c r="M1" s="1375"/>
      <c r="N1" s="1269" t="s">
        <v>1358</v>
      </c>
      <c r="O1" s="1269"/>
      <c r="P1" s="1368" t="s">
        <v>1348</v>
      </c>
      <c r="Q1" s="1364" t="s">
        <v>884</v>
      </c>
    </row>
    <row r="2" spans="1:17" ht="63.75" customHeight="1">
      <c r="A2" s="1424"/>
      <c r="B2" s="1250"/>
      <c r="C2" s="1428"/>
      <c r="D2" s="1429"/>
      <c r="E2" s="1373"/>
      <c r="F2" s="1125" t="s">
        <v>50</v>
      </c>
      <c r="G2" s="1125" t="s">
        <v>806</v>
      </c>
      <c r="H2" s="1125" t="s">
        <v>1646</v>
      </c>
      <c r="I2" s="1125" t="s">
        <v>885</v>
      </c>
      <c r="J2" s="1125" t="s">
        <v>1031</v>
      </c>
      <c r="K2" s="1125" t="s">
        <v>1015</v>
      </c>
      <c r="L2" s="1125" t="s">
        <v>1014</v>
      </c>
      <c r="M2" s="1125" t="s">
        <v>886</v>
      </c>
      <c r="N2" s="1125" t="s">
        <v>807</v>
      </c>
      <c r="O2" s="1126" t="s">
        <v>1368</v>
      </c>
      <c r="P2" s="1369"/>
      <c r="Q2" s="1365"/>
    </row>
    <row r="3" spans="1:17" ht="13.5" customHeight="1">
      <c r="A3" s="1127">
        <v>1</v>
      </c>
      <c r="B3" s="1127"/>
      <c r="C3" s="1128" t="s">
        <v>1619</v>
      </c>
      <c r="D3" s="1129"/>
      <c r="E3" s="1130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2"/>
      <c r="Q3" s="1133"/>
    </row>
    <row r="4" spans="1:17" ht="13.5" customHeight="1">
      <c r="A4" s="696">
        <v>1</v>
      </c>
      <c r="B4" s="696">
        <v>1</v>
      </c>
      <c r="C4" s="1134" t="s">
        <v>1547</v>
      </c>
      <c r="D4" s="1129"/>
      <c r="E4" s="573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1135"/>
      <c r="Q4" s="1136"/>
    </row>
    <row r="5" spans="1:17" ht="13.5" customHeight="1">
      <c r="A5" s="696">
        <v>1</v>
      </c>
      <c r="B5" s="696">
        <v>12</v>
      </c>
      <c r="C5" s="1366" t="s">
        <v>158</v>
      </c>
      <c r="D5" s="1376"/>
      <c r="E5" s="573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1135"/>
      <c r="Q5" s="1136"/>
    </row>
    <row r="6" spans="1:17" ht="13.5" customHeight="1">
      <c r="A6" s="696"/>
      <c r="B6" s="696"/>
      <c r="C6" s="1366" t="s">
        <v>887</v>
      </c>
      <c r="D6" s="1367"/>
      <c r="E6" s="1137">
        <v>1</v>
      </c>
      <c r="F6" s="1138"/>
      <c r="G6" s="1138"/>
      <c r="H6" s="1138"/>
      <c r="I6" s="1138">
        <v>34197</v>
      </c>
      <c r="J6" s="1138"/>
      <c r="K6" s="1138"/>
      <c r="L6" s="698"/>
      <c r="M6" s="698"/>
      <c r="N6" s="698"/>
      <c r="O6" s="698"/>
      <c r="P6" s="1135">
        <f>SUM(F6:O6)</f>
        <v>34197</v>
      </c>
      <c r="Q6" s="1136" t="s">
        <v>809</v>
      </c>
    </row>
    <row r="7" spans="1:17" ht="13.5" customHeight="1">
      <c r="A7" s="696"/>
      <c r="B7" s="696"/>
      <c r="C7" s="1135" t="s">
        <v>44</v>
      </c>
      <c r="D7" s="1139"/>
      <c r="E7" s="1137">
        <v>1</v>
      </c>
      <c r="F7" s="1138"/>
      <c r="G7" s="1138"/>
      <c r="H7" s="1138"/>
      <c r="I7" s="1138">
        <v>86468</v>
      </c>
      <c r="J7" s="1138"/>
      <c r="K7" s="1138"/>
      <c r="L7" s="698"/>
      <c r="M7" s="698"/>
      <c r="N7" s="698"/>
      <c r="O7" s="698"/>
      <c r="P7" s="1135">
        <f>SUM(F7:O7)</f>
        <v>86468</v>
      </c>
      <c r="Q7" s="1136" t="s">
        <v>809</v>
      </c>
    </row>
    <row r="8" spans="1:17" ht="13.5" customHeight="1">
      <c r="A8" s="696"/>
      <c r="B8" s="696"/>
      <c r="C8" s="1370" t="s">
        <v>159</v>
      </c>
      <c r="D8" s="1371"/>
      <c r="E8" s="1137"/>
      <c r="F8" s="1138"/>
      <c r="G8" s="1138"/>
      <c r="H8" s="1138"/>
      <c r="I8" s="1138"/>
      <c r="J8" s="1138"/>
      <c r="K8" s="1138"/>
      <c r="L8" s="698"/>
      <c r="M8" s="698"/>
      <c r="N8" s="698"/>
      <c r="O8" s="698"/>
      <c r="P8" s="1135"/>
      <c r="Q8" s="1136"/>
    </row>
    <row r="9" spans="1:17" ht="13.5" customHeight="1">
      <c r="A9" s="696"/>
      <c r="B9" s="696"/>
      <c r="C9" s="1135" t="s">
        <v>1401</v>
      </c>
      <c r="D9" s="1083"/>
      <c r="E9" s="1137">
        <v>1</v>
      </c>
      <c r="F9" s="1138"/>
      <c r="G9" s="1138"/>
      <c r="H9" s="1138"/>
      <c r="I9" s="1138">
        <v>36961</v>
      </c>
      <c r="J9" s="1138"/>
      <c r="K9" s="1138"/>
      <c r="L9" s="698"/>
      <c r="M9" s="698"/>
      <c r="N9" s="698"/>
      <c r="O9" s="698"/>
      <c r="P9" s="1135">
        <f>SUM(F9:O9)</f>
        <v>36961</v>
      </c>
      <c r="Q9" s="1136" t="s">
        <v>809</v>
      </c>
    </row>
    <row r="10" spans="1:17" ht="13.5" customHeight="1">
      <c r="A10" s="696"/>
      <c r="B10" s="696"/>
      <c r="C10" s="1135" t="s">
        <v>1401</v>
      </c>
      <c r="D10" s="1083"/>
      <c r="E10" s="1137">
        <v>1</v>
      </c>
      <c r="F10" s="1138"/>
      <c r="G10" s="1138"/>
      <c r="H10" s="1138"/>
      <c r="I10" s="1138">
        <v>1800</v>
      </c>
      <c r="J10" s="1138"/>
      <c r="K10" s="1138"/>
      <c r="L10" s="698"/>
      <c r="M10" s="698"/>
      <c r="N10" s="698"/>
      <c r="O10" s="698"/>
      <c r="P10" s="1135">
        <f>SUM(F10:O10)</f>
        <v>1800</v>
      </c>
      <c r="Q10" s="1136" t="s">
        <v>809</v>
      </c>
    </row>
    <row r="11" spans="1:17" ht="13.5" customHeight="1">
      <c r="A11" s="696"/>
      <c r="B11" s="696"/>
      <c r="C11" s="1370" t="s">
        <v>623</v>
      </c>
      <c r="D11" s="1371"/>
      <c r="E11" s="1137"/>
      <c r="F11" s="1138"/>
      <c r="G11" s="1138"/>
      <c r="H11" s="1138"/>
      <c r="I11" s="1138"/>
      <c r="J11" s="1138"/>
      <c r="K11" s="1138"/>
      <c r="L11" s="698"/>
      <c r="M11" s="698"/>
      <c r="N11" s="698"/>
      <c r="O11" s="698"/>
      <c r="P11" s="1135"/>
      <c r="Q11" s="1136"/>
    </row>
    <row r="12" spans="1:17" ht="13.5" customHeight="1">
      <c r="A12" s="696"/>
      <c r="B12" s="696"/>
      <c r="C12" s="1135" t="s">
        <v>888</v>
      </c>
      <c r="D12" s="1139"/>
      <c r="E12" s="1137">
        <v>1</v>
      </c>
      <c r="F12" s="1138"/>
      <c r="G12" s="1138"/>
      <c r="H12" s="1138"/>
      <c r="I12" s="1138">
        <v>56</v>
      </c>
      <c r="J12" s="1138"/>
      <c r="K12" s="1138"/>
      <c r="L12" s="698"/>
      <c r="M12" s="698"/>
      <c r="N12" s="698"/>
      <c r="O12" s="698"/>
      <c r="P12" s="1135">
        <f>SUM(F12:O12)</f>
        <v>56</v>
      </c>
      <c r="Q12" s="1136" t="s">
        <v>809</v>
      </c>
    </row>
    <row r="13" spans="1:17" ht="24.75" customHeight="1">
      <c r="A13" s="696"/>
      <c r="B13" s="696"/>
      <c r="C13" s="1407" t="s">
        <v>581</v>
      </c>
      <c r="D13" s="1440"/>
      <c r="E13" s="1137"/>
      <c r="F13" s="1138"/>
      <c r="G13" s="1138"/>
      <c r="H13" s="1138"/>
      <c r="I13" s="1138"/>
      <c r="J13" s="1138"/>
      <c r="K13" s="1138"/>
      <c r="L13" s="698"/>
      <c r="M13" s="698"/>
      <c r="N13" s="698"/>
      <c r="O13" s="698"/>
      <c r="P13" s="1135"/>
      <c r="Q13" s="1136"/>
    </row>
    <row r="14" spans="1:17" ht="13.5" customHeight="1">
      <c r="A14" s="696"/>
      <c r="B14" s="696"/>
      <c r="C14" s="1135" t="s">
        <v>582</v>
      </c>
      <c r="D14" s="1139"/>
      <c r="E14" s="1137">
        <v>1</v>
      </c>
      <c r="F14" s="1138"/>
      <c r="G14" s="1138"/>
      <c r="H14" s="1138"/>
      <c r="I14" s="1138">
        <v>110</v>
      </c>
      <c r="J14" s="1138"/>
      <c r="K14" s="1138"/>
      <c r="L14" s="698"/>
      <c r="M14" s="698"/>
      <c r="N14" s="698"/>
      <c r="O14" s="698"/>
      <c r="P14" s="1135">
        <f>SUM(F14:O14)</f>
        <v>110</v>
      </c>
      <c r="Q14" s="1136" t="s">
        <v>809</v>
      </c>
    </row>
    <row r="15" spans="1:17" ht="13.5" customHeight="1">
      <c r="A15" s="696"/>
      <c r="B15" s="696"/>
      <c r="C15" s="1370" t="s">
        <v>159</v>
      </c>
      <c r="D15" s="1371"/>
      <c r="E15" s="1137">
        <v>1</v>
      </c>
      <c r="F15" s="1138"/>
      <c r="G15" s="1138"/>
      <c r="H15" s="1138"/>
      <c r="I15" s="1138"/>
      <c r="J15" s="1138"/>
      <c r="K15" s="1138"/>
      <c r="L15" s="698"/>
      <c r="M15" s="698"/>
      <c r="N15" s="698"/>
      <c r="O15" s="698"/>
      <c r="P15" s="1135"/>
      <c r="Q15" s="1136"/>
    </row>
    <row r="16" spans="1:17" ht="13.5" customHeight="1">
      <c r="A16" s="696"/>
      <c r="B16" s="696"/>
      <c r="C16" s="1370" t="s">
        <v>889</v>
      </c>
      <c r="D16" s="1443"/>
      <c r="E16" s="1137">
        <v>1</v>
      </c>
      <c r="F16" s="1138"/>
      <c r="G16" s="1138"/>
      <c r="H16" s="1138"/>
      <c r="I16" s="1138">
        <v>13604</v>
      </c>
      <c r="J16" s="1138"/>
      <c r="K16" s="1138"/>
      <c r="L16" s="698"/>
      <c r="M16" s="698"/>
      <c r="N16" s="698"/>
      <c r="O16" s="698"/>
      <c r="P16" s="1135">
        <f>SUM(F16:O16)</f>
        <v>13604</v>
      </c>
      <c r="Q16" s="1136" t="s">
        <v>809</v>
      </c>
    </row>
    <row r="17" spans="1:17" ht="24.75" customHeight="1">
      <c r="A17" s="696"/>
      <c r="B17" s="696"/>
      <c r="C17" s="1401" t="s">
        <v>583</v>
      </c>
      <c r="D17" s="1409"/>
      <c r="E17" s="1140"/>
      <c r="F17" s="1138"/>
      <c r="G17" s="1138"/>
      <c r="H17" s="1138"/>
      <c r="I17" s="1138"/>
      <c r="J17" s="1138"/>
      <c r="K17" s="1138"/>
      <c r="L17" s="698"/>
      <c r="M17" s="698"/>
      <c r="N17" s="698"/>
      <c r="O17" s="698"/>
      <c r="P17" s="1135"/>
      <c r="Q17" s="1136"/>
    </row>
    <row r="18" spans="1:17" ht="13.5" customHeight="1">
      <c r="A18" s="696"/>
      <c r="B18" s="696"/>
      <c r="C18" s="1141" t="s">
        <v>584</v>
      </c>
      <c r="D18" s="1142"/>
      <c r="E18" s="1140">
        <v>2</v>
      </c>
      <c r="F18" s="1138"/>
      <c r="G18" s="1138"/>
      <c r="H18" s="1138">
        <v>900</v>
      </c>
      <c r="I18" s="1138"/>
      <c r="J18" s="1138"/>
      <c r="K18" s="1138"/>
      <c r="L18" s="698"/>
      <c r="M18" s="698"/>
      <c r="N18" s="698"/>
      <c r="O18" s="698"/>
      <c r="P18" s="1135">
        <f>SUM(F18:O18)</f>
        <v>900</v>
      </c>
      <c r="Q18" s="1136" t="s">
        <v>809</v>
      </c>
    </row>
    <row r="19" spans="1:17" ht="13.5" customHeight="1">
      <c r="A19" s="696"/>
      <c r="B19" s="696"/>
      <c r="C19" s="1441" t="s">
        <v>1253</v>
      </c>
      <c r="D19" s="1442"/>
      <c r="E19" s="1140"/>
      <c r="F19" s="1138"/>
      <c r="G19" s="1138"/>
      <c r="H19" s="1138"/>
      <c r="I19" s="1138"/>
      <c r="J19" s="1138"/>
      <c r="K19" s="1138"/>
      <c r="L19" s="698"/>
      <c r="M19" s="698"/>
      <c r="N19" s="698"/>
      <c r="O19" s="698"/>
      <c r="P19" s="1135"/>
      <c r="Q19" s="1136"/>
    </row>
    <row r="20" spans="1:17" ht="13.5" customHeight="1">
      <c r="A20" s="696"/>
      <c r="B20" s="696"/>
      <c r="C20" s="891" t="s">
        <v>1581</v>
      </c>
      <c r="D20" s="1143"/>
      <c r="E20" s="1140">
        <v>1</v>
      </c>
      <c r="F20" s="1138"/>
      <c r="G20" s="1138"/>
      <c r="H20" s="1138">
        <v>600</v>
      </c>
      <c r="I20" s="1138"/>
      <c r="J20" s="1138">
        <v>-600</v>
      </c>
      <c r="K20" s="1138"/>
      <c r="L20" s="698"/>
      <c r="M20" s="698"/>
      <c r="N20" s="698"/>
      <c r="O20" s="698"/>
      <c r="P20" s="1135">
        <f>SUM(H20:O20)</f>
        <v>0</v>
      </c>
      <c r="Q20" s="1136" t="s">
        <v>809</v>
      </c>
    </row>
    <row r="21" spans="1:17" ht="13.5" customHeight="1">
      <c r="A21" s="696"/>
      <c r="B21" s="696"/>
      <c r="C21" s="1398" t="s">
        <v>163</v>
      </c>
      <c r="D21" s="1399"/>
      <c r="E21" s="1144"/>
      <c r="F21" s="1138"/>
      <c r="G21" s="1138"/>
      <c r="H21" s="1138"/>
      <c r="I21" s="1138"/>
      <c r="J21" s="1138"/>
      <c r="K21" s="1138"/>
      <c r="L21" s="698"/>
      <c r="M21" s="698"/>
      <c r="N21" s="698"/>
      <c r="O21" s="698"/>
      <c r="P21" s="1135"/>
      <c r="Q21" s="1136"/>
    </row>
    <row r="22" spans="1:17" ht="13.5" customHeight="1">
      <c r="A22" s="696"/>
      <c r="B22" s="696"/>
      <c r="C22" s="1141" t="s">
        <v>585</v>
      </c>
      <c r="D22" s="1145"/>
      <c r="E22" s="1146">
        <v>2</v>
      </c>
      <c r="F22" s="1138"/>
      <c r="G22" s="1138"/>
      <c r="H22" s="1138"/>
      <c r="I22" s="1138"/>
      <c r="J22" s="1138">
        <v>4450</v>
      </c>
      <c r="K22" s="1138"/>
      <c r="L22" s="698"/>
      <c r="M22" s="698"/>
      <c r="N22" s="698"/>
      <c r="O22" s="698"/>
      <c r="P22" s="1135">
        <f>SUM(F22:O22)</f>
        <v>4450</v>
      </c>
      <c r="Q22" s="1136" t="s">
        <v>809</v>
      </c>
    </row>
    <row r="23" spans="1:17" ht="13.5" customHeight="1">
      <c r="A23" s="1147"/>
      <c r="B23" s="1147"/>
      <c r="C23" s="1148" t="s">
        <v>892</v>
      </c>
      <c r="D23" s="1149"/>
      <c r="E23" s="1150"/>
      <c r="F23" s="1151">
        <f aca="true" t="shared" si="0" ref="F23:M23">SUM(F5:F22)</f>
        <v>0</v>
      </c>
      <c r="G23" s="1151">
        <f t="shared" si="0"/>
        <v>0</v>
      </c>
      <c r="H23" s="1151">
        <f t="shared" si="0"/>
        <v>1500</v>
      </c>
      <c r="I23" s="1151">
        <f t="shared" si="0"/>
        <v>173196</v>
      </c>
      <c r="J23" s="1151">
        <f t="shared" si="0"/>
        <v>3850</v>
      </c>
      <c r="K23" s="1151">
        <f t="shared" si="0"/>
        <v>0</v>
      </c>
      <c r="L23" s="1151">
        <f t="shared" si="0"/>
        <v>0</v>
      </c>
      <c r="M23" s="1151">
        <f t="shared" si="0"/>
        <v>0</v>
      </c>
      <c r="N23" s="1151"/>
      <c r="O23" s="1151">
        <f>SUM(O5:O22)</f>
        <v>0</v>
      </c>
      <c r="P23" s="1151">
        <f>SUM(P5:P22)</f>
        <v>178546</v>
      </c>
      <c r="Q23" s="1152"/>
    </row>
    <row r="24" spans="1:17" ht="13.5" customHeight="1">
      <c r="A24" s="696"/>
      <c r="B24" s="696"/>
      <c r="C24" s="699" t="s">
        <v>893</v>
      </c>
      <c r="D24" s="1129"/>
      <c r="E24" s="1153"/>
      <c r="F24" s="698"/>
      <c r="G24" s="698"/>
      <c r="H24" s="698"/>
      <c r="I24" s="698"/>
      <c r="J24" s="698"/>
      <c r="K24" s="698">
        <f>'[2]7'!J7</f>
        <v>0</v>
      </c>
      <c r="L24" s="698"/>
      <c r="M24" s="698">
        <f>'[2]7'!K7</f>
        <v>0</v>
      </c>
      <c r="N24" s="698"/>
      <c r="O24" s="698"/>
      <c r="P24" s="1135">
        <f>SUM(F24:O24)</f>
        <v>0</v>
      </c>
      <c r="Q24" s="1136"/>
    </row>
    <row r="25" spans="1:17" ht="13.5" customHeight="1">
      <c r="A25" s="696"/>
      <c r="B25" s="696"/>
      <c r="C25" s="699" t="s">
        <v>1536</v>
      </c>
      <c r="D25" s="1129"/>
      <c r="E25" s="1153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1135">
        <f>SUM(F25:O25)</f>
        <v>0</v>
      </c>
      <c r="Q25" s="1136"/>
    </row>
    <row r="26" spans="1:17" ht="13.5" customHeight="1">
      <c r="A26" s="1147"/>
      <c r="B26" s="1147"/>
      <c r="C26" s="1148" t="s">
        <v>23</v>
      </c>
      <c r="D26" s="1149"/>
      <c r="E26" s="1154"/>
      <c r="F26" s="1151">
        <f aca="true" t="shared" si="1" ref="F26:M26">SUM(F23:F25)</f>
        <v>0</v>
      </c>
      <c r="G26" s="1151">
        <f t="shared" si="1"/>
        <v>0</v>
      </c>
      <c r="H26" s="1151">
        <f t="shared" si="1"/>
        <v>1500</v>
      </c>
      <c r="I26" s="1151">
        <f t="shared" si="1"/>
        <v>173196</v>
      </c>
      <c r="J26" s="1151">
        <f t="shared" si="1"/>
        <v>3850</v>
      </c>
      <c r="K26" s="1151">
        <f t="shared" si="1"/>
        <v>0</v>
      </c>
      <c r="L26" s="1151">
        <f t="shared" si="1"/>
        <v>0</v>
      </c>
      <c r="M26" s="1151">
        <f t="shared" si="1"/>
        <v>0</v>
      </c>
      <c r="N26" s="1151"/>
      <c r="O26" s="1151">
        <f>SUM(O23:O25)</f>
        <v>0</v>
      </c>
      <c r="P26" s="1151">
        <f>SUM(P23:P25)</f>
        <v>178546</v>
      </c>
      <c r="Q26" s="1152"/>
    </row>
    <row r="27" spans="1:17" ht="13.5" customHeight="1">
      <c r="A27" s="1155">
        <v>1</v>
      </c>
      <c r="B27" s="1155">
        <v>13</v>
      </c>
      <c r="C27" s="681" t="s">
        <v>20</v>
      </c>
      <c r="D27" s="1156"/>
      <c r="E27" s="1157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1135"/>
      <c r="Q27" s="1136"/>
    </row>
    <row r="28" spans="1:17" ht="13.5" customHeight="1">
      <c r="A28" s="1155"/>
      <c r="B28" s="1155"/>
      <c r="C28" s="1158" t="s">
        <v>1027</v>
      </c>
      <c r="D28" s="1156"/>
      <c r="E28" s="1157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1135"/>
      <c r="Q28" s="1136"/>
    </row>
    <row r="29" spans="1:17" ht="13.5" customHeight="1">
      <c r="A29" s="1155"/>
      <c r="B29" s="1155"/>
      <c r="C29" s="1421" t="s">
        <v>1254</v>
      </c>
      <c r="D29" s="1422"/>
      <c r="E29" s="1160"/>
      <c r="F29" s="698"/>
      <c r="G29" s="698"/>
      <c r="H29" s="1138"/>
      <c r="I29" s="1138"/>
      <c r="J29" s="1138"/>
      <c r="K29" s="698"/>
      <c r="L29" s="698"/>
      <c r="M29" s="698"/>
      <c r="N29" s="698"/>
      <c r="O29" s="698"/>
      <c r="P29" s="1135"/>
      <c r="Q29" s="1136"/>
    </row>
    <row r="30" spans="1:17" ht="36" customHeight="1">
      <c r="A30" s="1155"/>
      <c r="B30" s="1155"/>
      <c r="C30" s="1419" t="s">
        <v>586</v>
      </c>
      <c r="D30" s="1420"/>
      <c r="E30" s="1161">
        <v>2</v>
      </c>
      <c r="F30" s="1138">
        <v>5751</v>
      </c>
      <c r="G30" s="1138">
        <v>1567</v>
      </c>
      <c r="H30" s="1138"/>
      <c r="I30" s="1138"/>
      <c r="J30" s="1138"/>
      <c r="K30" s="698"/>
      <c r="L30" s="698"/>
      <c r="M30" s="698"/>
      <c r="N30" s="698"/>
      <c r="O30" s="698"/>
      <c r="P30" s="1135">
        <f>SUM(F30:O30)</f>
        <v>7318</v>
      </c>
      <c r="Q30" s="1136" t="s">
        <v>809</v>
      </c>
    </row>
    <row r="31" spans="1:17" ht="24.75" customHeight="1">
      <c r="A31" s="1155"/>
      <c r="B31" s="1155"/>
      <c r="C31" s="1401" t="s">
        <v>587</v>
      </c>
      <c r="D31" s="1409"/>
      <c r="E31" s="1161"/>
      <c r="F31" s="1138"/>
      <c r="G31" s="1138"/>
      <c r="H31" s="1138"/>
      <c r="I31" s="1138"/>
      <c r="J31" s="1138"/>
      <c r="K31" s="698"/>
      <c r="L31" s="698"/>
      <c r="M31" s="698"/>
      <c r="N31" s="698"/>
      <c r="O31" s="698"/>
      <c r="P31" s="1135"/>
      <c r="Q31" s="1136"/>
    </row>
    <row r="32" spans="1:17" ht="24.75" customHeight="1">
      <c r="A32" s="1155"/>
      <c r="B32" s="1155"/>
      <c r="C32" s="1401" t="s">
        <v>1294</v>
      </c>
      <c r="D32" s="1409"/>
      <c r="E32" s="1161">
        <v>2</v>
      </c>
      <c r="F32" s="1138"/>
      <c r="G32" s="1138"/>
      <c r="H32" s="1138"/>
      <c r="I32" s="1138"/>
      <c r="J32" s="1138">
        <v>-4600</v>
      </c>
      <c r="K32" s="698"/>
      <c r="L32" s="698"/>
      <c r="M32" s="698"/>
      <c r="N32" s="698"/>
      <c r="O32" s="698"/>
      <c r="P32" s="1135">
        <f>SUM(F32:O32)</f>
        <v>-4600</v>
      </c>
      <c r="Q32" s="1136" t="s">
        <v>848</v>
      </c>
    </row>
    <row r="33" spans="1:17" ht="15.75" customHeight="1">
      <c r="A33" s="1155"/>
      <c r="B33" s="1155"/>
      <c r="C33" s="1444" t="s">
        <v>1028</v>
      </c>
      <c r="D33" s="1445"/>
      <c r="E33" s="1161"/>
      <c r="F33" s="1138"/>
      <c r="G33" s="1138"/>
      <c r="H33" s="1138"/>
      <c r="I33" s="1138"/>
      <c r="J33" s="1138"/>
      <c r="K33" s="698"/>
      <c r="L33" s="698"/>
      <c r="M33" s="698"/>
      <c r="N33" s="698"/>
      <c r="O33" s="698"/>
      <c r="P33" s="1135"/>
      <c r="Q33" s="1136"/>
    </row>
    <row r="34" spans="1:17" ht="24.75" customHeight="1">
      <c r="A34" s="1155"/>
      <c r="B34" s="1155"/>
      <c r="C34" s="1401" t="s">
        <v>1256</v>
      </c>
      <c r="D34" s="1409"/>
      <c r="E34" s="1161"/>
      <c r="F34" s="1138"/>
      <c r="G34" s="1138"/>
      <c r="H34" s="1138"/>
      <c r="I34" s="1138"/>
      <c r="J34" s="1138"/>
      <c r="K34" s="698"/>
      <c r="L34" s="698"/>
      <c r="M34" s="698"/>
      <c r="N34" s="698"/>
      <c r="O34" s="698"/>
      <c r="P34" s="1135"/>
      <c r="Q34" s="1136"/>
    </row>
    <row r="35" spans="1:17" ht="15" customHeight="1">
      <c r="A35" s="1155"/>
      <c r="B35" s="1155"/>
      <c r="C35" s="1401" t="s">
        <v>1539</v>
      </c>
      <c r="D35" s="1409"/>
      <c r="E35" s="1161">
        <v>2</v>
      </c>
      <c r="F35" s="1138"/>
      <c r="G35" s="1138"/>
      <c r="H35" s="1138">
        <v>-37</v>
      </c>
      <c r="I35" s="1138"/>
      <c r="J35" s="1138"/>
      <c r="K35" s="698"/>
      <c r="L35" s="698"/>
      <c r="M35" s="698"/>
      <c r="N35" s="698"/>
      <c r="O35" s="698"/>
      <c r="P35" s="1135">
        <f>SUM(F35:O35)</f>
        <v>-37</v>
      </c>
      <c r="Q35" s="1136" t="s">
        <v>848</v>
      </c>
    </row>
    <row r="36" spans="1:17" ht="15" customHeight="1">
      <c r="A36" s="1155"/>
      <c r="B36" s="1155"/>
      <c r="C36" s="1141" t="s">
        <v>1257</v>
      </c>
      <c r="D36" s="1142"/>
      <c r="E36" s="1162"/>
      <c r="F36" s="698"/>
      <c r="G36" s="698"/>
      <c r="H36" s="1138"/>
      <c r="I36" s="1138"/>
      <c r="J36" s="1138"/>
      <c r="K36" s="698"/>
      <c r="L36" s="698"/>
      <c r="M36" s="698"/>
      <c r="N36" s="698"/>
      <c r="O36" s="698"/>
      <c r="P36" s="1135"/>
      <c r="Q36" s="1136"/>
    </row>
    <row r="37" spans="1:17" ht="13.5" customHeight="1">
      <c r="A37" s="1155"/>
      <c r="B37" s="1155"/>
      <c r="C37" s="683" t="s">
        <v>896</v>
      </c>
      <c r="D37" s="1142"/>
      <c r="E37" s="1140">
        <v>2</v>
      </c>
      <c r="F37" s="698"/>
      <c r="G37" s="698"/>
      <c r="H37" s="1138">
        <v>637</v>
      </c>
      <c r="I37" s="1138"/>
      <c r="J37" s="1138"/>
      <c r="K37" s="698"/>
      <c r="L37" s="698"/>
      <c r="M37" s="698"/>
      <c r="N37" s="698"/>
      <c r="O37" s="698"/>
      <c r="P37" s="1135">
        <f>SUM(F37:O37)</f>
        <v>637</v>
      </c>
      <c r="Q37" s="1136" t="s">
        <v>809</v>
      </c>
    </row>
    <row r="38" spans="1:17" ht="13.5" customHeight="1">
      <c r="A38" s="1155"/>
      <c r="B38" s="1155"/>
      <c r="C38" s="1398" t="s">
        <v>1258</v>
      </c>
      <c r="D38" s="1399"/>
      <c r="E38" s="1137"/>
      <c r="F38" s="698"/>
      <c r="G38" s="698"/>
      <c r="H38" s="1138"/>
      <c r="I38" s="1138"/>
      <c r="J38" s="1138"/>
      <c r="K38" s="698"/>
      <c r="L38" s="698"/>
      <c r="M38" s="698"/>
      <c r="N38" s="698"/>
      <c r="O38" s="698"/>
      <c r="P38" s="1135"/>
      <c r="Q38" s="1136"/>
    </row>
    <row r="39" spans="1:17" ht="13.5" customHeight="1">
      <c r="A39" s="1155"/>
      <c r="B39" s="1155"/>
      <c r="C39" s="1401" t="s">
        <v>1088</v>
      </c>
      <c r="D39" s="1409"/>
      <c r="E39" s="1163">
        <v>2</v>
      </c>
      <c r="F39" s="698"/>
      <c r="G39" s="698"/>
      <c r="H39" s="1138">
        <v>50</v>
      </c>
      <c r="I39" s="1138"/>
      <c r="J39" s="1138">
        <v>-50</v>
      </c>
      <c r="K39" s="698"/>
      <c r="L39" s="698"/>
      <c r="M39" s="698"/>
      <c r="N39" s="698"/>
      <c r="O39" s="698"/>
      <c r="P39" s="1135">
        <f>SUM(F39:O39)</f>
        <v>0</v>
      </c>
      <c r="Q39" s="1136" t="s">
        <v>809</v>
      </c>
    </row>
    <row r="40" spans="1:17" ht="24.75" customHeight="1">
      <c r="A40" s="1155"/>
      <c r="B40" s="1155"/>
      <c r="C40" s="1430" t="s">
        <v>1418</v>
      </c>
      <c r="D40" s="1431"/>
      <c r="E40" s="1164">
        <v>2</v>
      </c>
      <c r="F40" s="698"/>
      <c r="G40" s="698"/>
      <c r="H40" s="1138"/>
      <c r="I40" s="1138"/>
      <c r="J40" s="1138">
        <v>1000</v>
      </c>
      <c r="K40" s="698"/>
      <c r="L40" s="698"/>
      <c r="M40" s="698"/>
      <c r="N40" s="698"/>
      <c r="O40" s="698"/>
      <c r="P40" s="1135">
        <f>SUM(F40:O40)</f>
        <v>1000</v>
      </c>
      <c r="Q40" s="1136" t="s">
        <v>809</v>
      </c>
    </row>
    <row r="41" spans="1:17" ht="13.5" customHeight="1">
      <c r="A41" s="1155"/>
      <c r="B41" s="1155"/>
      <c r="C41" s="1434" t="s">
        <v>1588</v>
      </c>
      <c r="D41" s="1435"/>
      <c r="E41" s="1166"/>
      <c r="F41" s="698"/>
      <c r="G41" s="698"/>
      <c r="H41" s="1138"/>
      <c r="I41" s="1138"/>
      <c r="J41" s="1138"/>
      <c r="K41" s="698"/>
      <c r="L41" s="698"/>
      <c r="M41" s="698"/>
      <c r="N41" s="698"/>
      <c r="O41" s="698"/>
      <c r="P41" s="1135"/>
      <c r="Q41" s="1136"/>
    </row>
    <row r="42" spans="1:17" ht="13.5" customHeight="1">
      <c r="A42" s="1155"/>
      <c r="B42" s="1155"/>
      <c r="C42" s="1398" t="s">
        <v>164</v>
      </c>
      <c r="D42" s="1399"/>
      <c r="E42" s="1137"/>
      <c r="F42" s="698"/>
      <c r="G42" s="698"/>
      <c r="H42" s="1138"/>
      <c r="I42" s="1138"/>
      <c r="J42" s="1138"/>
      <c r="K42" s="698"/>
      <c r="L42" s="698"/>
      <c r="M42" s="698"/>
      <c r="N42" s="698"/>
      <c r="O42" s="698"/>
      <c r="P42" s="1135"/>
      <c r="Q42" s="1136"/>
    </row>
    <row r="43" spans="1:17" ht="13.5" customHeight="1">
      <c r="A43" s="1155"/>
      <c r="B43" s="1155"/>
      <c r="C43" s="683" t="s">
        <v>1290</v>
      </c>
      <c r="D43" s="1142"/>
      <c r="E43" s="1140">
        <v>2</v>
      </c>
      <c r="F43" s="698"/>
      <c r="G43" s="698"/>
      <c r="H43" s="1138">
        <v>-50</v>
      </c>
      <c r="I43" s="1138"/>
      <c r="J43" s="1138">
        <v>50</v>
      </c>
      <c r="K43" s="698"/>
      <c r="L43" s="698"/>
      <c r="M43" s="698"/>
      <c r="N43" s="698"/>
      <c r="O43" s="698"/>
      <c r="P43" s="1135">
        <f>SUM(F43:O43)</f>
        <v>0</v>
      </c>
      <c r="Q43" s="1136" t="s">
        <v>809</v>
      </c>
    </row>
    <row r="44" spans="1:17" ht="15" customHeight="1">
      <c r="A44" s="1155"/>
      <c r="B44" s="1155"/>
      <c r="C44" s="1430" t="s">
        <v>1261</v>
      </c>
      <c r="D44" s="1431"/>
      <c r="E44" s="1140"/>
      <c r="F44" s="698"/>
      <c r="G44" s="698"/>
      <c r="H44" s="1138"/>
      <c r="I44" s="1138"/>
      <c r="J44" s="1138"/>
      <c r="K44" s="698"/>
      <c r="L44" s="698"/>
      <c r="M44" s="698"/>
      <c r="N44" s="698"/>
      <c r="O44" s="698"/>
      <c r="P44" s="1135"/>
      <c r="Q44" s="1136"/>
    </row>
    <row r="45" spans="1:17" ht="15" customHeight="1">
      <c r="A45" s="1155"/>
      <c r="B45" s="1155"/>
      <c r="C45" s="1398" t="s">
        <v>570</v>
      </c>
      <c r="D45" s="1399"/>
      <c r="E45" s="1140">
        <v>2</v>
      </c>
      <c r="F45" s="1138"/>
      <c r="G45" s="1138"/>
      <c r="H45" s="1138">
        <v>-50</v>
      </c>
      <c r="I45" s="1138"/>
      <c r="J45" s="1138">
        <v>100</v>
      </c>
      <c r="K45" s="698"/>
      <c r="L45" s="698"/>
      <c r="M45" s="698"/>
      <c r="N45" s="698"/>
      <c r="O45" s="698"/>
      <c r="P45" s="1135">
        <f>SUM(F45:O45)</f>
        <v>50</v>
      </c>
      <c r="Q45" s="1136" t="s">
        <v>809</v>
      </c>
    </row>
    <row r="46" spans="1:17" ht="24.75" customHeight="1">
      <c r="A46" s="1155"/>
      <c r="B46" s="1155"/>
      <c r="C46" s="1407" t="s">
        <v>581</v>
      </c>
      <c r="D46" s="1440"/>
      <c r="E46" s="1140"/>
      <c r="F46" s="1138"/>
      <c r="G46" s="1138"/>
      <c r="H46" s="1138"/>
      <c r="I46" s="1138"/>
      <c r="J46" s="1138"/>
      <c r="K46" s="698"/>
      <c r="L46" s="698"/>
      <c r="M46" s="698"/>
      <c r="N46" s="698"/>
      <c r="O46" s="698"/>
      <c r="P46" s="1135"/>
      <c r="Q46" s="1136"/>
    </row>
    <row r="47" spans="1:17" ht="15" customHeight="1">
      <c r="A47" s="1155"/>
      <c r="B47" s="1155"/>
      <c r="C47" s="683" t="s">
        <v>588</v>
      </c>
      <c r="D47" s="1142"/>
      <c r="E47" s="1140">
        <v>2</v>
      </c>
      <c r="F47" s="1138"/>
      <c r="G47" s="1138"/>
      <c r="H47" s="1138">
        <v>5180</v>
      </c>
      <c r="I47" s="1138"/>
      <c r="J47" s="1138"/>
      <c r="K47" s="698"/>
      <c r="L47" s="698"/>
      <c r="M47" s="698"/>
      <c r="N47" s="698"/>
      <c r="O47" s="698"/>
      <c r="P47" s="1135">
        <f>SUM(F47:O47)</f>
        <v>5180</v>
      </c>
      <c r="Q47" s="1136" t="s">
        <v>809</v>
      </c>
    </row>
    <row r="48" spans="1:17" ht="15" customHeight="1">
      <c r="A48" s="1155"/>
      <c r="B48" s="1155"/>
      <c r="C48" s="683" t="s">
        <v>166</v>
      </c>
      <c r="D48" s="1142"/>
      <c r="E48" s="1140"/>
      <c r="F48" s="1138"/>
      <c r="G48" s="1138"/>
      <c r="H48" s="1138"/>
      <c r="I48" s="1138"/>
      <c r="J48" s="1138"/>
      <c r="K48" s="698"/>
      <c r="L48" s="698"/>
      <c r="M48" s="698"/>
      <c r="N48" s="698"/>
      <c r="O48" s="698"/>
      <c r="P48" s="1135"/>
      <c r="Q48" s="1136"/>
    </row>
    <row r="49" spans="1:17" ht="15" customHeight="1">
      <c r="A49" s="1155"/>
      <c r="B49" s="1155"/>
      <c r="C49" s="683" t="s">
        <v>589</v>
      </c>
      <c r="D49" s="1142"/>
      <c r="E49" s="1140">
        <v>1</v>
      </c>
      <c r="F49" s="1138"/>
      <c r="G49" s="1138"/>
      <c r="H49" s="1138">
        <v>5572</v>
      </c>
      <c r="I49" s="1138"/>
      <c r="J49" s="1138"/>
      <c r="K49" s="698"/>
      <c r="L49" s="698"/>
      <c r="M49" s="698"/>
      <c r="N49" s="698"/>
      <c r="O49" s="698"/>
      <c r="P49" s="1135">
        <f>SUM(F49:O49)</f>
        <v>5572</v>
      </c>
      <c r="Q49" s="1136" t="s">
        <v>809</v>
      </c>
    </row>
    <row r="50" spans="1:17" ht="24.75" customHeight="1">
      <c r="A50" s="1155"/>
      <c r="B50" s="1155"/>
      <c r="C50" s="1432" t="s">
        <v>1260</v>
      </c>
      <c r="D50" s="1433"/>
      <c r="E50" s="1140"/>
      <c r="F50" s="1138"/>
      <c r="G50" s="1138"/>
      <c r="H50" s="1138"/>
      <c r="I50" s="1138"/>
      <c r="J50" s="1138"/>
      <c r="K50" s="698"/>
      <c r="L50" s="698"/>
      <c r="M50" s="698"/>
      <c r="N50" s="698"/>
      <c r="O50" s="698"/>
      <c r="P50" s="1135"/>
      <c r="Q50" s="1136"/>
    </row>
    <row r="51" spans="1:17" ht="15" customHeight="1">
      <c r="A51" s="1155"/>
      <c r="B51" s="1155"/>
      <c r="C51" s="1430" t="s">
        <v>1614</v>
      </c>
      <c r="D51" s="1431"/>
      <c r="E51" s="1140">
        <v>2</v>
      </c>
      <c r="F51" s="1138"/>
      <c r="G51" s="1138"/>
      <c r="H51" s="1138">
        <v>-300</v>
      </c>
      <c r="I51" s="1138"/>
      <c r="J51" s="1138"/>
      <c r="K51" s="698"/>
      <c r="L51" s="698"/>
      <c r="M51" s="698"/>
      <c r="N51" s="698"/>
      <c r="O51" s="698"/>
      <c r="P51" s="1135">
        <f>SUM(F51:O51)</f>
        <v>-300</v>
      </c>
      <c r="Q51" s="1136" t="s">
        <v>848</v>
      </c>
    </row>
    <row r="52" spans="1:17" ht="13.5" customHeight="1">
      <c r="A52" s="1155"/>
      <c r="B52" s="1155"/>
      <c r="C52" s="1165" t="s">
        <v>296</v>
      </c>
      <c r="D52" s="1142"/>
      <c r="E52" s="1140"/>
      <c r="F52" s="698"/>
      <c r="G52" s="698"/>
      <c r="H52" s="1138"/>
      <c r="I52" s="1138"/>
      <c r="J52" s="1138"/>
      <c r="K52" s="698"/>
      <c r="L52" s="698"/>
      <c r="M52" s="698"/>
      <c r="N52" s="698"/>
      <c r="O52" s="698"/>
      <c r="P52" s="1135"/>
      <c r="Q52" s="1136"/>
    </row>
    <row r="53" spans="1:17" ht="13.5" customHeight="1">
      <c r="A53" s="1155"/>
      <c r="B53" s="1155"/>
      <c r="C53" s="1421" t="s">
        <v>169</v>
      </c>
      <c r="D53" s="1422"/>
      <c r="E53" s="1140"/>
      <c r="F53" s="698"/>
      <c r="G53" s="698"/>
      <c r="H53" s="1138"/>
      <c r="I53" s="1138"/>
      <c r="J53" s="1138"/>
      <c r="K53" s="698"/>
      <c r="L53" s="698"/>
      <c r="M53" s="698"/>
      <c r="N53" s="698"/>
      <c r="O53" s="698"/>
      <c r="P53" s="1135"/>
      <c r="Q53" s="1136"/>
    </row>
    <row r="54" spans="1:17" ht="13.5" customHeight="1">
      <c r="A54" s="1155"/>
      <c r="B54" s="1155"/>
      <c r="C54" s="683" t="s">
        <v>297</v>
      </c>
      <c r="D54" s="1159"/>
      <c r="E54" s="1140">
        <v>2</v>
      </c>
      <c r="F54" s="698"/>
      <c r="G54" s="698"/>
      <c r="H54" s="1138"/>
      <c r="I54" s="1138"/>
      <c r="J54" s="1138">
        <v>2000</v>
      </c>
      <c r="K54" s="698"/>
      <c r="L54" s="698"/>
      <c r="M54" s="698"/>
      <c r="N54" s="698"/>
      <c r="O54" s="698"/>
      <c r="P54" s="1135">
        <f>SUM(F54:O54)</f>
        <v>2000</v>
      </c>
      <c r="Q54" s="1136" t="s">
        <v>809</v>
      </c>
    </row>
    <row r="55" spans="1:17" ht="13.5" customHeight="1">
      <c r="A55" s="1155"/>
      <c r="B55" s="1155"/>
      <c r="C55" s="683" t="s">
        <v>590</v>
      </c>
      <c r="D55" s="1142"/>
      <c r="E55" s="1140">
        <v>2</v>
      </c>
      <c r="F55" s="698"/>
      <c r="G55" s="698"/>
      <c r="H55" s="1138"/>
      <c r="I55" s="1138"/>
      <c r="J55" s="1138">
        <v>15000</v>
      </c>
      <c r="K55" s="698"/>
      <c r="L55" s="698"/>
      <c r="M55" s="698"/>
      <c r="N55" s="698"/>
      <c r="O55" s="698"/>
      <c r="P55" s="1135">
        <f>SUM(F55:O55)</f>
        <v>15000</v>
      </c>
      <c r="Q55" s="1136" t="s">
        <v>809</v>
      </c>
    </row>
    <row r="56" spans="1:17" ht="13.5" customHeight="1">
      <c r="A56" s="1155"/>
      <c r="B56" s="1155"/>
      <c r="C56" s="1421" t="s">
        <v>170</v>
      </c>
      <c r="D56" s="1422"/>
      <c r="E56" s="1137"/>
      <c r="F56" s="698"/>
      <c r="G56" s="698"/>
      <c r="H56" s="1138"/>
      <c r="I56" s="1138"/>
      <c r="J56" s="1138"/>
      <c r="K56" s="698"/>
      <c r="L56" s="698"/>
      <c r="M56" s="698"/>
      <c r="N56" s="698"/>
      <c r="O56" s="698"/>
      <c r="P56" s="1135"/>
      <c r="Q56" s="1136"/>
    </row>
    <row r="57" spans="1:17" ht="13.5" customHeight="1">
      <c r="A57" s="1155"/>
      <c r="B57" s="1155"/>
      <c r="C57" s="1379" t="s">
        <v>693</v>
      </c>
      <c r="D57" s="1436"/>
      <c r="E57" s="1155">
        <v>1</v>
      </c>
      <c r="F57" s="698"/>
      <c r="G57" s="698"/>
      <c r="H57" s="1138">
        <v>-500</v>
      </c>
      <c r="I57" s="1138"/>
      <c r="J57" s="1138">
        <v>500</v>
      </c>
      <c r="K57" s="698"/>
      <c r="L57" s="698"/>
      <c r="M57" s="698"/>
      <c r="N57" s="698"/>
      <c r="O57" s="698"/>
      <c r="P57" s="1135">
        <f>SUM(F57:O57)</f>
        <v>0</v>
      </c>
      <c r="Q57" s="1136" t="s">
        <v>809</v>
      </c>
    </row>
    <row r="58" spans="1:17" ht="13.5" customHeight="1">
      <c r="A58" s="1155"/>
      <c r="B58" s="1155"/>
      <c r="C58" s="891" t="s">
        <v>591</v>
      </c>
      <c r="D58" s="1143"/>
      <c r="E58" s="1140">
        <v>1</v>
      </c>
      <c r="F58" s="698"/>
      <c r="G58" s="698"/>
      <c r="H58" s="1138"/>
      <c r="I58" s="1138"/>
      <c r="J58" s="1138">
        <v>-4000</v>
      </c>
      <c r="K58" s="698"/>
      <c r="L58" s="698"/>
      <c r="M58" s="698"/>
      <c r="N58" s="698"/>
      <c r="O58" s="698"/>
      <c r="P58" s="1135">
        <f>SUM(F58:O58)</f>
        <v>-4000</v>
      </c>
      <c r="Q58" s="1136" t="s">
        <v>809</v>
      </c>
    </row>
    <row r="59" spans="1:17" ht="13.5" customHeight="1">
      <c r="A59" s="1155"/>
      <c r="B59" s="1155"/>
      <c r="C59" s="1396" t="s">
        <v>171</v>
      </c>
      <c r="D59" s="1412"/>
      <c r="E59" s="1137"/>
      <c r="F59" s="698"/>
      <c r="G59" s="698"/>
      <c r="H59" s="1138"/>
      <c r="I59" s="1138"/>
      <c r="J59" s="1138"/>
      <c r="K59" s="698"/>
      <c r="L59" s="698"/>
      <c r="M59" s="698"/>
      <c r="N59" s="698"/>
      <c r="O59" s="698"/>
      <c r="P59" s="1135"/>
      <c r="Q59" s="1136"/>
    </row>
    <row r="60" spans="1:17" ht="13.5" customHeight="1">
      <c r="A60" s="1155"/>
      <c r="B60" s="1155"/>
      <c r="C60" s="891" t="s">
        <v>900</v>
      </c>
      <c r="D60" s="1139"/>
      <c r="E60" s="1166">
        <v>1</v>
      </c>
      <c r="F60" s="1138">
        <v>100</v>
      </c>
      <c r="G60" s="1138">
        <v>30</v>
      </c>
      <c r="H60" s="1138">
        <v>-130</v>
      </c>
      <c r="I60" s="1138"/>
      <c r="J60" s="1138"/>
      <c r="K60" s="698"/>
      <c r="L60" s="698"/>
      <c r="M60" s="698"/>
      <c r="N60" s="698"/>
      <c r="O60" s="698"/>
      <c r="P60" s="1135">
        <f>SUM(F60:O60)</f>
        <v>0</v>
      </c>
      <c r="Q60" s="1136" t="s">
        <v>809</v>
      </c>
    </row>
    <row r="61" spans="1:17" ht="13.5" customHeight="1">
      <c r="A61" s="1168"/>
      <c r="B61" s="1168"/>
      <c r="C61" s="1169" t="s">
        <v>21</v>
      </c>
      <c r="D61" s="1170"/>
      <c r="E61" s="1168"/>
      <c r="F61" s="1151">
        <f aca="true" t="shared" si="2" ref="F61:P61">SUM(F29:F60)</f>
        <v>5851</v>
      </c>
      <c r="G61" s="1151">
        <f t="shared" si="2"/>
        <v>1597</v>
      </c>
      <c r="H61" s="1151">
        <f t="shared" si="2"/>
        <v>10372</v>
      </c>
      <c r="I61" s="1151">
        <f t="shared" si="2"/>
        <v>0</v>
      </c>
      <c r="J61" s="1151">
        <f t="shared" si="2"/>
        <v>10000</v>
      </c>
      <c r="K61" s="1151">
        <f t="shared" si="2"/>
        <v>0</v>
      </c>
      <c r="L61" s="1151">
        <f t="shared" si="2"/>
        <v>0</v>
      </c>
      <c r="M61" s="1151">
        <f t="shared" si="2"/>
        <v>0</v>
      </c>
      <c r="N61" s="1151">
        <f t="shared" si="2"/>
        <v>0</v>
      </c>
      <c r="O61" s="1151">
        <f t="shared" si="2"/>
        <v>0</v>
      </c>
      <c r="P61" s="1151">
        <f t="shared" si="2"/>
        <v>27820</v>
      </c>
      <c r="Q61" s="1151"/>
    </row>
    <row r="62" spans="1:17" ht="13.5" customHeight="1">
      <c r="A62" s="696"/>
      <c r="B62" s="696"/>
      <c r="C62" s="683" t="s">
        <v>903</v>
      </c>
      <c r="D62" s="1129"/>
      <c r="E62" s="1171"/>
      <c r="F62" s="698"/>
      <c r="G62" s="698"/>
      <c r="H62" s="698"/>
      <c r="I62" s="698"/>
      <c r="J62" s="698"/>
      <c r="K62" s="1138">
        <f>'[2]7'!J33</f>
        <v>20682</v>
      </c>
      <c r="L62" s="1138"/>
      <c r="M62" s="1138">
        <f>'[2]7'!K33</f>
        <v>0</v>
      </c>
      <c r="N62" s="1138"/>
      <c r="O62" s="696"/>
      <c r="P62" s="1135">
        <f>SUM(F62:O62)</f>
        <v>20682</v>
      </c>
      <c r="Q62" s="1136"/>
    </row>
    <row r="63" spans="1:17" ht="13.5" customHeight="1">
      <c r="A63" s="696"/>
      <c r="B63" s="696"/>
      <c r="C63" s="683" t="s">
        <v>1536</v>
      </c>
      <c r="D63" s="1129"/>
      <c r="E63" s="1171"/>
      <c r="F63" s="698"/>
      <c r="G63" s="698"/>
      <c r="H63" s="698"/>
      <c r="I63" s="698"/>
      <c r="J63" s="698"/>
      <c r="K63" s="1138"/>
      <c r="L63" s="1138">
        <f>'[2]8'!J48</f>
        <v>-17000</v>
      </c>
      <c r="M63" s="1138">
        <f>'[2]8'!K48</f>
        <v>17000</v>
      </c>
      <c r="N63" s="1138"/>
      <c r="O63" s="696"/>
      <c r="P63" s="1135">
        <f>SUM(F63:O63)</f>
        <v>0</v>
      </c>
      <c r="Q63" s="1136"/>
    </row>
    <row r="64" spans="1:17" ht="13.5" customHeight="1">
      <c r="A64" s="1147"/>
      <c r="B64" s="1147"/>
      <c r="C64" s="1172" t="s">
        <v>22</v>
      </c>
      <c r="D64" s="1149"/>
      <c r="E64" s="1150"/>
      <c r="F64" s="1151">
        <f aca="true" t="shared" si="3" ref="F64:P64">SUM(F61:F63)</f>
        <v>5851</v>
      </c>
      <c r="G64" s="1151">
        <f t="shared" si="3"/>
        <v>1597</v>
      </c>
      <c r="H64" s="1151">
        <f t="shared" si="3"/>
        <v>10372</v>
      </c>
      <c r="I64" s="1151">
        <f t="shared" si="3"/>
        <v>0</v>
      </c>
      <c r="J64" s="1151">
        <f t="shared" si="3"/>
        <v>10000</v>
      </c>
      <c r="K64" s="1151">
        <f t="shared" si="3"/>
        <v>20682</v>
      </c>
      <c r="L64" s="1151">
        <f t="shared" si="3"/>
        <v>-17000</v>
      </c>
      <c r="M64" s="1151">
        <f t="shared" si="3"/>
        <v>17000</v>
      </c>
      <c r="N64" s="1151">
        <f t="shared" si="3"/>
        <v>0</v>
      </c>
      <c r="O64" s="1151">
        <f t="shared" si="3"/>
        <v>0</v>
      </c>
      <c r="P64" s="1151">
        <f t="shared" si="3"/>
        <v>48502</v>
      </c>
      <c r="Q64" s="1152"/>
    </row>
    <row r="65" spans="1:17" ht="13.5" customHeight="1">
      <c r="A65" s="696">
        <v>1</v>
      </c>
      <c r="B65" s="696">
        <v>15</v>
      </c>
      <c r="C65" s="1173" t="s">
        <v>904</v>
      </c>
      <c r="D65" s="1174"/>
      <c r="E65" s="1155"/>
      <c r="F65" s="698"/>
      <c r="G65" s="698"/>
      <c r="H65" s="698"/>
      <c r="I65" s="698"/>
      <c r="J65" s="698"/>
      <c r="K65" s="1175"/>
      <c r="L65" s="1175"/>
      <c r="M65" s="1175"/>
      <c r="N65" s="1175"/>
      <c r="O65" s="698"/>
      <c r="P65" s="1135"/>
      <c r="Q65" s="1176"/>
    </row>
    <row r="66" spans="1:17" ht="13.5" customHeight="1">
      <c r="A66" s="696"/>
      <c r="B66" s="696"/>
      <c r="C66" s="1167" t="s">
        <v>173</v>
      </c>
      <c r="D66" s="1177" t="s">
        <v>695</v>
      </c>
      <c r="E66" s="1171"/>
      <c r="F66" s="698"/>
      <c r="G66" s="698"/>
      <c r="H66" s="698"/>
      <c r="I66" s="698"/>
      <c r="J66" s="698"/>
      <c r="K66" s="1175"/>
      <c r="L66" s="1175"/>
      <c r="M66" s="1175"/>
      <c r="N66" s="1175"/>
      <c r="O66" s="698"/>
      <c r="P66" s="1135"/>
      <c r="Q66" s="1176"/>
    </row>
    <row r="67" spans="1:17" ht="13.5" customHeight="1">
      <c r="A67" s="696"/>
      <c r="B67" s="696"/>
      <c r="C67" s="891" t="s">
        <v>1554</v>
      </c>
      <c r="D67" s="1174"/>
      <c r="E67" s="1155">
        <v>1</v>
      </c>
      <c r="F67" s="1138"/>
      <c r="G67" s="1138"/>
      <c r="H67" s="1138">
        <v>119</v>
      </c>
      <c r="I67" s="1138"/>
      <c r="J67" s="1138"/>
      <c r="K67" s="1138"/>
      <c r="L67" s="1138"/>
      <c r="M67" s="1138"/>
      <c r="N67" s="1138"/>
      <c r="O67" s="1138"/>
      <c r="P67" s="1135">
        <f>SUM(F67:O67)</f>
        <v>119</v>
      </c>
      <c r="Q67" s="1176" t="s">
        <v>592</v>
      </c>
    </row>
    <row r="68" spans="1:17" ht="13.5" customHeight="1">
      <c r="A68" s="696"/>
      <c r="B68" s="696"/>
      <c r="C68" s="1379" t="s">
        <v>1262</v>
      </c>
      <c r="D68" s="1400"/>
      <c r="E68" s="1178"/>
      <c r="F68" s="1138"/>
      <c r="G68" s="1138"/>
      <c r="H68" s="1138"/>
      <c r="I68" s="1138"/>
      <c r="J68" s="1138"/>
      <c r="K68" s="1138"/>
      <c r="L68" s="1138"/>
      <c r="M68" s="1138"/>
      <c r="N68" s="1138"/>
      <c r="O68" s="1138"/>
      <c r="P68" s="1135"/>
      <c r="Q68" s="1176"/>
    </row>
    <row r="69" spans="1:17" ht="13.5" customHeight="1">
      <c r="A69" s="696"/>
      <c r="B69" s="696"/>
      <c r="C69" s="891" t="s">
        <v>1560</v>
      </c>
      <c r="D69" s="1177"/>
      <c r="E69" s="1171">
        <v>1</v>
      </c>
      <c r="F69" s="1138"/>
      <c r="G69" s="1138"/>
      <c r="H69" s="1138">
        <v>-2650</v>
      </c>
      <c r="I69" s="1138"/>
      <c r="J69" s="1138"/>
      <c r="K69" s="1138"/>
      <c r="L69" s="1138"/>
      <c r="M69" s="1138"/>
      <c r="N69" s="1138"/>
      <c r="O69" s="1138"/>
      <c r="P69" s="1135">
        <f>SUM(F69:O69)</f>
        <v>-2650</v>
      </c>
      <c r="Q69" s="1176" t="s">
        <v>828</v>
      </c>
    </row>
    <row r="70" spans="1:17" ht="13.5" customHeight="1">
      <c r="A70" s="696"/>
      <c r="B70" s="696"/>
      <c r="C70" s="1379" t="s">
        <v>1561</v>
      </c>
      <c r="D70" s="1380"/>
      <c r="E70" s="1178">
        <v>1</v>
      </c>
      <c r="F70" s="1138"/>
      <c r="G70" s="1138"/>
      <c r="H70" s="1138">
        <v>950</v>
      </c>
      <c r="I70" s="1138"/>
      <c r="J70" s="1138"/>
      <c r="K70" s="1138"/>
      <c r="L70" s="1138"/>
      <c r="M70" s="1138"/>
      <c r="N70" s="1138"/>
      <c r="O70" s="1138"/>
      <c r="P70" s="1135">
        <f>SUM(F70:O70)</f>
        <v>950</v>
      </c>
      <c r="Q70" s="1176" t="s">
        <v>809</v>
      </c>
    </row>
    <row r="71" spans="1:17" ht="13.5" customHeight="1">
      <c r="A71" s="696"/>
      <c r="B71" s="696"/>
      <c r="C71" s="1396" t="s">
        <v>1219</v>
      </c>
      <c r="D71" s="1397"/>
      <c r="E71" s="1178"/>
      <c r="F71" s="1138"/>
      <c r="G71" s="1138"/>
      <c r="H71" s="1138"/>
      <c r="I71" s="1138"/>
      <c r="J71" s="1138"/>
      <c r="K71" s="1138"/>
      <c r="L71" s="1138"/>
      <c r="M71" s="1138"/>
      <c r="N71" s="1138"/>
      <c r="O71" s="1138"/>
      <c r="P71" s="1135"/>
      <c r="Q71" s="1176"/>
    </row>
    <row r="72" spans="1:17" ht="24.75" customHeight="1">
      <c r="A72" s="696"/>
      <c r="B72" s="696"/>
      <c r="C72" s="1410" t="s">
        <v>908</v>
      </c>
      <c r="D72" s="1411"/>
      <c r="E72" s="1155">
        <v>2</v>
      </c>
      <c r="F72" s="1138">
        <v>655</v>
      </c>
      <c r="G72" s="1138">
        <v>80</v>
      </c>
      <c r="H72" s="1138"/>
      <c r="I72" s="1138"/>
      <c r="J72" s="1138"/>
      <c r="K72" s="1138"/>
      <c r="L72" s="1138"/>
      <c r="M72" s="1138"/>
      <c r="N72" s="1138"/>
      <c r="O72" s="1138"/>
      <c r="P72" s="1135">
        <f>SUM(F72:O72)</f>
        <v>735</v>
      </c>
      <c r="Q72" s="1176" t="s">
        <v>809</v>
      </c>
    </row>
    <row r="73" spans="1:17" ht="24.75" customHeight="1">
      <c r="A73" s="696"/>
      <c r="B73" s="696"/>
      <c r="C73" s="1396" t="s">
        <v>1222</v>
      </c>
      <c r="D73" s="1412"/>
      <c r="E73" s="1155"/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5"/>
      <c r="Q73" s="1176"/>
    </row>
    <row r="74" spans="1:17" ht="24.75" customHeight="1">
      <c r="A74" s="696"/>
      <c r="B74" s="696"/>
      <c r="C74" s="1405" t="s">
        <v>538</v>
      </c>
      <c r="D74" s="1406"/>
      <c r="E74" s="1155">
        <v>1</v>
      </c>
      <c r="F74" s="1138"/>
      <c r="G74" s="1138"/>
      <c r="H74" s="1138"/>
      <c r="I74" s="1138"/>
      <c r="J74" s="1138">
        <v>-2808</v>
      </c>
      <c r="K74" s="1138"/>
      <c r="L74" s="1138"/>
      <c r="M74" s="1138"/>
      <c r="N74" s="1138"/>
      <c r="O74" s="1138"/>
      <c r="P74" s="1135">
        <f>SUM(F74:O74)</f>
        <v>-2808</v>
      </c>
      <c r="Q74" s="1176" t="s">
        <v>828</v>
      </c>
    </row>
    <row r="75" spans="1:17" ht="15" customHeight="1">
      <c r="A75" s="696"/>
      <c r="B75" s="696"/>
      <c r="C75" s="683" t="s">
        <v>1226</v>
      </c>
      <c r="D75" s="1180"/>
      <c r="E75" s="1171"/>
      <c r="F75" s="1138"/>
      <c r="G75" s="1138"/>
      <c r="H75" s="1138"/>
      <c r="I75" s="1138"/>
      <c r="J75" s="1138"/>
      <c r="K75" s="1138"/>
      <c r="L75" s="1138"/>
      <c r="M75" s="1138"/>
      <c r="N75" s="1138"/>
      <c r="O75" s="1138"/>
      <c r="P75" s="1135"/>
      <c r="Q75" s="1176"/>
    </row>
    <row r="76" spans="1:17" ht="15" customHeight="1">
      <c r="A76" s="696"/>
      <c r="B76" s="696"/>
      <c r="C76" s="1415" t="s">
        <v>910</v>
      </c>
      <c r="D76" s="1416"/>
      <c r="E76" s="1052">
        <v>2</v>
      </c>
      <c r="F76" s="1138"/>
      <c r="G76" s="1138"/>
      <c r="H76" s="1138"/>
      <c r="I76" s="1138"/>
      <c r="J76" s="1138">
        <v>-250</v>
      </c>
      <c r="K76" s="1138"/>
      <c r="L76" s="1138"/>
      <c r="M76" s="1138"/>
      <c r="N76" s="1138"/>
      <c r="O76" s="1138"/>
      <c r="P76" s="1135">
        <f>SUM(F76:O76)</f>
        <v>-250</v>
      </c>
      <c r="Q76" s="1176" t="s">
        <v>809</v>
      </c>
    </row>
    <row r="77" spans="1:17" ht="13.5" customHeight="1">
      <c r="A77" s="1147"/>
      <c r="B77" s="1147"/>
      <c r="C77" s="1172" t="s">
        <v>911</v>
      </c>
      <c r="D77" s="1149"/>
      <c r="E77" s="1150"/>
      <c r="F77" s="1151">
        <f aca="true" t="shared" si="4" ref="F77:P77">SUM(F66:F76)</f>
        <v>655</v>
      </c>
      <c r="G77" s="1151">
        <f t="shared" si="4"/>
        <v>80</v>
      </c>
      <c r="H77" s="1151">
        <f t="shared" si="4"/>
        <v>-1581</v>
      </c>
      <c r="I77" s="1151">
        <f t="shared" si="4"/>
        <v>0</v>
      </c>
      <c r="J77" s="1151">
        <f t="shared" si="4"/>
        <v>-3058</v>
      </c>
      <c r="K77" s="1151">
        <f t="shared" si="4"/>
        <v>0</v>
      </c>
      <c r="L77" s="1151">
        <f t="shared" si="4"/>
        <v>0</v>
      </c>
      <c r="M77" s="1151">
        <f t="shared" si="4"/>
        <v>0</v>
      </c>
      <c r="N77" s="1151">
        <f t="shared" si="4"/>
        <v>0</v>
      </c>
      <c r="O77" s="1151">
        <f t="shared" si="4"/>
        <v>0</v>
      </c>
      <c r="P77" s="1151">
        <f t="shared" si="4"/>
        <v>-3904</v>
      </c>
      <c r="Q77" s="1152"/>
    </row>
    <row r="78" spans="1:17" ht="13.5" customHeight="1">
      <c r="A78" s="696"/>
      <c r="B78" s="696"/>
      <c r="C78" s="683" t="s">
        <v>912</v>
      </c>
      <c r="D78" s="1174"/>
      <c r="E78" s="1155"/>
      <c r="F78" s="698"/>
      <c r="G78" s="698"/>
      <c r="H78" s="698"/>
      <c r="I78" s="698"/>
      <c r="J78" s="698"/>
      <c r="K78" s="1138">
        <f>'[2]7'!J123</f>
        <v>6757</v>
      </c>
      <c r="L78" s="1138"/>
      <c r="M78" s="1138">
        <f>'[2]7'!K123</f>
        <v>-33986</v>
      </c>
      <c r="N78" s="1138"/>
      <c r="O78" s="698"/>
      <c r="P78" s="1135">
        <f>SUM(F78:O78)</f>
        <v>-27229</v>
      </c>
      <c r="Q78" s="1176"/>
    </row>
    <row r="79" spans="1:17" ht="13.5" customHeight="1">
      <c r="A79" s="696"/>
      <c r="B79" s="696"/>
      <c r="C79" s="683" t="s">
        <v>1545</v>
      </c>
      <c r="D79" s="1174"/>
      <c r="E79" s="1155"/>
      <c r="F79" s="698"/>
      <c r="G79" s="698"/>
      <c r="H79" s="698"/>
      <c r="I79" s="698"/>
      <c r="J79" s="698"/>
      <c r="K79" s="1138"/>
      <c r="L79" s="1138">
        <f>'[2]8'!J159</f>
        <v>-2219</v>
      </c>
      <c r="M79" s="1138">
        <f>'[2]8'!K159</f>
        <v>0</v>
      </c>
      <c r="N79" s="1138"/>
      <c r="O79" s="698"/>
      <c r="P79" s="1135">
        <f>SUM(F79:O79)</f>
        <v>-2219</v>
      </c>
      <c r="Q79" s="1176"/>
    </row>
    <row r="80" spans="1:17" ht="13.5" customHeight="1">
      <c r="A80" s="1125"/>
      <c r="B80" s="1125"/>
      <c r="C80" s="1172" t="s">
        <v>765</v>
      </c>
      <c r="D80" s="1170"/>
      <c r="E80" s="1168"/>
      <c r="F80" s="1151">
        <f aca="true" t="shared" si="5" ref="F80:P80">SUM(F77:F79)</f>
        <v>655</v>
      </c>
      <c r="G80" s="1151">
        <f t="shared" si="5"/>
        <v>80</v>
      </c>
      <c r="H80" s="1151">
        <f t="shared" si="5"/>
        <v>-1581</v>
      </c>
      <c r="I80" s="1151">
        <f t="shared" si="5"/>
        <v>0</v>
      </c>
      <c r="J80" s="1151">
        <f t="shared" si="5"/>
        <v>-3058</v>
      </c>
      <c r="K80" s="1151">
        <f t="shared" si="5"/>
        <v>6757</v>
      </c>
      <c r="L80" s="1151">
        <f t="shared" si="5"/>
        <v>-2219</v>
      </c>
      <c r="M80" s="1151">
        <f t="shared" si="5"/>
        <v>-33986</v>
      </c>
      <c r="N80" s="1151">
        <f t="shared" si="5"/>
        <v>0</v>
      </c>
      <c r="O80" s="1151">
        <f t="shared" si="5"/>
        <v>0</v>
      </c>
      <c r="P80" s="1151">
        <f t="shared" si="5"/>
        <v>-33352</v>
      </c>
      <c r="Q80" s="1181"/>
    </row>
    <row r="81" spans="1:17" ht="13.5" customHeight="1">
      <c r="A81" s="696">
        <v>1</v>
      </c>
      <c r="B81" s="696">
        <v>16</v>
      </c>
      <c r="C81" s="1173" t="s">
        <v>102</v>
      </c>
      <c r="D81" s="1182"/>
      <c r="E81" s="1183"/>
      <c r="F81" s="698"/>
      <c r="G81" s="698"/>
      <c r="H81" s="698"/>
      <c r="I81" s="698"/>
      <c r="J81" s="698"/>
      <c r="K81" s="1175"/>
      <c r="L81" s="1175"/>
      <c r="M81" s="1175"/>
      <c r="N81" s="1175"/>
      <c r="O81" s="698"/>
      <c r="P81" s="1135"/>
      <c r="Q81" s="1184"/>
    </row>
    <row r="82" spans="1:17" ht="13.5" customHeight="1">
      <c r="A82" s="696"/>
      <c r="B82" s="696"/>
      <c r="C82" s="1413" t="s">
        <v>593</v>
      </c>
      <c r="D82" s="1414"/>
      <c r="E82" s="1183"/>
      <c r="F82" s="698"/>
      <c r="G82" s="698"/>
      <c r="H82" s="698"/>
      <c r="I82" s="698"/>
      <c r="J82" s="698"/>
      <c r="K82" s="1175"/>
      <c r="L82" s="1175"/>
      <c r="M82" s="1175"/>
      <c r="N82" s="1175"/>
      <c r="O82" s="698"/>
      <c r="P82" s="1135"/>
      <c r="Q82" s="1184"/>
    </row>
    <row r="83" spans="1:17" ht="36" customHeight="1">
      <c r="A83" s="696"/>
      <c r="B83" s="696"/>
      <c r="C83" s="1391" t="s">
        <v>1091</v>
      </c>
      <c r="D83" s="1382"/>
      <c r="E83" s="1186">
        <v>2</v>
      </c>
      <c r="F83" s="698"/>
      <c r="G83" s="698"/>
      <c r="H83" s="1138">
        <v>13208</v>
      </c>
      <c r="I83" s="1138"/>
      <c r="J83" s="1138">
        <v>13208</v>
      </c>
      <c r="K83" s="1138"/>
      <c r="L83" s="1138"/>
      <c r="M83" s="1138"/>
      <c r="N83" s="1138"/>
      <c r="O83" s="1138"/>
      <c r="P83" s="1187">
        <f>SUM(H83:O83)</f>
        <v>26416</v>
      </c>
      <c r="Q83" s="1188" t="s">
        <v>809</v>
      </c>
    </row>
    <row r="84" spans="1:17" ht="13.5" customHeight="1">
      <c r="A84" s="1147"/>
      <c r="B84" s="1147"/>
      <c r="C84" s="1172" t="s">
        <v>913</v>
      </c>
      <c r="D84" s="1170"/>
      <c r="E84" s="1168"/>
      <c r="F84" s="1151"/>
      <c r="G84" s="1151"/>
      <c r="H84" s="1151">
        <f>SUM(H83)</f>
        <v>13208</v>
      </c>
      <c r="I84" s="1151"/>
      <c r="J84" s="1151">
        <f>SUM(J83)</f>
        <v>13208</v>
      </c>
      <c r="K84" s="1151"/>
      <c r="L84" s="1151"/>
      <c r="M84" s="1151"/>
      <c r="N84" s="1151"/>
      <c r="O84" s="1151"/>
      <c r="P84" s="1151">
        <f>SUM(P83)</f>
        <v>26416</v>
      </c>
      <c r="Q84" s="1181"/>
    </row>
    <row r="85" spans="1:17" ht="13.5" customHeight="1">
      <c r="A85" s="698"/>
      <c r="B85" s="698"/>
      <c r="C85" s="683" t="s">
        <v>914</v>
      </c>
      <c r="D85" s="1182"/>
      <c r="E85" s="1183"/>
      <c r="F85" s="698"/>
      <c r="G85" s="698"/>
      <c r="H85" s="698"/>
      <c r="I85" s="698"/>
      <c r="J85" s="698"/>
      <c r="K85" s="1138">
        <f>'[2]7'!J234</f>
        <v>-42384</v>
      </c>
      <c r="L85" s="1138"/>
      <c r="M85" s="1138">
        <f>'[2]7'!K234</f>
        <v>0</v>
      </c>
      <c r="N85" s="1138"/>
      <c r="O85" s="698"/>
      <c r="P85" s="1135">
        <f>SUM(F85:O85)</f>
        <v>-42384</v>
      </c>
      <c r="Q85" s="1184"/>
    </row>
    <row r="86" spans="1:17" ht="13.5" customHeight="1">
      <c r="A86" s="698"/>
      <c r="B86" s="698"/>
      <c r="C86" s="683" t="s">
        <v>1536</v>
      </c>
      <c r="D86" s="1182"/>
      <c r="E86" s="1183"/>
      <c r="F86" s="698"/>
      <c r="G86" s="698"/>
      <c r="H86" s="698"/>
      <c r="I86" s="698"/>
      <c r="J86" s="698"/>
      <c r="K86" s="1138"/>
      <c r="L86" s="1138">
        <f>'[2]8'!J179</f>
        <v>0</v>
      </c>
      <c r="M86" s="1138">
        <f>'[2]8'!K179</f>
        <v>0</v>
      </c>
      <c r="N86" s="1138"/>
      <c r="O86" s="698"/>
      <c r="P86" s="1135">
        <f>SUM(F86:O86)</f>
        <v>0</v>
      </c>
      <c r="Q86" s="1184"/>
    </row>
    <row r="87" spans="1:17" ht="13.5" customHeight="1">
      <c r="A87" s="1125"/>
      <c r="B87" s="1125"/>
      <c r="C87" s="1172" t="s">
        <v>769</v>
      </c>
      <c r="D87" s="1170"/>
      <c r="E87" s="1168"/>
      <c r="F87" s="1151">
        <f aca="true" t="shared" si="6" ref="F87:M87">SUM(F84:F86)</f>
        <v>0</v>
      </c>
      <c r="G87" s="1151">
        <f t="shared" si="6"/>
        <v>0</v>
      </c>
      <c r="H87" s="1151">
        <f t="shared" si="6"/>
        <v>13208</v>
      </c>
      <c r="I87" s="1151">
        <f t="shared" si="6"/>
        <v>0</v>
      </c>
      <c r="J87" s="1151">
        <f t="shared" si="6"/>
        <v>13208</v>
      </c>
      <c r="K87" s="1151">
        <f t="shared" si="6"/>
        <v>-42384</v>
      </c>
      <c r="L87" s="1151">
        <f t="shared" si="6"/>
        <v>0</v>
      </c>
      <c r="M87" s="1151">
        <f t="shared" si="6"/>
        <v>0</v>
      </c>
      <c r="N87" s="1151"/>
      <c r="O87" s="1151">
        <f>SUM(O84:O86)</f>
        <v>0</v>
      </c>
      <c r="P87" s="1151">
        <f>SUM(P84:P86)</f>
        <v>-15968</v>
      </c>
      <c r="Q87" s="1181"/>
    </row>
    <row r="88" spans="1:17" ht="13.5" customHeight="1">
      <c r="A88" s="696">
        <v>1</v>
      </c>
      <c r="B88" s="696">
        <v>17</v>
      </c>
      <c r="C88" s="1173" t="s">
        <v>1351</v>
      </c>
      <c r="D88" s="1182"/>
      <c r="E88" s="1183"/>
      <c r="F88" s="698"/>
      <c r="G88" s="698"/>
      <c r="H88" s="698"/>
      <c r="I88" s="698"/>
      <c r="J88" s="698"/>
      <c r="K88" s="1175"/>
      <c r="L88" s="1175"/>
      <c r="M88" s="1175"/>
      <c r="N88" s="1175"/>
      <c r="O88" s="698"/>
      <c r="P88" s="1135"/>
      <c r="Q88" s="1184"/>
    </row>
    <row r="89" spans="1:17" ht="15" customHeight="1">
      <c r="A89" s="696"/>
      <c r="B89" s="696"/>
      <c r="C89" s="1417" t="s">
        <v>1265</v>
      </c>
      <c r="D89" s="1418"/>
      <c r="E89" s="1189"/>
      <c r="F89" s="698"/>
      <c r="G89" s="698"/>
      <c r="H89" s="698"/>
      <c r="I89" s="698"/>
      <c r="J89" s="698"/>
      <c r="K89" s="1175"/>
      <c r="L89" s="1175"/>
      <c r="M89" s="1175"/>
      <c r="N89" s="1175"/>
      <c r="O89" s="698"/>
      <c r="P89" s="1135"/>
      <c r="Q89" s="1184"/>
    </row>
    <row r="90" spans="1:17" ht="15" customHeight="1">
      <c r="A90" s="696"/>
      <c r="B90" s="696"/>
      <c r="C90" s="1389" t="s">
        <v>594</v>
      </c>
      <c r="D90" s="1390"/>
      <c r="E90" s="1155">
        <v>1</v>
      </c>
      <c r="F90" s="698"/>
      <c r="G90" s="698"/>
      <c r="H90" s="1138">
        <v>2500</v>
      </c>
      <c r="I90" s="698"/>
      <c r="J90" s="1138"/>
      <c r="K90" s="1175"/>
      <c r="L90" s="1175"/>
      <c r="M90" s="1175"/>
      <c r="N90" s="1175"/>
      <c r="O90" s="698"/>
      <c r="P90" s="1135">
        <f>SUM(F90:O90)</f>
        <v>2500</v>
      </c>
      <c r="Q90" s="1176" t="s">
        <v>809</v>
      </c>
    </row>
    <row r="91" spans="1:17" ht="24.75" customHeight="1">
      <c r="A91" s="696"/>
      <c r="B91" s="696"/>
      <c r="C91" s="1377" t="s">
        <v>1235</v>
      </c>
      <c r="D91" s="1378"/>
      <c r="E91" s="1155"/>
      <c r="F91" s="698"/>
      <c r="G91" s="698"/>
      <c r="H91" s="1138"/>
      <c r="I91" s="698"/>
      <c r="J91" s="1138"/>
      <c r="K91" s="1175"/>
      <c r="L91" s="1175"/>
      <c r="M91" s="1175"/>
      <c r="N91" s="1175"/>
      <c r="O91" s="698"/>
      <c r="P91" s="1135"/>
      <c r="Q91" s="1176"/>
    </row>
    <row r="92" spans="1:17" ht="15" customHeight="1">
      <c r="A92" s="696"/>
      <c r="B92" s="696"/>
      <c r="C92" s="1438" t="s">
        <v>595</v>
      </c>
      <c r="D92" s="1439"/>
      <c r="E92" s="1155">
        <v>1</v>
      </c>
      <c r="F92" s="698"/>
      <c r="G92" s="698"/>
      <c r="H92" s="1138"/>
      <c r="I92" s="698"/>
      <c r="J92" s="1138"/>
      <c r="K92" s="1175"/>
      <c r="L92" s="1175"/>
      <c r="M92" s="1175"/>
      <c r="N92" s="1175"/>
      <c r="O92" s="1138">
        <v>61342</v>
      </c>
      <c r="P92" s="1135">
        <f>SUM(F92:O92)</f>
        <v>61342</v>
      </c>
      <c r="Q92" s="1176" t="s">
        <v>809</v>
      </c>
    </row>
    <row r="93" spans="1:17" ht="13.5" customHeight="1">
      <c r="A93" s="1147"/>
      <c r="B93" s="1147"/>
      <c r="C93" s="1172" t="s">
        <v>918</v>
      </c>
      <c r="D93" s="1170"/>
      <c r="E93" s="1168"/>
      <c r="F93" s="1151">
        <f aca="true" t="shared" si="7" ref="F93:P93">SUM(F90+F92)</f>
        <v>0</v>
      </c>
      <c r="G93" s="1151">
        <f t="shared" si="7"/>
        <v>0</v>
      </c>
      <c r="H93" s="1151">
        <f t="shared" si="7"/>
        <v>2500</v>
      </c>
      <c r="I93" s="1151">
        <f t="shared" si="7"/>
        <v>0</v>
      </c>
      <c r="J93" s="1151">
        <f t="shared" si="7"/>
        <v>0</v>
      </c>
      <c r="K93" s="1151">
        <f t="shared" si="7"/>
        <v>0</v>
      </c>
      <c r="L93" s="1151">
        <f t="shared" si="7"/>
        <v>0</v>
      </c>
      <c r="M93" s="1151">
        <f t="shared" si="7"/>
        <v>0</v>
      </c>
      <c r="N93" s="1151">
        <f t="shared" si="7"/>
        <v>0</v>
      </c>
      <c r="O93" s="1151">
        <f t="shared" si="7"/>
        <v>61342</v>
      </c>
      <c r="P93" s="1151">
        <f t="shared" si="7"/>
        <v>63842</v>
      </c>
      <c r="Q93" s="1181"/>
    </row>
    <row r="94" spans="1:17" ht="13.5" customHeight="1">
      <c r="A94" s="696"/>
      <c r="B94" s="696"/>
      <c r="C94" s="683" t="s">
        <v>903</v>
      </c>
      <c r="D94" s="1182"/>
      <c r="E94" s="1183"/>
      <c r="F94" s="698"/>
      <c r="G94" s="698"/>
      <c r="H94" s="698"/>
      <c r="I94" s="698"/>
      <c r="J94" s="698"/>
      <c r="K94" s="1175">
        <f>'[2]7'!J245</f>
        <v>2500</v>
      </c>
      <c r="L94" s="1138"/>
      <c r="M94" s="1138">
        <f>'[2]7'!K245</f>
        <v>0</v>
      </c>
      <c r="N94" s="1138"/>
      <c r="O94" s="698"/>
      <c r="P94" s="1135">
        <f>SUM(F94:O94)</f>
        <v>2500</v>
      </c>
      <c r="Q94" s="1184"/>
    </row>
    <row r="95" spans="1:17" ht="13.5" customHeight="1">
      <c r="A95" s="696"/>
      <c r="B95" s="696"/>
      <c r="C95" s="683" t="s">
        <v>1545</v>
      </c>
      <c r="D95" s="1182"/>
      <c r="E95" s="1183"/>
      <c r="F95" s="698"/>
      <c r="G95" s="698"/>
      <c r="H95" s="698"/>
      <c r="I95" s="698"/>
      <c r="J95" s="698"/>
      <c r="K95" s="1175"/>
      <c r="L95" s="1138">
        <f>'[2]8'!J185</f>
        <v>0</v>
      </c>
      <c r="M95" s="1138">
        <f>'[2]8'!K185</f>
        <v>0</v>
      </c>
      <c r="N95" s="1138"/>
      <c r="O95" s="698"/>
      <c r="P95" s="1135">
        <f>SUM(F95:O95)</f>
        <v>0</v>
      </c>
      <c r="Q95" s="1184"/>
    </row>
    <row r="96" spans="1:17" ht="13.5" customHeight="1">
      <c r="A96" s="1147"/>
      <c r="B96" s="1147"/>
      <c r="C96" s="1172" t="s">
        <v>282</v>
      </c>
      <c r="D96" s="1170"/>
      <c r="E96" s="1168"/>
      <c r="F96" s="1151">
        <f aca="true" t="shared" si="8" ref="F96:P96">SUM(F93:F95)</f>
        <v>0</v>
      </c>
      <c r="G96" s="1151">
        <f t="shared" si="8"/>
        <v>0</v>
      </c>
      <c r="H96" s="1151">
        <f t="shared" si="8"/>
        <v>2500</v>
      </c>
      <c r="I96" s="1151">
        <f t="shared" si="8"/>
        <v>0</v>
      </c>
      <c r="J96" s="1151">
        <f t="shared" si="8"/>
        <v>0</v>
      </c>
      <c r="K96" s="1151">
        <f t="shared" si="8"/>
        <v>2500</v>
      </c>
      <c r="L96" s="1151">
        <f t="shared" si="8"/>
        <v>0</v>
      </c>
      <c r="M96" s="1151">
        <f t="shared" si="8"/>
        <v>0</v>
      </c>
      <c r="N96" s="1151">
        <f t="shared" si="8"/>
        <v>0</v>
      </c>
      <c r="O96" s="1151">
        <f t="shared" si="8"/>
        <v>61342</v>
      </c>
      <c r="P96" s="1151">
        <f t="shared" si="8"/>
        <v>66342</v>
      </c>
      <c r="Q96" s="1181"/>
    </row>
    <row r="97" spans="1:17" ht="13.5" customHeight="1">
      <c r="A97" s="696">
        <v>1</v>
      </c>
      <c r="B97" s="696">
        <v>18</v>
      </c>
      <c r="C97" s="1173" t="s">
        <v>1580</v>
      </c>
      <c r="D97" s="1182"/>
      <c r="E97" s="1183"/>
      <c r="F97" s="698"/>
      <c r="G97" s="698"/>
      <c r="H97" s="698"/>
      <c r="I97" s="698"/>
      <c r="J97" s="698"/>
      <c r="K97" s="1175"/>
      <c r="L97" s="1175"/>
      <c r="M97" s="1175"/>
      <c r="N97" s="1175"/>
      <c r="O97" s="698"/>
      <c r="P97" s="1135"/>
      <c r="Q97" s="1184"/>
    </row>
    <row r="98" spans="1:17" ht="13.5" customHeight="1">
      <c r="A98" s="696"/>
      <c r="B98" s="696"/>
      <c r="C98" s="1403" t="s">
        <v>162</v>
      </c>
      <c r="D98" s="1437"/>
      <c r="E98" s="1183"/>
      <c r="F98" s="698"/>
      <c r="G98" s="698"/>
      <c r="H98" s="698"/>
      <c r="I98" s="698"/>
      <c r="J98" s="698"/>
      <c r="K98" s="1175"/>
      <c r="L98" s="1175"/>
      <c r="M98" s="1175"/>
      <c r="N98" s="1175"/>
      <c r="O98" s="698"/>
      <c r="P98" s="1135"/>
      <c r="Q98" s="1184"/>
    </row>
    <row r="99" spans="1:17" ht="24.75" customHeight="1">
      <c r="A99" s="696"/>
      <c r="B99" s="696"/>
      <c r="C99" s="1405" t="s">
        <v>1399</v>
      </c>
      <c r="D99" s="1406"/>
      <c r="E99" s="1052"/>
      <c r="F99" s="698"/>
      <c r="G99" s="698"/>
      <c r="H99" s="1138">
        <v>6000</v>
      </c>
      <c r="I99" s="698"/>
      <c r="J99" s="698"/>
      <c r="K99" s="1175"/>
      <c r="L99" s="1175"/>
      <c r="M99" s="1175"/>
      <c r="N99" s="1175"/>
      <c r="O99" s="698"/>
      <c r="P99" s="1135">
        <f>SUM(H99:O99)</f>
        <v>6000</v>
      </c>
      <c r="Q99" s="1188" t="s">
        <v>809</v>
      </c>
    </row>
    <row r="100" spans="1:17" ht="13.5" customHeight="1">
      <c r="A100" s="1147"/>
      <c r="B100" s="1147"/>
      <c r="C100" s="1172" t="s">
        <v>921</v>
      </c>
      <c r="D100" s="1170"/>
      <c r="E100" s="1168"/>
      <c r="F100" s="1151">
        <f aca="true" t="shared" si="9" ref="F100:P100">SUM(F99:F99)</f>
        <v>0</v>
      </c>
      <c r="G100" s="1151">
        <f t="shared" si="9"/>
        <v>0</v>
      </c>
      <c r="H100" s="1151">
        <f t="shared" si="9"/>
        <v>6000</v>
      </c>
      <c r="I100" s="1151">
        <f t="shared" si="9"/>
        <v>0</v>
      </c>
      <c r="J100" s="1151">
        <f t="shared" si="9"/>
        <v>0</v>
      </c>
      <c r="K100" s="1151">
        <f t="shared" si="9"/>
        <v>0</v>
      </c>
      <c r="L100" s="1151">
        <f t="shared" si="9"/>
        <v>0</v>
      </c>
      <c r="M100" s="1151">
        <f t="shared" si="9"/>
        <v>0</v>
      </c>
      <c r="N100" s="1151">
        <f t="shared" si="9"/>
        <v>0</v>
      </c>
      <c r="O100" s="1151">
        <f t="shared" si="9"/>
        <v>0</v>
      </c>
      <c r="P100" s="1151">
        <f t="shared" si="9"/>
        <v>6000</v>
      </c>
      <c r="Q100" s="1181"/>
    </row>
    <row r="101" spans="1:17" ht="13.5" customHeight="1">
      <c r="A101" s="696"/>
      <c r="B101" s="696"/>
      <c r="C101" s="683" t="s">
        <v>903</v>
      </c>
      <c r="D101" s="1182"/>
      <c r="E101" s="1183"/>
      <c r="F101" s="698"/>
      <c r="G101" s="698"/>
      <c r="H101" s="698"/>
      <c r="I101" s="698"/>
      <c r="J101" s="698"/>
      <c r="K101" s="1175">
        <f>'[2]7'!J248</f>
        <v>0</v>
      </c>
      <c r="L101" s="1175"/>
      <c r="M101" s="1175">
        <f>'[2]7'!K248</f>
        <v>0</v>
      </c>
      <c r="N101" s="1175"/>
      <c r="O101" s="698"/>
      <c r="P101" s="1135">
        <f>SUM(F101:O101)</f>
        <v>0</v>
      </c>
      <c r="Q101" s="1184"/>
    </row>
    <row r="102" spans="1:17" ht="13.5" customHeight="1">
      <c r="A102" s="1147"/>
      <c r="B102" s="1147"/>
      <c r="C102" s="1172" t="s">
        <v>718</v>
      </c>
      <c r="D102" s="1170"/>
      <c r="E102" s="1168"/>
      <c r="F102" s="1151">
        <f aca="true" t="shared" si="10" ref="F102:P102">SUM(F100:F101)</f>
        <v>0</v>
      </c>
      <c r="G102" s="1151">
        <f t="shared" si="10"/>
        <v>0</v>
      </c>
      <c r="H102" s="1151">
        <f t="shared" si="10"/>
        <v>6000</v>
      </c>
      <c r="I102" s="1151">
        <f t="shared" si="10"/>
        <v>0</v>
      </c>
      <c r="J102" s="1151">
        <f t="shared" si="10"/>
        <v>0</v>
      </c>
      <c r="K102" s="1151">
        <f t="shared" si="10"/>
        <v>0</v>
      </c>
      <c r="L102" s="1151">
        <f t="shared" si="10"/>
        <v>0</v>
      </c>
      <c r="M102" s="1151">
        <f t="shared" si="10"/>
        <v>0</v>
      </c>
      <c r="N102" s="1151">
        <f t="shared" si="10"/>
        <v>0</v>
      </c>
      <c r="O102" s="1151">
        <f t="shared" si="10"/>
        <v>0</v>
      </c>
      <c r="P102" s="1151">
        <f t="shared" si="10"/>
        <v>6000</v>
      </c>
      <c r="Q102" s="1181"/>
    </row>
    <row r="103" spans="1:17" ht="13.5" customHeight="1">
      <c r="A103" s="1171">
        <v>1</v>
      </c>
      <c r="B103" s="1171">
        <v>19</v>
      </c>
      <c r="C103" s="1190" t="s">
        <v>676</v>
      </c>
      <c r="D103" s="1177"/>
      <c r="E103" s="1171"/>
      <c r="F103" s="698"/>
      <c r="G103" s="698"/>
      <c r="H103" s="698"/>
      <c r="I103" s="698"/>
      <c r="J103" s="698"/>
      <c r="K103" s="698"/>
      <c r="L103" s="698"/>
      <c r="M103" s="698"/>
      <c r="N103" s="698"/>
      <c r="O103" s="698"/>
      <c r="P103" s="1135"/>
      <c r="Q103" s="1136"/>
    </row>
    <row r="104" spans="1:17" ht="13.5" customHeight="1">
      <c r="A104" s="1171"/>
      <c r="B104" s="1171"/>
      <c r="C104" s="1396" t="s">
        <v>1228</v>
      </c>
      <c r="D104" s="1397"/>
      <c r="E104" s="1178"/>
      <c r="F104" s="1138"/>
      <c r="G104" s="1138"/>
      <c r="H104" s="1138"/>
      <c r="I104" s="1138"/>
      <c r="J104" s="1138"/>
      <c r="K104" s="1138"/>
      <c r="L104" s="1138"/>
      <c r="M104" s="1138"/>
      <c r="N104" s="1138"/>
      <c r="O104" s="1138"/>
      <c r="P104" s="1135"/>
      <c r="Q104" s="1136"/>
    </row>
    <row r="105" spans="1:17" ht="13.5" customHeight="1">
      <c r="A105" s="1171"/>
      <c r="B105" s="1171"/>
      <c r="C105" s="1379" t="s">
        <v>144</v>
      </c>
      <c r="D105" s="1380"/>
      <c r="E105" s="1178">
        <v>1</v>
      </c>
      <c r="F105" s="1138"/>
      <c r="G105" s="1138"/>
      <c r="H105" s="1138">
        <v>105</v>
      </c>
      <c r="I105" s="1138"/>
      <c r="J105" s="1138">
        <v>-105</v>
      </c>
      <c r="K105" s="1138"/>
      <c r="L105" s="1138"/>
      <c r="M105" s="1138"/>
      <c r="N105" s="1138"/>
      <c r="O105" s="1138"/>
      <c r="P105" s="1135">
        <f>SUM(F105:O105)</f>
        <v>0</v>
      </c>
      <c r="Q105" s="1136" t="s">
        <v>809</v>
      </c>
    </row>
    <row r="106" spans="1:17" ht="24.75" customHeight="1">
      <c r="A106" s="1171"/>
      <c r="B106" s="1171"/>
      <c r="C106" s="1385" t="s">
        <v>162</v>
      </c>
      <c r="D106" s="1386"/>
      <c r="E106" s="1191"/>
      <c r="F106" s="1138"/>
      <c r="G106" s="1138"/>
      <c r="H106" s="1138"/>
      <c r="I106" s="1138"/>
      <c r="J106" s="1138"/>
      <c r="K106" s="1138"/>
      <c r="L106" s="1138"/>
      <c r="M106" s="1138"/>
      <c r="N106" s="1138"/>
      <c r="O106" s="1138"/>
      <c r="P106" s="1135"/>
      <c r="Q106" s="1136"/>
    </row>
    <row r="107" spans="1:17" ht="13.5" customHeight="1">
      <c r="A107" s="1171"/>
      <c r="B107" s="1171"/>
      <c r="C107" s="891" t="s">
        <v>721</v>
      </c>
      <c r="D107" s="1179"/>
      <c r="E107" s="1178">
        <v>1</v>
      </c>
      <c r="F107" s="1138"/>
      <c r="G107" s="1138"/>
      <c r="H107" s="1138">
        <v>-38408</v>
      </c>
      <c r="I107" s="1138"/>
      <c r="J107" s="1138"/>
      <c r="K107" s="1138"/>
      <c r="L107" s="1138"/>
      <c r="M107" s="1138"/>
      <c r="N107" s="1138"/>
      <c r="O107" s="1138"/>
      <c r="P107" s="1135">
        <f>SUM(F107:O107)</f>
        <v>-38408</v>
      </c>
      <c r="Q107" s="1136" t="s">
        <v>809</v>
      </c>
    </row>
    <row r="108" spans="1:17" ht="24.75" customHeight="1">
      <c r="A108" s="1171"/>
      <c r="B108" s="1171"/>
      <c r="C108" s="1387" t="s">
        <v>922</v>
      </c>
      <c r="D108" s="1388"/>
      <c r="E108" s="1171">
        <v>1</v>
      </c>
      <c r="F108" s="1138"/>
      <c r="G108" s="1138"/>
      <c r="H108" s="1138"/>
      <c r="I108" s="1138"/>
      <c r="J108" s="1138">
        <v>4704</v>
      </c>
      <c r="K108" s="1138"/>
      <c r="L108" s="1138"/>
      <c r="M108" s="1138"/>
      <c r="N108" s="1138"/>
      <c r="O108" s="1138"/>
      <c r="P108" s="1135">
        <f>SUM(F108:O108)</f>
        <v>4704</v>
      </c>
      <c r="Q108" s="1136" t="s">
        <v>809</v>
      </c>
    </row>
    <row r="109" spans="1:17" ht="24.75" customHeight="1">
      <c r="A109" s="1171"/>
      <c r="B109" s="1171"/>
      <c r="C109" s="1401" t="s">
        <v>612</v>
      </c>
      <c r="D109" s="1402"/>
      <c r="E109" s="1178">
        <v>1</v>
      </c>
      <c r="F109" s="1138"/>
      <c r="G109" s="1138"/>
      <c r="H109" s="1138"/>
      <c r="I109" s="1138"/>
      <c r="J109" s="1138">
        <v>8298</v>
      </c>
      <c r="K109" s="1138"/>
      <c r="L109" s="1138"/>
      <c r="M109" s="1138"/>
      <c r="N109" s="1138"/>
      <c r="O109" s="1138"/>
      <c r="P109" s="1135">
        <f>SUM(F109:O109)</f>
        <v>8298</v>
      </c>
      <c r="Q109" s="1136" t="s">
        <v>809</v>
      </c>
    </row>
    <row r="110" spans="1:17" ht="24.75" customHeight="1">
      <c r="A110" s="1171"/>
      <c r="B110" s="1171"/>
      <c r="C110" s="1377" t="s">
        <v>1235</v>
      </c>
      <c r="D110" s="1378"/>
      <c r="E110" s="1192"/>
      <c r="F110" s="1138"/>
      <c r="G110" s="1138"/>
      <c r="H110" s="1138"/>
      <c r="I110" s="1138"/>
      <c r="J110" s="1138"/>
      <c r="K110" s="1138"/>
      <c r="L110" s="1138"/>
      <c r="M110" s="1138"/>
      <c r="N110" s="1138"/>
      <c r="O110" s="1138"/>
      <c r="P110" s="1135"/>
      <c r="Q110" s="1136"/>
    </row>
    <row r="111" spans="1:17" ht="15" customHeight="1">
      <c r="A111" s="1171"/>
      <c r="B111" s="1171"/>
      <c r="C111" s="1405" t="s">
        <v>596</v>
      </c>
      <c r="D111" s="1406"/>
      <c r="E111" s="1192">
        <v>1</v>
      </c>
      <c r="F111" s="1138"/>
      <c r="G111" s="1138"/>
      <c r="H111" s="1138"/>
      <c r="I111" s="1138"/>
      <c r="J111" s="1138"/>
      <c r="K111" s="1138"/>
      <c r="L111" s="1138"/>
      <c r="M111" s="1138"/>
      <c r="N111" s="1138"/>
      <c r="O111" s="1138">
        <v>-5572</v>
      </c>
      <c r="P111" s="1135">
        <v>-5572</v>
      </c>
      <c r="Q111" s="1136" t="s">
        <v>809</v>
      </c>
    </row>
    <row r="112" spans="1:17" ht="15" customHeight="1">
      <c r="A112" s="1171"/>
      <c r="B112" s="1171"/>
      <c r="C112" s="1401" t="s">
        <v>927</v>
      </c>
      <c r="D112" s="1402"/>
      <c r="E112" s="1192">
        <v>1</v>
      </c>
      <c r="F112" s="1138"/>
      <c r="G112" s="1138"/>
      <c r="H112" s="1138">
        <v>84913</v>
      </c>
      <c r="I112" s="1138"/>
      <c r="J112" s="1138"/>
      <c r="K112" s="1138"/>
      <c r="L112" s="1138"/>
      <c r="M112" s="1138"/>
      <c r="N112" s="1138"/>
      <c r="O112" s="1138">
        <v>-22400</v>
      </c>
      <c r="P112" s="1135">
        <f>SUM(H112:O112)</f>
        <v>62513</v>
      </c>
      <c r="Q112" s="1136" t="s">
        <v>809</v>
      </c>
    </row>
    <row r="113" spans="1:17" ht="15" customHeight="1">
      <c r="A113" s="1171"/>
      <c r="B113" s="1171"/>
      <c r="C113" s="1401" t="s">
        <v>595</v>
      </c>
      <c r="D113" s="1409"/>
      <c r="E113" s="1192">
        <v>1</v>
      </c>
      <c r="F113" s="1138"/>
      <c r="G113" s="1138"/>
      <c r="H113" s="1138"/>
      <c r="I113" s="1138"/>
      <c r="J113" s="1138"/>
      <c r="K113" s="1138"/>
      <c r="L113" s="1138"/>
      <c r="M113" s="1138"/>
      <c r="N113" s="1138"/>
      <c r="O113" s="1138">
        <v>161359</v>
      </c>
      <c r="P113" s="1135">
        <f>SUM(H113:O113)</f>
        <v>161359</v>
      </c>
      <c r="Q113" s="1136" t="s">
        <v>809</v>
      </c>
    </row>
    <row r="114" spans="1:17" ht="13.5" customHeight="1">
      <c r="A114" s="1150"/>
      <c r="B114" s="1150"/>
      <c r="C114" s="1172" t="s">
        <v>928</v>
      </c>
      <c r="D114" s="1149"/>
      <c r="E114" s="1150"/>
      <c r="F114" s="1151">
        <f aca="true" t="shared" si="11" ref="F114:P114">SUM(F104:F113)</f>
        <v>0</v>
      </c>
      <c r="G114" s="1151">
        <f t="shared" si="11"/>
        <v>0</v>
      </c>
      <c r="H114" s="1151">
        <f t="shared" si="11"/>
        <v>46610</v>
      </c>
      <c r="I114" s="1151">
        <f t="shared" si="11"/>
        <v>0</v>
      </c>
      <c r="J114" s="1151">
        <f t="shared" si="11"/>
        <v>12897</v>
      </c>
      <c r="K114" s="1151">
        <f t="shared" si="11"/>
        <v>0</v>
      </c>
      <c r="L114" s="1151">
        <f t="shared" si="11"/>
        <v>0</v>
      </c>
      <c r="M114" s="1151">
        <f t="shared" si="11"/>
        <v>0</v>
      </c>
      <c r="N114" s="1151">
        <f t="shared" si="11"/>
        <v>0</v>
      </c>
      <c r="O114" s="1151">
        <f t="shared" si="11"/>
        <v>133387</v>
      </c>
      <c r="P114" s="1151">
        <f t="shared" si="11"/>
        <v>192894</v>
      </c>
      <c r="Q114" s="1152"/>
    </row>
    <row r="115" spans="1:17" ht="13.5" customHeight="1">
      <c r="A115" s="696"/>
      <c r="B115" s="696"/>
      <c r="C115" s="891" t="s">
        <v>903</v>
      </c>
      <c r="D115" s="1129"/>
      <c r="E115" s="1171"/>
      <c r="F115" s="698"/>
      <c r="G115" s="698"/>
      <c r="H115" s="698"/>
      <c r="I115" s="698"/>
      <c r="J115" s="698"/>
      <c r="K115" s="1175">
        <f>'[2]7'!J255</f>
        <v>0</v>
      </c>
      <c r="L115" s="1175"/>
      <c r="M115" s="1138">
        <f>'[2]7'!K255</f>
        <v>0</v>
      </c>
      <c r="N115" s="1138"/>
      <c r="O115" s="698"/>
      <c r="P115" s="1135">
        <f>SUM(F115:O115)</f>
        <v>0</v>
      </c>
      <c r="Q115" s="1136"/>
    </row>
    <row r="116" spans="1:17" ht="13.5" customHeight="1">
      <c r="A116" s="696"/>
      <c r="B116" s="696"/>
      <c r="C116" s="891" t="s">
        <v>1545</v>
      </c>
      <c r="D116" s="1129"/>
      <c r="E116" s="1171"/>
      <c r="F116" s="698"/>
      <c r="G116" s="698"/>
      <c r="H116" s="698"/>
      <c r="I116" s="698"/>
      <c r="J116" s="698"/>
      <c r="K116" s="1175"/>
      <c r="L116" s="1175">
        <f>'[2]8'!K189</f>
        <v>0</v>
      </c>
      <c r="M116" s="1138">
        <f>'[2]8'!K189</f>
        <v>0</v>
      </c>
      <c r="N116" s="1138"/>
      <c r="O116" s="698"/>
      <c r="P116" s="1135">
        <f>SUM(F116:O116)</f>
        <v>0</v>
      </c>
      <c r="Q116" s="1136"/>
    </row>
    <row r="117" spans="1:17" ht="13.5" customHeight="1">
      <c r="A117" s="1147"/>
      <c r="B117" s="1147"/>
      <c r="C117" s="1172" t="s">
        <v>678</v>
      </c>
      <c r="D117" s="1149"/>
      <c r="E117" s="1150"/>
      <c r="F117" s="1151">
        <f aca="true" t="shared" si="12" ref="F117:P117">SUM(F114:F116)</f>
        <v>0</v>
      </c>
      <c r="G117" s="1151">
        <f t="shared" si="12"/>
        <v>0</v>
      </c>
      <c r="H117" s="1151">
        <f t="shared" si="12"/>
        <v>46610</v>
      </c>
      <c r="I117" s="1151">
        <f t="shared" si="12"/>
        <v>0</v>
      </c>
      <c r="J117" s="1151">
        <f t="shared" si="12"/>
        <v>12897</v>
      </c>
      <c r="K117" s="1151">
        <f t="shared" si="12"/>
        <v>0</v>
      </c>
      <c r="L117" s="1151">
        <f t="shared" si="12"/>
        <v>0</v>
      </c>
      <c r="M117" s="1151">
        <f t="shared" si="12"/>
        <v>0</v>
      </c>
      <c r="N117" s="1151">
        <f t="shared" si="12"/>
        <v>0</v>
      </c>
      <c r="O117" s="1151">
        <f t="shared" si="12"/>
        <v>133387</v>
      </c>
      <c r="P117" s="1151">
        <f t="shared" si="12"/>
        <v>192894</v>
      </c>
      <c r="Q117" s="1152"/>
    </row>
    <row r="118" spans="1:17" ht="24.75" customHeight="1">
      <c r="A118" s="696">
        <v>1</v>
      </c>
      <c r="B118" s="696">
        <v>20</v>
      </c>
      <c r="C118" s="1407" t="s">
        <v>162</v>
      </c>
      <c r="D118" s="1408"/>
      <c r="E118" s="1155"/>
      <c r="F118" s="698"/>
      <c r="G118" s="698"/>
      <c r="H118" s="1193"/>
      <c r="I118" s="1193"/>
      <c r="J118" s="1193"/>
      <c r="K118" s="1193"/>
      <c r="L118" s="1193"/>
      <c r="M118" s="1193"/>
      <c r="N118" s="1193"/>
      <c r="O118" s="1193"/>
      <c r="P118" s="1135">
        <f>SUM(F118:O118)</f>
        <v>0</v>
      </c>
      <c r="Q118" s="1176"/>
    </row>
    <row r="119" spans="1:17" ht="13.5" customHeight="1">
      <c r="A119" s="1147"/>
      <c r="B119" s="1147"/>
      <c r="C119" s="1172" t="s">
        <v>1548</v>
      </c>
      <c r="D119" s="1149"/>
      <c r="E119" s="1150">
        <v>1</v>
      </c>
      <c r="F119" s="1151">
        <f>SUM(F118:F118)</f>
        <v>0</v>
      </c>
      <c r="G119" s="1151">
        <f>SUM(G118:G118)</f>
        <v>0</v>
      </c>
      <c r="H119" s="1151">
        <v>0</v>
      </c>
      <c r="I119" s="1151">
        <f aca="true" t="shared" si="13" ref="I119:O119">SUM(I118:I118)</f>
        <v>0</v>
      </c>
      <c r="J119" s="1151">
        <f t="shared" si="13"/>
        <v>0</v>
      </c>
      <c r="K119" s="1151">
        <f t="shared" si="13"/>
        <v>0</v>
      </c>
      <c r="L119" s="1151">
        <f t="shared" si="13"/>
        <v>0</v>
      </c>
      <c r="M119" s="1151">
        <f t="shared" si="13"/>
        <v>0</v>
      </c>
      <c r="N119" s="1151">
        <f t="shared" si="13"/>
        <v>0</v>
      </c>
      <c r="O119" s="1151">
        <f t="shared" si="13"/>
        <v>0</v>
      </c>
      <c r="P119" s="1151">
        <f>SUM(F119:O119)</f>
        <v>0</v>
      </c>
      <c r="Q119" s="1152" t="s">
        <v>809</v>
      </c>
    </row>
    <row r="120" spans="1:17" ht="13.5" customHeight="1">
      <c r="A120" s="1194">
        <v>1</v>
      </c>
      <c r="B120" s="1194">
        <v>22</v>
      </c>
      <c r="C120" s="1394" t="s">
        <v>1279</v>
      </c>
      <c r="D120" s="1395"/>
      <c r="E120" s="1195"/>
      <c r="F120" s="698"/>
      <c r="G120" s="698"/>
      <c r="H120" s="698"/>
      <c r="I120" s="698"/>
      <c r="J120" s="698"/>
      <c r="K120" s="1175"/>
      <c r="L120" s="1175"/>
      <c r="M120" s="1175"/>
      <c r="N120" s="1175"/>
      <c r="O120" s="698"/>
      <c r="P120" s="1135"/>
      <c r="Q120" s="1136"/>
    </row>
    <row r="121" spans="1:17" ht="13.5" customHeight="1">
      <c r="A121" s="1194"/>
      <c r="B121" s="1194"/>
      <c r="C121" s="1403" t="s">
        <v>162</v>
      </c>
      <c r="D121" s="1404"/>
      <c r="E121" s="1178"/>
      <c r="F121" s="1138"/>
      <c r="G121" s="1138"/>
      <c r="H121" s="1138"/>
      <c r="I121" s="1138"/>
      <c r="J121" s="1138"/>
      <c r="K121" s="1138"/>
      <c r="L121" s="1138"/>
      <c r="M121" s="1138"/>
      <c r="N121" s="1138"/>
      <c r="O121" s="1138"/>
      <c r="P121" s="1135"/>
      <c r="Q121" s="1136"/>
    </row>
    <row r="122" spans="1:17" ht="13.5" customHeight="1">
      <c r="A122" s="1194"/>
      <c r="B122" s="1194"/>
      <c r="C122" s="1196" t="s">
        <v>703</v>
      </c>
      <c r="D122" s="1197"/>
      <c r="E122" s="1198">
        <v>2</v>
      </c>
      <c r="F122" s="1138">
        <v>3000</v>
      </c>
      <c r="G122" s="1138">
        <v>1500</v>
      </c>
      <c r="H122" s="1138">
        <v>-4500</v>
      </c>
      <c r="I122" s="1138"/>
      <c r="J122" s="1138"/>
      <c r="K122" s="1138"/>
      <c r="L122" s="1138"/>
      <c r="M122" s="1138"/>
      <c r="N122" s="1138"/>
      <c r="O122" s="1138"/>
      <c r="P122" s="1135">
        <f>SUM(F122:O122)</f>
        <v>0</v>
      </c>
      <c r="Q122" s="1176" t="s">
        <v>809</v>
      </c>
    </row>
    <row r="123" spans="1:17" ht="13.5" customHeight="1">
      <c r="A123" s="1194"/>
      <c r="B123" s="1194"/>
      <c r="C123" s="891" t="s">
        <v>597</v>
      </c>
      <c r="D123" s="1197"/>
      <c r="E123" s="1198">
        <v>2</v>
      </c>
      <c r="F123" s="1138"/>
      <c r="G123" s="1138"/>
      <c r="H123" s="1138"/>
      <c r="I123" s="1138"/>
      <c r="J123" s="1138">
        <v>1000</v>
      </c>
      <c r="K123" s="1138"/>
      <c r="L123" s="1138"/>
      <c r="M123" s="1138"/>
      <c r="N123" s="1138"/>
      <c r="O123" s="1138"/>
      <c r="P123" s="1135">
        <v>1000</v>
      </c>
      <c r="Q123" s="1176" t="s">
        <v>809</v>
      </c>
    </row>
    <row r="124" spans="1:17" ht="13.5" customHeight="1">
      <c r="A124" s="1194"/>
      <c r="B124" s="1194"/>
      <c r="C124" s="1379" t="s">
        <v>1267</v>
      </c>
      <c r="D124" s="1400"/>
      <c r="E124" s="1198"/>
      <c r="F124" s="1138"/>
      <c r="G124" s="1138"/>
      <c r="H124" s="1138"/>
      <c r="I124" s="1138"/>
      <c r="J124" s="1138"/>
      <c r="K124" s="1138"/>
      <c r="L124" s="1138"/>
      <c r="M124" s="1138"/>
      <c r="N124" s="1138"/>
      <c r="O124" s="1138"/>
      <c r="P124" s="1135"/>
      <c r="Q124" s="1176"/>
    </row>
    <row r="125" spans="1:17" ht="13.5" customHeight="1">
      <c r="A125" s="1194"/>
      <c r="B125" s="1194"/>
      <c r="C125" s="891" t="s">
        <v>726</v>
      </c>
      <c r="D125" s="1177"/>
      <c r="E125" s="1198">
        <v>2</v>
      </c>
      <c r="F125" s="1138">
        <v>5000</v>
      </c>
      <c r="G125" s="1138">
        <v>2500</v>
      </c>
      <c r="H125" s="1138">
        <v>-7000</v>
      </c>
      <c r="I125" s="1138"/>
      <c r="J125" s="1138"/>
      <c r="K125" s="1138"/>
      <c r="L125" s="1138"/>
      <c r="M125" s="1138"/>
      <c r="N125" s="1138"/>
      <c r="O125" s="1138"/>
      <c r="P125" s="1135">
        <f>SUM(F125:O125)</f>
        <v>500</v>
      </c>
      <c r="Q125" s="1176" t="s">
        <v>809</v>
      </c>
    </row>
    <row r="126" spans="1:17" ht="13.5" customHeight="1">
      <c r="A126" s="1194"/>
      <c r="B126" s="1194"/>
      <c r="C126" s="1141" t="s">
        <v>1219</v>
      </c>
      <c r="D126" s="1199"/>
      <c r="E126" s="1155"/>
      <c r="F126" s="1138"/>
      <c r="G126" s="1138"/>
      <c r="H126" s="1138"/>
      <c r="I126" s="1138"/>
      <c r="J126" s="1138"/>
      <c r="K126" s="1138"/>
      <c r="L126" s="1138"/>
      <c r="M126" s="1138"/>
      <c r="N126" s="1138"/>
      <c r="O126" s="1138"/>
      <c r="P126" s="1135"/>
      <c r="Q126" s="1176"/>
    </row>
    <row r="127" spans="1:17" ht="13.5" customHeight="1">
      <c r="A127" s="1194"/>
      <c r="B127" s="1194"/>
      <c r="C127" s="1200" t="s">
        <v>707</v>
      </c>
      <c r="D127" s="1201"/>
      <c r="E127" s="1191">
        <v>2</v>
      </c>
      <c r="F127" s="1138">
        <v>62</v>
      </c>
      <c r="G127" s="1138">
        <v>31</v>
      </c>
      <c r="H127" s="1138">
        <v>-1576</v>
      </c>
      <c r="I127" s="1138"/>
      <c r="J127" s="1138">
        <v>1353</v>
      </c>
      <c r="K127" s="1138"/>
      <c r="L127" s="1138"/>
      <c r="M127" s="1138"/>
      <c r="N127" s="1138"/>
      <c r="O127" s="1138"/>
      <c r="P127" s="1135">
        <f>SUM(F127:O127)</f>
        <v>-130</v>
      </c>
      <c r="Q127" s="1176" t="s">
        <v>809</v>
      </c>
    </row>
    <row r="128" spans="1:17" ht="13.5" customHeight="1">
      <c r="A128" s="1202"/>
      <c r="B128" s="1202"/>
      <c r="C128" s="1203" t="s">
        <v>300</v>
      </c>
      <c r="D128" s="1204"/>
      <c r="E128" s="1205"/>
      <c r="F128" s="1151">
        <f aca="true" t="shared" si="14" ref="F128:P128">SUM(F120:F127)</f>
        <v>8062</v>
      </c>
      <c r="G128" s="1151">
        <f t="shared" si="14"/>
        <v>4031</v>
      </c>
      <c r="H128" s="1151">
        <f t="shared" si="14"/>
        <v>-13076</v>
      </c>
      <c r="I128" s="1151">
        <f t="shared" si="14"/>
        <v>0</v>
      </c>
      <c r="J128" s="1151">
        <f t="shared" si="14"/>
        <v>2353</v>
      </c>
      <c r="K128" s="1151">
        <f t="shared" si="14"/>
        <v>0</v>
      </c>
      <c r="L128" s="1151">
        <f t="shared" si="14"/>
        <v>0</v>
      </c>
      <c r="M128" s="1151">
        <f t="shared" si="14"/>
        <v>0</v>
      </c>
      <c r="N128" s="1151">
        <f t="shared" si="14"/>
        <v>0</v>
      </c>
      <c r="O128" s="1151">
        <f t="shared" si="14"/>
        <v>0</v>
      </c>
      <c r="P128" s="1151">
        <f t="shared" si="14"/>
        <v>1370</v>
      </c>
      <c r="Q128" s="1181"/>
    </row>
    <row r="129" spans="1:17" ht="13.5" customHeight="1">
      <c r="A129" s="696"/>
      <c r="B129" s="696"/>
      <c r="C129" s="891" t="s">
        <v>903</v>
      </c>
      <c r="D129" s="1129"/>
      <c r="E129" s="1171"/>
      <c r="F129" s="698"/>
      <c r="G129" s="698"/>
      <c r="H129" s="698"/>
      <c r="I129" s="698"/>
      <c r="J129" s="698"/>
      <c r="K129" s="1138">
        <f>'[2]7'!J258</f>
        <v>0</v>
      </c>
      <c r="L129" s="1138"/>
      <c r="M129" s="1138">
        <f>'[2]7'!K258</f>
        <v>130</v>
      </c>
      <c r="N129" s="1138"/>
      <c r="O129" s="698"/>
      <c r="P129" s="1135">
        <f>SUM(F129:O129)</f>
        <v>130</v>
      </c>
      <c r="Q129" s="1136" t="s">
        <v>809</v>
      </c>
    </row>
    <row r="130" spans="1:17" ht="13.5" customHeight="1">
      <c r="A130" s="1147"/>
      <c r="B130" s="1147"/>
      <c r="C130" s="1172" t="s">
        <v>1281</v>
      </c>
      <c r="D130" s="1149"/>
      <c r="E130" s="1150"/>
      <c r="F130" s="1151">
        <f aca="true" t="shared" si="15" ref="F130:P130">SUM(F128:F129)</f>
        <v>8062</v>
      </c>
      <c r="G130" s="1151">
        <f t="shared" si="15"/>
        <v>4031</v>
      </c>
      <c r="H130" s="1151">
        <f t="shared" si="15"/>
        <v>-13076</v>
      </c>
      <c r="I130" s="1151">
        <f t="shared" si="15"/>
        <v>0</v>
      </c>
      <c r="J130" s="1151">
        <f t="shared" si="15"/>
        <v>2353</v>
      </c>
      <c r="K130" s="1151">
        <f t="shared" si="15"/>
        <v>0</v>
      </c>
      <c r="L130" s="1151">
        <f t="shared" si="15"/>
        <v>0</v>
      </c>
      <c r="M130" s="1151">
        <f t="shared" si="15"/>
        <v>130</v>
      </c>
      <c r="N130" s="1151">
        <f t="shared" si="15"/>
        <v>0</v>
      </c>
      <c r="O130" s="1151">
        <f t="shared" si="15"/>
        <v>0</v>
      </c>
      <c r="P130" s="1151">
        <f t="shared" si="15"/>
        <v>1500</v>
      </c>
      <c r="Q130" s="1152"/>
    </row>
    <row r="131" spans="1:17" ht="13.5" customHeight="1">
      <c r="A131" s="1171">
        <v>1</v>
      </c>
      <c r="B131" s="1171">
        <v>30</v>
      </c>
      <c r="C131" s="1190" t="s">
        <v>930</v>
      </c>
      <c r="D131" s="1177"/>
      <c r="E131" s="1171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1135"/>
      <c r="Q131" s="1136"/>
    </row>
    <row r="132" spans="1:17" ht="13.5" customHeight="1">
      <c r="A132" s="1171"/>
      <c r="B132" s="1206">
        <v>31</v>
      </c>
      <c r="C132" s="1190" t="s">
        <v>302</v>
      </c>
      <c r="D132" s="570"/>
      <c r="E132" s="1171">
        <v>1</v>
      </c>
      <c r="F132" s="573"/>
      <c r="G132" s="573"/>
      <c r="H132" s="573"/>
      <c r="I132" s="573"/>
      <c r="J132" s="573">
        <v>-1000</v>
      </c>
      <c r="K132" s="573"/>
      <c r="L132" s="573"/>
      <c r="M132" s="573"/>
      <c r="N132" s="573"/>
      <c r="O132" s="573"/>
      <c r="P132" s="1135">
        <v>-1000</v>
      </c>
      <c r="Q132" s="1136" t="s">
        <v>809</v>
      </c>
    </row>
    <row r="133" spans="1:17" ht="13.5" customHeight="1">
      <c r="A133" s="1171"/>
      <c r="B133" s="1171">
        <v>32</v>
      </c>
      <c r="C133" s="1190" t="s">
        <v>931</v>
      </c>
      <c r="D133" s="1177"/>
      <c r="E133" s="1171"/>
      <c r="F133" s="573"/>
      <c r="G133" s="573"/>
      <c r="H133" s="573"/>
      <c r="I133" s="573"/>
      <c r="J133" s="573"/>
      <c r="K133" s="573"/>
      <c r="L133" s="573"/>
      <c r="M133" s="573"/>
      <c r="N133" s="573"/>
      <c r="O133" s="573"/>
      <c r="P133" s="1135"/>
      <c r="Q133" s="1136"/>
    </row>
    <row r="134" spans="1:17" ht="12.75" customHeight="1">
      <c r="A134" s="1171"/>
      <c r="B134" s="1171"/>
      <c r="C134" s="891" t="s">
        <v>932</v>
      </c>
      <c r="D134" s="1177"/>
      <c r="E134" s="1171">
        <v>1</v>
      </c>
      <c r="F134" s="573"/>
      <c r="G134" s="573"/>
      <c r="H134" s="573"/>
      <c r="I134" s="573"/>
      <c r="J134" s="573">
        <v>-37000</v>
      </c>
      <c r="K134" s="573"/>
      <c r="L134" s="573"/>
      <c r="M134" s="573"/>
      <c r="N134" s="573"/>
      <c r="O134" s="573"/>
      <c r="P134" s="1135">
        <f>SUM(F134:O134)</f>
        <v>-37000</v>
      </c>
      <c r="Q134" s="1136" t="s">
        <v>809</v>
      </c>
    </row>
    <row r="135" spans="1:17" ht="36" customHeight="1">
      <c r="A135" s="1171"/>
      <c r="B135" s="1171"/>
      <c r="C135" s="1383" t="s">
        <v>512</v>
      </c>
      <c r="D135" s="1384"/>
      <c r="E135" s="1191"/>
      <c r="F135" s="573"/>
      <c r="G135" s="573"/>
      <c r="H135" s="573"/>
      <c r="I135" s="573"/>
      <c r="J135" s="573"/>
      <c r="K135" s="573"/>
      <c r="L135" s="573"/>
      <c r="M135" s="573"/>
      <c r="N135" s="573"/>
      <c r="O135" s="573"/>
      <c r="P135" s="1135"/>
      <c r="Q135" s="1136"/>
    </row>
    <row r="136" spans="1:17" ht="12.75" customHeight="1">
      <c r="A136" s="1171"/>
      <c r="B136" s="1171"/>
      <c r="C136" s="1398" t="s">
        <v>1420</v>
      </c>
      <c r="D136" s="1399"/>
      <c r="E136" s="1191">
        <v>2</v>
      </c>
      <c r="F136" s="573"/>
      <c r="G136" s="573"/>
      <c r="H136" s="573"/>
      <c r="I136" s="573"/>
      <c r="J136" s="573">
        <v>-4450</v>
      </c>
      <c r="K136" s="573"/>
      <c r="L136" s="573"/>
      <c r="M136" s="573"/>
      <c r="N136" s="573"/>
      <c r="O136" s="573"/>
      <c r="P136" s="1135">
        <f>SUM(F136:O136)</f>
        <v>-4450</v>
      </c>
      <c r="Q136" s="1136" t="s">
        <v>598</v>
      </c>
    </row>
    <row r="137" spans="1:17" ht="12.75" customHeight="1">
      <c r="A137" s="1171"/>
      <c r="B137" s="1171"/>
      <c r="C137" s="891" t="s">
        <v>1033</v>
      </c>
      <c r="D137" s="1207"/>
      <c r="E137" s="1191">
        <v>2</v>
      </c>
      <c r="F137" s="573"/>
      <c r="G137" s="573"/>
      <c r="H137" s="573"/>
      <c r="I137" s="573"/>
      <c r="J137" s="573">
        <v>-900</v>
      </c>
      <c r="K137" s="573"/>
      <c r="L137" s="573"/>
      <c r="M137" s="573"/>
      <c r="N137" s="573"/>
      <c r="O137" s="573"/>
      <c r="P137" s="1135">
        <f>SUM(F137:O137)</f>
        <v>-900</v>
      </c>
      <c r="Q137" s="1136" t="s">
        <v>598</v>
      </c>
    </row>
    <row r="138" spans="1:17" ht="12.75" customHeight="1">
      <c r="A138" s="1171"/>
      <c r="B138" s="1171"/>
      <c r="C138" s="1208" t="s">
        <v>1650</v>
      </c>
      <c r="D138" s="1177"/>
      <c r="E138" s="1171"/>
      <c r="F138" s="573"/>
      <c r="G138" s="573"/>
      <c r="H138" s="573"/>
      <c r="I138" s="573"/>
      <c r="J138" s="573"/>
      <c r="K138" s="573">
        <f>'[2]7'!J261</f>
        <v>0</v>
      </c>
      <c r="L138" s="573">
        <f>'[2]8'!J192</f>
        <v>0</v>
      </c>
      <c r="M138" s="573"/>
      <c r="N138" s="573"/>
      <c r="O138" s="573"/>
      <c r="P138" s="1135">
        <f>SUM(K138:O138)</f>
        <v>0</v>
      </c>
      <c r="Q138" s="1136"/>
    </row>
    <row r="139" spans="1:17" ht="13.5" customHeight="1">
      <c r="A139" s="1168"/>
      <c r="B139" s="1168"/>
      <c r="C139" s="1172" t="s">
        <v>1651</v>
      </c>
      <c r="D139" s="1209"/>
      <c r="E139" s="1168"/>
      <c r="F139" s="1210">
        <f aca="true" t="shared" si="16" ref="F139:P139">SUM(F131:F138)</f>
        <v>0</v>
      </c>
      <c r="G139" s="1210">
        <f t="shared" si="16"/>
        <v>0</v>
      </c>
      <c r="H139" s="1210">
        <f t="shared" si="16"/>
        <v>0</v>
      </c>
      <c r="I139" s="1210">
        <f t="shared" si="16"/>
        <v>0</v>
      </c>
      <c r="J139" s="1210">
        <f t="shared" si="16"/>
        <v>-43350</v>
      </c>
      <c r="K139" s="1210">
        <f t="shared" si="16"/>
        <v>0</v>
      </c>
      <c r="L139" s="1210">
        <f t="shared" si="16"/>
        <v>0</v>
      </c>
      <c r="M139" s="1210">
        <f t="shared" si="16"/>
        <v>0</v>
      </c>
      <c r="N139" s="1210">
        <f t="shared" si="16"/>
        <v>0</v>
      </c>
      <c r="O139" s="1210">
        <f t="shared" si="16"/>
        <v>0</v>
      </c>
      <c r="P139" s="1210">
        <f t="shared" si="16"/>
        <v>-43350</v>
      </c>
      <c r="Q139" s="1152"/>
    </row>
    <row r="140" spans="1:17" ht="25.5" customHeight="1">
      <c r="A140" s="1168"/>
      <c r="B140" s="1168"/>
      <c r="C140" s="1381" t="s">
        <v>805</v>
      </c>
      <c r="D140" s="1382"/>
      <c r="E140" s="1211"/>
      <c r="F140" s="1210">
        <f aca="true" t="shared" si="17" ref="F140:P140">SUM(F26+F64+F80+F87+F96+F102+F117+F119+F130+F139)</f>
        <v>14568</v>
      </c>
      <c r="G140" s="1210">
        <f t="shared" si="17"/>
        <v>5708</v>
      </c>
      <c r="H140" s="1210">
        <f t="shared" si="17"/>
        <v>65533</v>
      </c>
      <c r="I140" s="1210">
        <f t="shared" si="17"/>
        <v>173196</v>
      </c>
      <c r="J140" s="1210">
        <f t="shared" si="17"/>
        <v>-4100</v>
      </c>
      <c r="K140" s="1210">
        <f t="shared" si="17"/>
        <v>-12445</v>
      </c>
      <c r="L140" s="1210">
        <f t="shared" si="17"/>
        <v>-19219</v>
      </c>
      <c r="M140" s="1210">
        <f t="shared" si="17"/>
        <v>-16856</v>
      </c>
      <c r="N140" s="1210">
        <f t="shared" si="17"/>
        <v>0</v>
      </c>
      <c r="O140" s="1210">
        <f t="shared" si="17"/>
        <v>194729</v>
      </c>
      <c r="P140" s="1210">
        <f t="shared" si="17"/>
        <v>401114</v>
      </c>
      <c r="Q140" s="1210"/>
    </row>
    <row r="141" spans="1:17" ht="12.75" customHeight="1">
      <c r="A141" s="1155">
        <v>2</v>
      </c>
      <c r="B141" s="1155"/>
      <c r="C141" s="1067" t="s">
        <v>1621</v>
      </c>
      <c r="D141" s="1212"/>
      <c r="E141" s="1155"/>
      <c r="F141" s="574">
        <f>'[2]táj.2.'!C20</f>
        <v>16790</v>
      </c>
      <c r="G141" s="574">
        <f>'[2]táj.2.'!D20</f>
        <v>581</v>
      </c>
      <c r="H141" s="574">
        <f>'[2]táj.2.'!E20</f>
        <v>3585</v>
      </c>
      <c r="I141" s="574">
        <f>'[2]táj.2.'!F20</f>
        <v>0</v>
      </c>
      <c r="J141" s="574">
        <f>'[2]táj.2.'!G20</f>
        <v>1379</v>
      </c>
      <c r="K141" s="574">
        <f>'[2]táj.2.'!H20</f>
        <v>37742</v>
      </c>
      <c r="L141" s="574">
        <f>'[2]táj.2.'!I20</f>
        <v>7528</v>
      </c>
      <c r="M141" s="574">
        <f>'[2]táj.2.'!J20</f>
        <v>0</v>
      </c>
      <c r="N141" s="574"/>
      <c r="O141" s="574"/>
      <c r="P141" s="1135">
        <f>SUM(F141:O141)</f>
        <v>67605</v>
      </c>
      <c r="Q141" s="1213"/>
    </row>
    <row r="142" spans="1:17" ht="12.75" customHeight="1">
      <c r="A142" s="1168"/>
      <c r="B142" s="1168"/>
      <c r="C142" s="688" t="s">
        <v>1599</v>
      </c>
      <c r="D142" s="1209"/>
      <c r="E142" s="1168"/>
      <c r="F142" s="1210">
        <f aca="true" t="shared" si="18" ref="F142:P142">SUM(F140:F141)</f>
        <v>31358</v>
      </c>
      <c r="G142" s="1210">
        <f t="shared" si="18"/>
        <v>6289</v>
      </c>
      <c r="H142" s="1210">
        <f t="shared" si="18"/>
        <v>69118</v>
      </c>
      <c r="I142" s="1210">
        <f t="shared" si="18"/>
        <v>173196</v>
      </c>
      <c r="J142" s="1210">
        <f t="shared" si="18"/>
        <v>-2721</v>
      </c>
      <c r="K142" s="1210">
        <f t="shared" si="18"/>
        <v>25297</v>
      </c>
      <c r="L142" s="1210">
        <f t="shared" si="18"/>
        <v>-11691</v>
      </c>
      <c r="M142" s="1210">
        <f t="shared" si="18"/>
        <v>-16856</v>
      </c>
      <c r="N142" s="1210">
        <f t="shared" si="18"/>
        <v>0</v>
      </c>
      <c r="O142" s="1210">
        <f t="shared" si="18"/>
        <v>194729</v>
      </c>
      <c r="P142" s="1210">
        <f t="shared" si="18"/>
        <v>468719</v>
      </c>
      <c r="Q142" s="1210"/>
    </row>
    <row r="143" spans="3:5" ht="12.75">
      <c r="C143" s="1392"/>
      <c r="D143" s="1393"/>
      <c r="E143" s="564"/>
    </row>
  </sheetData>
  <sheetProtection/>
  <mergeCells count="71">
    <mergeCell ref="C98:D98"/>
    <mergeCell ref="C91:D91"/>
    <mergeCell ref="C92:D92"/>
    <mergeCell ref="C13:D13"/>
    <mergeCell ref="C46:D46"/>
    <mergeCell ref="C39:D39"/>
    <mergeCell ref="C19:D19"/>
    <mergeCell ref="C15:D15"/>
    <mergeCell ref="C16:D16"/>
    <mergeCell ref="C33:D33"/>
    <mergeCell ref="C41:D41"/>
    <mergeCell ref="C53:D53"/>
    <mergeCell ref="C57:D57"/>
    <mergeCell ref="C42:D42"/>
    <mergeCell ref="C44:D44"/>
    <mergeCell ref="C45:D45"/>
    <mergeCell ref="C71:D71"/>
    <mergeCell ref="C70:D70"/>
    <mergeCell ref="C50:D50"/>
    <mergeCell ref="C51:D51"/>
    <mergeCell ref="C68:D68"/>
    <mergeCell ref="A1:A2"/>
    <mergeCell ref="B1:B2"/>
    <mergeCell ref="C1:D2"/>
    <mergeCell ref="C59:D59"/>
    <mergeCell ref="C56:D56"/>
    <mergeCell ref="C11:D11"/>
    <mergeCell ref="C40:D40"/>
    <mergeCell ref="C21:D21"/>
    <mergeCell ref="C31:D31"/>
    <mergeCell ref="C32:D32"/>
    <mergeCell ref="C17:D17"/>
    <mergeCell ref="C30:D30"/>
    <mergeCell ref="C29:D29"/>
    <mergeCell ref="C38:D38"/>
    <mergeCell ref="C34:D34"/>
    <mergeCell ref="C35:D35"/>
    <mergeCell ref="C99:D99"/>
    <mergeCell ref="C118:D118"/>
    <mergeCell ref="C113:D113"/>
    <mergeCell ref="C72:D72"/>
    <mergeCell ref="C111:D111"/>
    <mergeCell ref="C73:D73"/>
    <mergeCell ref="C74:D74"/>
    <mergeCell ref="C82:D82"/>
    <mergeCell ref="C76:D76"/>
    <mergeCell ref="C89:D89"/>
    <mergeCell ref="C90:D90"/>
    <mergeCell ref="C83:D83"/>
    <mergeCell ref="C143:D143"/>
    <mergeCell ref="C120:D120"/>
    <mergeCell ref="C104:D104"/>
    <mergeCell ref="C136:D136"/>
    <mergeCell ref="C124:D124"/>
    <mergeCell ref="C112:D112"/>
    <mergeCell ref="C109:D109"/>
    <mergeCell ref="C121:D121"/>
    <mergeCell ref="C110:D110"/>
    <mergeCell ref="C105:D105"/>
    <mergeCell ref="C140:D140"/>
    <mergeCell ref="C135:D135"/>
    <mergeCell ref="C106:D106"/>
    <mergeCell ref="C108:D108"/>
    <mergeCell ref="Q1:Q2"/>
    <mergeCell ref="C6:D6"/>
    <mergeCell ref="P1:P2"/>
    <mergeCell ref="C8:D8"/>
    <mergeCell ref="E1:E2"/>
    <mergeCell ref="F1:M1"/>
    <mergeCell ref="C5:D5"/>
    <mergeCell ref="N1:O1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II. NEGYEDÉVBEN
&amp;R&amp;"Times New Roman CE,Félkövér dőlt"6.a  melléklet mód.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7"/>
  <sheetViews>
    <sheetView workbookViewId="0" topLeftCell="D1">
      <pane ySplit="3" topLeftCell="BM250" activePane="bottomLeft" state="frozen"/>
      <selection pane="topLeft" activeCell="A1" sqref="A1"/>
      <selection pane="bottomLeft" activeCell="D251" sqref="D251"/>
    </sheetView>
  </sheetViews>
  <sheetFormatPr defaultColWidth="9.00390625" defaultRowHeight="12.75"/>
  <cols>
    <col min="1" max="1" width="4.625" style="315" customWidth="1"/>
    <col min="2" max="2" width="4.375" style="315" customWidth="1"/>
    <col min="3" max="3" width="6.625" style="315" customWidth="1"/>
    <col min="4" max="4" width="64.375" style="315" customWidth="1"/>
    <col min="5" max="5" width="4.50390625" style="315" customWidth="1"/>
    <col min="6" max="6" width="5.00390625" style="315" customWidth="1"/>
    <col min="7" max="7" width="12.50390625" style="315" customWidth="1"/>
    <col min="8" max="8" width="10.875" style="315" customWidth="1"/>
    <col min="9" max="9" width="12.50390625" style="315" customWidth="1"/>
    <col min="10" max="10" width="11.125" style="315" customWidth="1"/>
    <col min="11" max="11" width="11.625" style="315" customWidth="1"/>
    <col min="12" max="12" width="12.375" style="315" customWidth="1"/>
    <col min="13" max="13" width="12.50390625" style="315" customWidth="1"/>
    <col min="14" max="14" width="14.50390625" style="315" customWidth="1"/>
    <col min="15" max="15" width="13.00390625" style="315" customWidth="1"/>
    <col min="16" max="16384" width="9.375" style="315" customWidth="1"/>
  </cols>
  <sheetData>
    <row r="1" spans="1:15" ht="37.5" customHeight="1">
      <c r="A1" s="1455" t="s">
        <v>803</v>
      </c>
      <c r="B1" s="1457" t="s">
        <v>804</v>
      </c>
      <c r="C1" s="1457" t="s">
        <v>780</v>
      </c>
      <c r="D1" s="1460" t="s">
        <v>103</v>
      </c>
      <c r="E1" s="1461"/>
      <c r="F1" s="1453" t="s">
        <v>808</v>
      </c>
      <c r="G1" s="1446" t="s">
        <v>547</v>
      </c>
      <c r="H1" s="1447"/>
      <c r="I1" s="1448"/>
      <c r="J1" s="1449" t="s">
        <v>548</v>
      </c>
      <c r="K1" s="1449"/>
      <c r="L1" s="1449"/>
      <c r="M1" s="1450" t="s">
        <v>788</v>
      </c>
      <c r="N1" s="1451"/>
      <c r="O1" s="1452"/>
    </row>
    <row r="2" spans="1:15" ht="95.25" thickBot="1">
      <c r="A2" s="1456"/>
      <c r="B2" s="1458"/>
      <c r="C2" s="1458"/>
      <c r="D2" s="1462"/>
      <c r="E2" s="1463"/>
      <c r="F2" s="1454"/>
      <c r="G2" s="711" t="s">
        <v>104</v>
      </c>
      <c r="H2" s="712" t="s">
        <v>610</v>
      </c>
      <c r="I2" s="711" t="s">
        <v>1645</v>
      </c>
      <c r="J2" s="711" t="s">
        <v>104</v>
      </c>
      <c r="K2" s="712" t="s">
        <v>610</v>
      </c>
      <c r="L2" s="711" t="s">
        <v>1645</v>
      </c>
      <c r="M2" s="711" t="s">
        <v>104</v>
      </c>
      <c r="N2" s="712" t="s">
        <v>610</v>
      </c>
      <c r="O2" s="711" t="s">
        <v>1645</v>
      </c>
    </row>
    <row r="3" spans="1:15" ht="13.5" customHeight="1">
      <c r="A3" s="713">
        <v>1</v>
      </c>
      <c r="B3" s="714"/>
      <c r="C3" s="714"/>
      <c r="D3" s="715" t="s">
        <v>1619</v>
      </c>
      <c r="E3" s="716"/>
      <c r="F3" s="716"/>
      <c r="G3" s="717"/>
      <c r="H3" s="718"/>
      <c r="I3" s="718"/>
      <c r="J3" s="719"/>
      <c r="K3" s="719"/>
      <c r="L3" s="719"/>
      <c r="M3" s="719"/>
      <c r="N3" s="719"/>
      <c r="O3" s="719"/>
    </row>
    <row r="4" spans="1:15" ht="13.5" customHeight="1">
      <c r="A4" s="720">
        <v>1</v>
      </c>
      <c r="B4" s="720">
        <v>12</v>
      </c>
      <c r="C4" s="721"/>
      <c r="D4" s="722" t="s">
        <v>19</v>
      </c>
      <c r="E4" s="723"/>
      <c r="F4" s="723"/>
      <c r="G4" s="724"/>
      <c r="H4" s="725"/>
      <c r="I4" s="725"/>
      <c r="J4" s="726"/>
      <c r="K4" s="726"/>
      <c r="L4" s="726"/>
      <c r="M4" s="726"/>
      <c r="N4" s="726"/>
      <c r="O4" s="726"/>
    </row>
    <row r="5" spans="1:15" ht="24.75" customHeight="1">
      <c r="A5" s="713"/>
      <c r="B5" s="727"/>
      <c r="C5" s="713" t="s">
        <v>685</v>
      </c>
      <c r="D5" s="728" t="s">
        <v>243</v>
      </c>
      <c r="E5" s="729"/>
      <c r="F5" s="730"/>
      <c r="G5" s="725"/>
      <c r="H5" s="731">
        <v>20000</v>
      </c>
      <c r="I5" s="731">
        <f>SUM(G5:H5)</f>
        <v>20000</v>
      </c>
      <c r="J5" s="726"/>
      <c r="K5" s="726"/>
      <c r="L5" s="726">
        <f>SUM(J5:K5)</f>
        <v>0</v>
      </c>
      <c r="M5" s="726">
        <f>SUM(G5+J5)</f>
        <v>0</v>
      </c>
      <c r="N5" s="726">
        <f>SUM(H5+K5)</f>
        <v>20000</v>
      </c>
      <c r="O5" s="726">
        <f>SUM(M5:N5)</f>
        <v>20000</v>
      </c>
    </row>
    <row r="6" spans="1:15" ht="24.75" customHeight="1">
      <c r="A6" s="713"/>
      <c r="B6" s="727"/>
      <c r="C6" s="713" t="s">
        <v>681</v>
      </c>
      <c r="D6" s="732" t="s">
        <v>1082</v>
      </c>
      <c r="E6" s="733"/>
      <c r="F6" s="733"/>
      <c r="G6" s="724"/>
      <c r="H6" s="731">
        <v>22519</v>
      </c>
      <c r="I6" s="731">
        <f>SUM(G6:H6)</f>
        <v>22519</v>
      </c>
      <c r="J6" s="726"/>
      <c r="K6" s="726"/>
      <c r="L6" s="726">
        <f>SUM(J6:K6)</f>
        <v>0</v>
      </c>
      <c r="M6" s="726">
        <f>SUM(G6+J6)</f>
        <v>0</v>
      </c>
      <c r="N6" s="726">
        <f>SUM(H6+K6)</f>
        <v>22519</v>
      </c>
      <c r="O6" s="726">
        <f>SUM(M6:N6)</f>
        <v>22519</v>
      </c>
    </row>
    <row r="7" spans="1:15" ht="13.5" customHeight="1">
      <c r="A7" s="734"/>
      <c r="B7" s="735"/>
      <c r="C7" s="734"/>
      <c r="D7" s="736" t="s">
        <v>1083</v>
      </c>
      <c r="E7" s="737"/>
      <c r="F7" s="737"/>
      <c r="G7" s="738"/>
      <c r="H7" s="739">
        <f aca="true" t="shared" si="0" ref="H7:O7">SUM(H5:H6)</f>
        <v>42519</v>
      </c>
      <c r="I7" s="739">
        <f t="shared" si="0"/>
        <v>42519</v>
      </c>
      <c r="J7" s="739">
        <f t="shared" si="0"/>
        <v>0</v>
      </c>
      <c r="K7" s="739">
        <f t="shared" si="0"/>
        <v>0</v>
      </c>
      <c r="L7" s="739">
        <f t="shared" si="0"/>
        <v>0</v>
      </c>
      <c r="M7" s="739">
        <f t="shared" si="0"/>
        <v>0</v>
      </c>
      <c r="N7" s="739">
        <f t="shared" si="0"/>
        <v>42519</v>
      </c>
      <c r="O7" s="739">
        <f t="shared" si="0"/>
        <v>42519</v>
      </c>
    </row>
    <row r="8" spans="1:15" ht="13.5" customHeight="1">
      <c r="A8" s="740">
        <v>1</v>
      </c>
      <c r="B8" s="740">
        <v>13</v>
      </c>
      <c r="C8" s="741"/>
      <c r="D8" s="742" t="s">
        <v>20</v>
      </c>
      <c r="E8" s="743"/>
      <c r="F8" s="743"/>
      <c r="G8" s="726">
        <v>0</v>
      </c>
      <c r="H8" s="726">
        <v>0</v>
      </c>
      <c r="I8" s="744">
        <f aca="true" t="shared" si="1" ref="I8:I25">SUM(G8:H8)</f>
        <v>0</v>
      </c>
      <c r="J8" s="726"/>
      <c r="K8" s="726"/>
      <c r="L8" s="726"/>
      <c r="M8" s="726">
        <f aca="true" t="shared" si="2" ref="M8:N11">SUM(G8+J8)</f>
        <v>0</v>
      </c>
      <c r="N8" s="726">
        <f t="shared" si="2"/>
        <v>0</v>
      </c>
      <c r="O8" s="726"/>
    </row>
    <row r="9" spans="1:15" ht="13.5" customHeight="1">
      <c r="A9" s="745"/>
      <c r="B9" s="746"/>
      <c r="C9" s="747" t="s">
        <v>685</v>
      </c>
      <c r="D9" s="748" t="s">
        <v>1027</v>
      </c>
      <c r="E9" s="743"/>
      <c r="F9" s="743"/>
      <c r="G9" s="726">
        <v>0</v>
      </c>
      <c r="H9" s="726">
        <v>0</v>
      </c>
      <c r="I9" s="744">
        <f t="shared" si="1"/>
        <v>0</v>
      </c>
      <c r="J9" s="726"/>
      <c r="K9" s="726"/>
      <c r="L9" s="726"/>
      <c r="M9" s="726">
        <f t="shared" si="2"/>
        <v>0</v>
      </c>
      <c r="N9" s="726">
        <f t="shared" si="2"/>
        <v>0</v>
      </c>
      <c r="O9" s="726"/>
    </row>
    <row r="10" spans="1:15" ht="13.5" customHeight="1">
      <c r="A10" s="745"/>
      <c r="B10" s="746"/>
      <c r="C10" s="749" t="s">
        <v>208</v>
      </c>
      <c r="D10" s="750" t="s">
        <v>209</v>
      </c>
      <c r="E10" s="743"/>
      <c r="F10" s="751"/>
      <c r="G10" s="726">
        <v>0</v>
      </c>
      <c r="H10" s="726">
        <v>0</v>
      </c>
      <c r="I10" s="744">
        <f t="shared" si="1"/>
        <v>0</v>
      </c>
      <c r="J10" s="726"/>
      <c r="K10" s="726"/>
      <c r="L10" s="726"/>
      <c r="M10" s="726">
        <f t="shared" si="2"/>
        <v>0</v>
      </c>
      <c r="N10" s="726">
        <f t="shared" si="2"/>
        <v>0</v>
      </c>
      <c r="O10" s="726"/>
    </row>
    <row r="11" spans="1:15" ht="13.5" customHeight="1">
      <c r="A11" s="745"/>
      <c r="B11" s="746"/>
      <c r="C11" s="752" t="s">
        <v>244</v>
      </c>
      <c r="D11" s="753" t="s">
        <v>1210</v>
      </c>
      <c r="E11" s="754"/>
      <c r="F11" s="754"/>
      <c r="G11" s="726">
        <v>0</v>
      </c>
      <c r="H11" s="726">
        <v>2000</v>
      </c>
      <c r="I11" s="744">
        <f t="shared" si="1"/>
        <v>2000</v>
      </c>
      <c r="J11" s="726"/>
      <c r="K11" s="726"/>
      <c r="L11" s="726">
        <f aca="true" t="shared" si="3" ref="L11:L32">SUM(J11:K11)</f>
        <v>0</v>
      </c>
      <c r="M11" s="726">
        <f t="shared" si="2"/>
        <v>0</v>
      </c>
      <c r="N11" s="726">
        <f t="shared" si="2"/>
        <v>2000</v>
      </c>
      <c r="O11" s="726">
        <f aca="true" t="shared" si="4" ref="O11:O32">SUM(M11:N11)</f>
        <v>2000</v>
      </c>
    </row>
    <row r="12" spans="1:15" ht="13.5" customHeight="1">
      <c r="A12" s="745"/>
      <c r="B12" s="746"/>
      <c r="C12" s="752" t="s">
        <v>216</v>
      </c>
      <c r="D12" s="755" t="s">
        <v>810</v>
      </c>
      <c r="E12" s="756"/>
      <c r="F12" s="757"/>
      <c r="G12" s="726">
        <v>600</v>
      </c>
      <c r="H12" s="726"/>
      <c r="I12" s="744">
        <f t="shared" si="1"/>
        <v>600</v>
      </c>
      <c r="J12" s="726"/>
      <c r="K12" s="726"/>
      <c r="L12" s="726">
        <f t="shared" si="3"/>
        <v>0</v>
      </c>
      <c r="M12" s="726">
        <f aca="true" t="shared" si="5" ref="M12:M24">SUM(G12+J12)</f>
        <v>600</v>
      </c>
      <c r="N12" s="726"/>
      <c r="O12" s="726">
        <f t="shared" si="4"/>
        <v>600</v>
      </c>
    </row>
    <row r="13" spans="1:15" ht="13.5" customHeight="1">
      <c r="A13" s="745"/>
      <c r="B13" s="746"/>
      <c r="C13" s="752" t="s">
        <v>218</v>
      </c>
      <c r="D13" s="758" t="s">
        <v>1028</v>
      </c>
      <c r="E13" s="756"/>
      <c r="F13" s="757"/>
      <c r="G13" s="726">
        <v>0</v>
      </c>
      <c r="H13" s="726">
        <v>0</v>
      </c>
      <c r="I13" s="744">
        <f t="shared" si="1"/>
        <v>0</v>
      </c>
      <c r="J13" s="726"/>
      <c r="K13" s="726"/>
      <c r="L13" s="726">
        <f t="shared" si="3"/>
        <v>0</v>
      </c>
      <c r="M13" s="726">
        <f t="shared" si="5"/>
        <v>0</v>
      </c>
      <c r="N13" s="726">
        <f>SUM(H13+K13)</f>
        <v>0</v>
      </c>
      <c r="O13" s="726">
        <f t="shared" si="4"/>
        <v>0</v>
      </c>
    </row>
    <row r="14" spans="1:15" ht="15" customHeight="1">
      <c r="A14" s="745"/>
      <c r="B14" s="746"/>
      <c r="C14" s="752" t="s">
        <v>283</v>
      </c>
      <c r="D14" s="759" t="s">
        <v>627</v>
      </c>
      <c r="E14" s="756"/>
      <c r="F14" s="757"/>
      <c r="G14" s="726">
        <v>0</v>
      </c>
      <c r="H14" s="726">
        <v>13294</v>
      </c>
      <c r="I14" s="744">
        <f t="shared" si="1"/>
        <v>13294</v>
      </c>
      <c r="J14" s="726"/>
      <c r="K14" s="726"/>
      <c r="L14" s="726">
        <f t="shared" si="3"/>
        <v>0</v>
      </c>
      <c r="M14" s="726">
        <f t="shared" si="5"/>
        <v>0</v>
      </c>
      <c r="N14" s="726">
        <f>SUM(H14+K14)</f>
        <v>13294</v>
      </c>
      <c r="O14" s="726">
        <f t="shared" si="4"/>
        <v>13294</v>
      </c>
    </row>
    <row r="15" spans="1:15" ht="15" customHeight="1">
      <c r="A15" s="745"/>
      <c r="B15" s="746"/>
      <c r="C15" s="752" t="s">
        <v>717</v>
      </c>
      <c r="D15" s="760" t="s">
        <v>1054</v>
      </c>
      <c r="E15" s="756"/>
      <c r="F15" s="757"/>
      <c r="G15" s="726">
        <v>0</v>
      </c>
      <c r="H15" s="726">
        <v>8000</v>
      </c>
      <c r="I15" s="744">
        <f t="shared" si="1"/>
        <v>8000</v>
      </c>
      <c r="J15" s="726"/>
      <c r="K15" s="726"/>
      <c r="L15" s="726">
        <f t="shared" si="3"/>
        <v>0</v>
      </c>
      <c r="M15" s="726">
        <f t="shared" si="5"/>
        <v>0</v>
      </c>
      <c r="N15" s="726">
        <f>SUM(H15+K15)</f>
        <v>8000</v>
      </c>
      <c r="O15" s="726">
        <f t="shared" si="4"/>
        <v>8000</v>
      </c>
    </row>
    <row r="16" spans="1:15" ht="15" customHeight="1">
      <c r="A16" s="745"/>
      <c r="B16" s="746"/>
      <c r="C16" s="752" t="s">
        <v>671</v>
      </c>
      <c r="D16" s="761" t="s">
        <v>1053</v>
      </c>
      <c r="E16" s="756"/>
      <c r="F16" s="757"/>
      <c r="G16" s="726">
        <v>3000</v>
      </c>
      <c r="H16" s="726">
        <v>0</v>
      </c>
      <c r="I16" s="744">
        <f t="shared" si="1"/>
        <v>3000</v>
      </c>
      <c r="J16" s="726"/>
      <c r="K16" s="726"/>
      <c r="L16" s="726">
        <f t="shared" si="3"/>
        <v>0</v>
      </c>
      <c r="M16" s="726">
        <f t="shared" si="5"/>
        <v>3000</v>
      </c>
      <c r="N16" s="726">
        <f>SUM(H16+K16)</f>
        <v>0</v>
      </c>
      <c r="O16" s="726">
        <f t="shared" si="4"/>
        <v>3000</v>
      </c>
    </row>
    <row r="17" spans="1:15" ht="15" customHeight="1">
      <c r="A17" s="745"/>
      <c r="B17" s="746"/>
      <c r="C17" s="752" t="s">
        <v>811</v>
      </c>
      <c r="D17" s="761" t="s">
        <v>812</v>
      </c>
      <c r="E17" s="756"/>
      <c r="F17" s="757"/>
      <c r="G17" s="726">
        <v>2000</v>
      </c>
      <c r="H17" s="726"/>
      <c r="I17" s="744">
        <f t="shared" si="1"/>
        <v>2000</v>
      </c>
      <c r="J17" s="726"/>
      <c r="K17" s="726"/>
      <c r="L17" s="726">
        <f t="shared" si="3"/>
        <v>0</v>
      </c>
      <c r="M17" s="726">
        <f t="shared" si="5"/>
        <v>2000</v>
      </c>
      <c r="N17" s="726"/>
      <c r="O17" s="726">
        <f t="shared" si="4"/>
        <v>2000</v>
      </c>
    </row>
    <row r="18" spans="1:15" ht="15" customHeight="1">
      <c r="A18" s="745"/>
      <c r="B18" s="746"/>
      <c r="C18" s="749" t="s">
        <v>245</v>
      </c>
      <c r="D18" s="762" t="s">
        <v>246</v>
      </c>
      <c r="E18" s="756"/>
      <c r="F18" s="757"/>
      <c r="G18" s="726">
        <v>0</v>
      </c>
      <c r="H18" s="726">
        <v>0</v>
      </c>
      <c r="I18" s="744">
        <f t="shared" si="1"/>
        <v>0</v>
      </c>
      <c r="J18" s="726"/>
      <c r="K18" s="726"/>
      <c r="L18" s="726">
        <f t="shared" si="3"/>
        <v>0</v>
      </c>
      <c r="M18" s="726">
        <f t="shared" si="5"/>
        <v>0</v>
      </c>
      <c r="N18" s="726">
        <f aca="true" t="shared" si="6" ref="N18:N23">SUM(H18+K18)</f>
        <v>0</v>
      </c>
      <c r="O18" s="726">
        <f t="shared" si="4"/>
        <v>0</v>
      </c>
    </row>
    <row r="19" spans="1:15" ht="24.75" customHeight="1">
      <c r="A19" s="745"/>
      <c r="B19" s="746"/>
      <c r="C19" s="741" t="s">
        <v>247</v>
      </c>
      <c r="D19" s="753" t="s">
        <v>813</v>
      </c>
      <c r="E19" s="756"/>
      <c r="F19" s="757"/>
      <c r="G19" s="726">
        <v>10325</v>
      </c>
      <c r="H19" s="726">
        <v>0</v>
      </c>
      <c r="I19" s="744">
        <f t="shared" si="1"/>
        <v>10325</v>
      </c>
      <c r="J19" s="726"/>
      <c r="K19" s="726"/>
      <c r="L19" s="726">
        <f t="shared" si="3"/>
        <v>0</v>
      </c>
      <c r="M19" s="726">
        <f t="shared" si="5"/>
        <v>10325</v>
      </c>
      <c r="N19" s="726">
        <f t="shared" si="6"/>
        <v>0</v>
      </c>
      <c r="O19" s="726">
        <f t="shared" si="4"/>
        <v>10325</v>
      </c>
    </row>
    <row r="20" spans="1:15" ht="24.75" customHeight="1">
      <c r="A20" s="745"/>
      <c r="B20" s="746"/>
      <c r="C20" s="741" t="s">
        <v>248</v>
      </c>
      <c r="D20" s="753" t="s">
        <v>814</v>
      </c>
      <c r="E20" s="756"/>
      <c r="F20" s="757"/>
      <c r="G20" s="726">
        <v>44577</v>
      </c>
      <c r="H20" s="726">
        <v>0</v>
      </c>
      <c r="I20" s="744">
        <f t="shared" si="1"/>
        <v>44577</v>
      </c>
      <c r="J20" s="726"/>
      <c r="K20" s="726"/>
      <c r="L20" s="726">
        <f t="shared" si="3"/>
        <v>0</v>
      </c>
      <c r="M20" s="726">
        <f t="shared" si="5"/>
        <v>44577</v>
      </c>
      <c r="N20" s="726">
        <f t="shared" si="6"/>
        <v>0</v>
      </c>
      <c r="O20" s="726">
        <f t="shared" si="4"/>
        <v>44577</v>
      </c>
    </row>
    <row r="21" spans="1:15" ht="15" customHeight="1">
      <c r="A21" s="745"/>
      <c r="B21" s="746"/>
      <c r="C21" s="741" t="s">
        <v>249</v>
      </c>
      <c r="D21" s="753" t="s">
        <v>1662</v>
      </c>
      <c r="E21" s="756"/>
      <c r="F21" s="757"/>
      <c r="G21" s="726">
        <v>5000</v>
      </c>
      <c r="H21" s="726">
        <v>0</v>
      </c>
      <c r="I21" s="744">
        <f t="shared" si="1"/>
        <v>5000</v>
      </c>
      <c r="J21" s="726"/>
      <c r="K21" s="726"/>
      <c r="L21" s="726">
        <f t="shared" si="3"/>
        <v>0</v>
      </c>
      <c r="M21" s="726">
        <f t="shared" si="5"/>
        <v>5000</v>
      </c>
      <c r="N21" s="726">
        <f t="shared" si="6"/>
        <v>0</v>
      </c>
      <c r="O21" s="726">
        <f t="shared" si="4"/>
        <v>5000</v>
      </c>
    </row>
    <row r="22" spans="1:15" ht="15" customHeight="1">
      <c r="A22" s="745"/>
      <c r="B22" s="746"/>
      <c r="C22" s="741" t="s">
        <v>250</v>
      </c>
      <c r="D22" s="760" t="s">
        <v>1055</v>
      </c>
      <c r="E22" s="756"/>
      <c r="F22" s="757"/>
      <c r="G22" s="726">
        <v>4000</v>
      </c>
      <c r="H22" s="726">
        <v>0</v>
      </c>
      <c r="I22" s="744">
        <f t="shared" si="1"/>
        <v>4000</v>
      </c>
      <c r="J22" s="726"/>
      <c r="K22" s="726"/>
      <c r="L22" s="726">
        <f t="shared" si="3"/>
        <v>0</v>
      </c>
      <c r="M22" s="726">
        <f t="shared" si="5"/>
        <v>4000</v>
      </c>
      <c r="N22" s="726">
        <f t="shared" si="6"/>
        <v>0</v>
      </c>
      <c r="O22" s="726">
        <f t="shared" si="4"/>
        <v>4000</v>
      </c>
    </row>
    <row r="23" spans="1:15" ht="15" customHeight="1">
      <c r="A23" s="745"/>
      <c r="B23" s="746"/>
      <c r="C23" s="741" t="s">
        <v>251</v>
      </c>
      <c r="D23" s="763" t="s">
        <v>624</v>
      </c>
      <c r="E23" s="756"/>
      <c r="F23" s="757"/>
      <c r="G23" s="726">
        <v>0</v>
      </c>
      <c r="H23" s="726">
        <v>4933</v>
      </c>
      <c r="I23" s="744">
        <f t="shared" si="1"/>
        <v>4933</v>
      </c>
      <c r="J23" s="726"/>
      <c r="K23" s="726"/>
      <c r="L23" s="726">
        <f t="shared" si="3"/>
        <v>0</v>
      </c>
      <c r="M23" s="726">
        <f t="shared" si="5"/>
        <v>0</v>
      </c>
      <c r="N23" s="726">
        <f t="shared" si="6"/>
        <v>4933</v>
      </c>
      <c r="O23" s="726">
        <f t="shared" si="4"/>
        <v>4933</v>
      </c>
    </row>
    <row r="24" spans="1:15" ht="15" customHeight="1">
      <c r="A24" s="745"/>
      <c r="B24" s="746"/>
      <c r="C24" s="741" t="s">
        <v>815</v>
      </c>
      <c r="D24" s="763" t="s">
        <v>816</v>
      </c>
      <c r="E24" s="756"/>
      <c r="F24" s="757"/>
      <c r="G24" s="726">
        <v>50000</v>
      </c>
      <c r="H24" s="726"/>
      <c r="I24" s="744">
        <f t="shared" si="1"/>
        <v>50000</v>
      </c>
      <c r="J24" s="726"/>
      <c r="K24" s="726"/>
      <c r="L24" s="726">
        <f t="shared" si="3"/>
        <v>0</v>
      </c>
      <c r="M24" s="726">
        <f t="shared" si="5"/>
        <v>50000</v>
      </c>
      <c r="N24" s="726"/>
      <c r="O24" s="726">
        <f t="shared" si="4"/>
        <v>50000</v>
      </c>
    </row>
    <row r="25" spans="1:15" ht="24.75" customHeight="1">
      <c r="A25" s="745"/>
      <c r="B25" s="746"/>
      <c r="C25" s="764" t="s">
        <v>817</v>
      </c>
      <c r="D25" s="763" t="s">
        <v>818</v>
      </c>
      <c r="E25" s="756"/>
      <c r="F25" s="757"/>
      <c r="G25" s="765"/>
      <c r="H25" s="765">
        <v>200</v>
      </c>
      <c r="I25" s="744">
        <f t="shared" si="1"/>
        <v>200</v>
      </c>
      <c r="J25" s="765"/>
      <c r="K25" s="765"/>
      <c r="L25" s="765">
        <f t="shared" si="3"/>
        <v>0</v>
      </c>
      <c r="M25" s="765"/>
      <c r="N25" s="765">
        <v>200</v>
      </c>
      <c r="O25" s="765">
        <f t="shared" si="4"/>
        <v>200</v>
      </c>
    </row>
    <row r="26" spans="1:15" ht="15" customHeight="1">
      <c r="A26" s="745"/>
      <c r="B26" s="746"/>
      <c r="C26" s="764" t="s">
        <v>549</v>
      </c>
      <c r="D26" s="763" t="s">
        <v>550</v>
      </c>
      <c r="E26" s="756"/>
      <c r="F26" s="757" t="s">
        <v>809</v>
      </c>
      <c r="G26" s="765"/>
      <c r="H26" s="765"/>
      <c r="I26" s="744"/>
      <c r="J26" s="765">
        <v>28000</v>
      </c>
      <c r="K26" s="765"/>
      <c r="L26" s="765">
        <f t="shared" si="3"/>
        <v>28000</v>
      </c>
      <c r="M26" s="765">
        <f aca="true" t="shared" si="7" ref="M26:M32">SUM(G26+J26)</f>
        <v>28000</v>
      </c>
      <c r="N26" s="765"/>
      <c r="O26" s="765">
        <f t="shared" si="4"/>
        <v>28000</v>
      </c>
    </row>
    <row r="27" spans="1:15" ht="15" customHeight="1">
      <c r="A27" s="745"/>
      <c r="B27" s="746"/>
      <c r="C27" s="741">
        <v>5</v>
      </c>
      <c r="D27" s="766" t="s">
        <v>327</v>
      </c>
      <c r="E27" s="756"/>
      <c r="F27" s="757"/>
      <c r="G27" s="765">
        <v>0</v>
      </c>
      <c r="H27" s="765">
        <v>0</v>
      </c>
      <c r="I27" s="744">
        <f aca="true" t="shared" si="8" ref="I27:I32">SUM(G27:H27)</f>
        <v>0</v>
      </c>
      <c r="J27" s="765"/>
      <c r="K27" s="765"/>
      <c r="L27" s="765">
        <f t="shared" si="3"/>
        <v>0</v>
      </c>
      <c r="M27" s="765">
        <f t="shared" si="7"/>
        <v>0</v>
      </c>
      <c r="N27" s="765">
        <f aca="true" t="shared" si="9" ref="N27:N32">SUM(H27+K27)</f>
        <v>0</v>
      </c>
      <c r="O27" s="765">
        <f t="shared" si="4"/>
        <v>0</v>
      </c>
    </row>
    <row r="28" spans="1:15" ht="15" customHeight="1">
      <c r="A28" s="745"/>
      <c r="B28" s="746"/>
      <c r="C28" s="767" t="s">
        <v>456</v>
      </c>
      <c r="D28" s="768" t="s">
        <v>328</v>
      </c>
      <c r="E28" s="769"/>
      <c r="F28" s="770"/>
      <c r="G28" s="765">
        <v>19050</v>
      </c>
      <c r="H28" s="765">
        <v>0</v>
      </c>
      <c r="I28" s="744">
        <f t="shared" si="8"/>
        <v>19050</v>
      </c>
      <c r="J28" s="765"/>
      <c r="K28" s="765"/>
      <c r="L28" s="765">
        <f t="shared" si="3"/>
        <v>0</v>
      </c>
      <c r="M28" s="765">
        <f t="shared" si="7"/>
        <v>19050</v>
      </c>
      <c r="N28" s="765">
        <f t="shared" si="9"/>
        <v>0</v>
      </c>
      <c r="O28" s="765">
        <f t="shared" si="4"/>
        <v>19050</v>
      </c>
    </row>
    <row r="29" spans="1:15" ht="24.75" customHeight="1">
      <c r="A29" s="745"/>
      <c r="B29" s="746"/>
      <c r="C29" s="767" t="s">
        <v>470</v>
      </c>
      <c r="D29" s="771" t="s">
        <v>115</v>
      </c>
      <c r="E29" s="769"/>
      <c r="F29" s="770" t="s">
        <v>809</v>
      </c>
      <c r="G29" s="765">
        <v>254643</v>
      </c>
      <c r="H29" s="765">
        <v>0</v>
      </c>
      <c r="I29" s="744">
        <f t="shared" si="8"/>
        <v>254643</v>
      </c>
      <c r="J29" s="765">
        <v>-7318</v>
      </c>
      <c r="K29" s="765"/>
      <c r="L29" s="765">
        <f t="shared" si="3"/>
        <v>-7318</v>
      </c>
      <c r="M29" s="765">
        <f t="shared" si="7"/>
        <v>247325</v>
      </c>
      <c r="N29" s="765">
        <f t="shared" si="9"/>
        <v>0</v>
      </c>
      <c r="O29" s="765">
        <f t="shared" si="4"/>
        <v>247325</v>
      </c>
    </row>
    <row r="30" spans="1:15" ht="24.75" customHeight="1">
      <c r="A30" s="745"/>
      <c r="B30" s="746"/>
      <c r="C30" s="767" t="s">
        <v>471</v>
      </c>
      <c r="D30" s="772" t="s">
        <v>461</v>
      </c>
      <c r="E30" s="773"/>
      <c r="F30" s="774"/>
      <c r="G30" s="726">
        <v>2500</v>
      </c>
      <c r="H30" s="726">
        <v>0</v>
      </c>
      <c r="I30" s="744">
        <f t="shared" si="8"/>
        <v>2500</v>
      </c>
      <c r="J30" s="726"/>
      <c r="K30" s="726"/>
      <c r="L30" s="726">
        <f t="shared" si="3"/>
        <v>0</v>
      </c>
      <c r="M30" s="726">
        <f t="shared" si="7"/>
        <v>2500</v>
      </c>
      <c r="N30" s="726">
        <f t="shared" si="9"/>
        <v>0</v>
      </c>
      <c r="O30" s="726">
        <f t="shared" si="4"/>
        <v>2500</v>
      </c>
    </row>
    <row r="31" spans="1:15" ht="15" customHeight="1">
      <c r="A31" s="745"/>
      <c r="B31" s="746"/>
      <c r="C31" s="767" t="s">
        <v>252</v>
      </c>
      <c r="D31" s="772" t="s">
        <v>462</v>
      </c>
      <c r="E31" s="773"/>
      <c r="F31" s="774"/>
      <c r="G31" s="726">
        <v>2500</v>
      </c>
      <c r="H31" s="726">
        <v>0</v>
      </c>
      <c r="I31" s="744">
        <f t="shared" si="8"/>
        <v>2500</v>
      </c>
      <c r="J31" s="726"/>
      <c r="K31" s="726"/>
      <c r="L31" s="726">
        <f t="shared" si="3"/>
        <v>0</v>
      </c>
      <c r="M31" s="726">
        <f t="shared" si="7"/>
        <v>2500</v>
      </c>
      <c r="N31" s="726">
        <f t="shared" si="9"/>
        <v>0</v>
      </c>
      <c r="O31" s="726">
        <f t="shared" si="4"/>
        <v>2500</v>
      </c>
    </row>
    <row r="32" spans="1:15" ht="24.75" customHeight="1">
      <c r="A32" s="745"/>
      <c r="B32" s="746"/>
      <c r="C32" s="767" t="s">
        <v>253</v>
      </c>
      <c r="D32" s="763" t="s">
        <v>1663</v>
      </c>
      <c r="E32" s="775"/>
      <c r="F32" s="754"/>
      <c r="G32" s="726">
        <v>0</v>
      </c>
      <c r="H32" s="726">
        <v>29000</v>
      </c>
      <c r="I32" s="744">
        <f t="shared" si="8"/>
        <v>29000</v>
      </c>
      <c r="J32" s="726"/>
      <c r="K32" s="726"/>
      <c r="L32" s="726">
        <f t="shared" si="3"/>
        <v>0</v>
      </c>
      <c r="M32" s="726">
        <f t="shared" si="7"/>
        <v>0</v>
      </c>
      <c r="N32" s="726">
        <f t="shared" si="9"/>
        <v>29000</v>
      </c>
      <c r="O32" s="726">
        <f t="shared" si="4"/>
        <v>29000</v>
      </c>
    </row>
    <row r="33" spans="1:15" ht="12.75" customHeight="1">
      <c r="A33" s="776"/>
      <c r="B33" s="777"/>
      <c r="C33" s="778"/>
      <c r="D33" s="779" t="s">
        <v>1041</v>
      </c>
      <c r="E33" s="780"/>
      <c r="F33" s="781"/>
      <c r="G33" s="782">
        <f aca="true" t="shared" si="10" ref="G33:O33">SUM(G11:G32)</f>
        <v>398195</v>
      </c>
      <c r="H33" s="782">
        <f t="shared" si="10"/>
        <v>57427</v>
      </c>
      <c r="I33" s="782">
        <f t="shared" si="10"/>
        <v>455622</v>
      </c>
      <c r="J33" s="782">
        <f t="shared" si="10"/>
        <v>20682</v>
      </c>
      <c r="K33" s="782">
        <f t="shared" si="10"/>
        <v>0</v>
      </c>
      <c r="L33" s="782">
        <f t="shared" si="10"/>
        <v>20682</v>
      </c>
      <c r="M33" s="782">
        <f t="shared" si="10"/>
        <v>418877</v>
      </c>
      <c r="N33" s="782">
        <f t="shared" si="10"/>
        <v>57427</v>
      </c>
      <c r="O33" s="782">
        <f t="shared" si="10"/>
        <v>476304</v>
      </c>
    </row>
    <row r="34" spans="1:15" ht="12.75" customHeight="1">
      <c r="A34" s="783">
        <v>1</v>
      </c>
      <c r="B34" s="784">
        <v>15</v>
      </c>
      <c r="C34" s="764"/>
      <c r="D34" s="785" t="s">
        <v>1350</v>
      </c>
      <c r="E34" s="786"/>
      <c r="F34" s="787"/>
      <c r="G34" s="726"/>
      <c r="H34" s="726"/>
      <c r="I34" s="788"/>
      <c r="J34" s="726"/>
      <c r="K34" s="726"/>
      <c r="L34" s="726"/>
      <c r="M34" s="726"/>
      <c r="N34" s="726"/>
      <c r="O34" s="726"/>
    </row>
    <row r="35" spans="1:15" ht="12.75" customHeight="1">
      <c r="A35" s="783"/>
      <c r="B35" s="784"/>
      <c r="C35" s="789">
        <v>1</v>
      </c>
      <c r="D35" s="785" t="s">
        <v>92</v>
      </c>
      <c r="E35" s="786"/>
      <c r="F35" s="787"/>
      <c r="G35" s="726"/>
      <c r="H35" s="726"/>
      <c r="I35" s="788"/>
      <c r="J35" s="726"/>
      <c r="K35" s="726"/>
      <c r="L35" s="726"/>
      <c r="M35" s="726"/>
      <c r="N35" s="726"/>
      <c r="O35" s="726">
        <f aca="true" t="shared" si="11" ref="O35:O48">SUM(M35:N35)</f>
        <v>0</v>
      </c>
    </row>
    <row r="36" spans="1:15" ht="15" customHeight="1">
      <c r="A36" s="783"/>
      <c r="B36" s="784"/>
      <c r="C36" s="764" t="s">
        <v>682</v>
      </c>
      <c r="D36" s="760" t="s">
        <v>1664</v>
      </c>
      <c r="E36" s="786"/>
      <c r="F36" s="787"/>
      <c r="G36" s="726">
        <v>18800</v>
      </c>
      <c r="H36" s="726">
        <v>0</v>
      </c>
      <c r="I36" s="790">
        <f aca="true" t="shared" si="12" ref="I36:I74">SUM(G36:H36)</f>
        <v>18800</v>
      </c>
      <c r="J36" s="726"/>
      <c r="K36" s="726"/>
      <c r="L36" s="726">
        <f aca="true" t="shared" si="13" ref="L36:L48">SUM(J36:K36)</f>
        <v>0</v>
      </c>
      <c r="M36" s="726">
        <f aca="true" t="shared" si="14" ref="M36:M48">SUM(G36+J36)</f>
        <v>18800</v>
      </c>
      <c r="N36" s="726">
        <f aca="true" t="shared" si="15" ref="N36:N48">SUM(H36+K36)</f>
        <v>0</v>
      </c>
      <c r="O36" s="726">
        <f t="shared" si="11"/>
        <v>18800</v>
      </c>
    </row>
    <row r="37" spans="1:15" ht="15" customHeight="1">
      <c r="A37" s="791"/>
      <c r="B37" s="792"/>
      <c r="C37" s="764" t="s">
        <v>683</v>
      </c>
      <c r="D37" s="760" t="s">
        <v>1062</v>
      </c>
      <c r="E37" s="786"/>
      <c r="F37" s="787"/>
      <c r="G37" s="726">
        <v>700</v>
      </c>
      <c r="H37" s="726">
        <v>0</v>
      </c>
      <c r="I37" s="790">
        <f t="shared" si="12"/>
        <v>700</v>
      </c>
      <c r="J37" s="726"/>
      <c r="K37" s="726"/>
      <c r="L37" s="726">
        <f t="shared" si="13"/>
        <v>0</v>
      </c>
      <c r="M37" s="726">
        <f t="shared" si="14"/>
        <v>700</v>
      </c>
      <c r="N37" s="726">
        <f t="shared" si="15"/>
        <v>0</v>
      </c>
      <c r="O37" s="726">
        <f t="shared" si="11"/>
        <v>700</v>
      </c>
    </row>
    <row r="38" spans="1:15" ht="15" customHeight="1">
      <c r="A38" s="783"/>
      <c r="B38" s="784"/>
      <c r="C38" s="764" t="s">
        <v>684</v>
      </c>
      <c r="D38" s="793" t="s">
        <v>1063</v>
      </c>
      <c r="E38" s="786"/>
      <c r="F38" s="787"/>
      <c r="G38" s="726">
        <v>1000</v>
      </c>
      <c r="H38" s="726">
        <v>0</v>
      </c>
      <c r="I38" s="790">
        <f t="shared" si="12"/>
        <v>1000</v>
      </c>
      <c r="J38" s="726"/>
      <c r="K38" s="726"/>
      <c r="L38" s="726">
        <f t="shared" si="13"/>
        <v>0</v>
      </c>
      <c r="M38" s="726">
        <f t="shared" si="14"/>
        <v>1000</v>
      </c>
      <c r="N38" s="726">
        <f t="shared" si="15"/>
        <v>0</v>
      </c>
      <c r="O38" s="726">
        <f t="shared" si="11"/>
        <v>1000</v>
      </c>
    </row>
    <row r="39" spans="1:15" ht="24.75" customHeight="1">
      <c r="A39" s="783"/>
      <c r="B39" s="784"/>
      <c r="C39" s="764" t="s">
        <v>93</v>
      </c>
      <c r="D39" s="793" t="s">
        <v>1064</v>
      </c>
      <c r="E39" s="786"/>
      <c r="F39" s="787"/>
      <c r="G39" s="726">
        <v>5000</v>
      </c>
      <c r="H39" s="726">
        <v>0</v>
      </c>
      <c r="I39" s="790">
        <f t="shared" si="12"/>
        <v>5000</v>
      </c>
      <c r="J39" s="726"/>
      <c r="K39" s="726"/>
      <c r="L39" s="726">
        <f t="shared" si="13"/>
        <v>0</v>
      </c>
      <c r="M39" s="726">
        <f t="shared" si="14"/>
        <v>5000</v>
      </c>
      <c r="N39" s="726">
        <f t="shared" si="15"/>
        <v>0</v>
      </c>
      <c r="O39" s="726">
        <f t="shared" si="11"/>
        <v>5000</v>
      </c>
    </row>
    <row r="40" spans="1:15" ht="15" customHeight="1">
      <c r="A40" s="783"/>
      <c r="B40" s="784"/>
      <c r="C40" s="764" t="s">
        <v>94</v>
      </c>
      <c r="D40" s="760" t="s">
        <v>1065</v>
      </c>
      <c r="E40" s="786"/>
      <c r="F40" s="787"/>
      <c r="G40" s="726">
        <v>3500</v>
      </c>
      <c r="H40" s="726">
        <v>0</v>
      </c>
      <c r="I40" s="790">
        <f t="shared" si="12"/>
        <v>3500</v>
      </c>
      <c r="J40" s="726"/>
      <c r="K40" s="726"/>
      <c r="L40" s="726">
        <f t="shared" si="13"/>
        <v>0</v>
      </c>
      <c r="M40" s="726">
        <f t="shared" si="14"/>
        <v>3500</v>
      </c>
      <c r="N40" s="726">
        <f t="shared" si="15"/>
        <v>0</v>
      </c>
      <c r="O40" s="726">
        <f t="shared" si="11"/>
        <v>3500</v>
      </c>
    </row>
    <row r="41" spans="1:15" ht="12.75" customHeight="1">
      <c r="A41" s="783"/>
      <c r="B41" s="784"/>
      <c r="C41" s="764" t="s">
        <v>1067</v>
      </c>
      <c r="D41" s="793" t="s">
        <v>1665</v>
      </c>
      <c r="E41" s="786"/>
      <c r="F41" s="787"/>
      <c r="G41" s="726">
        <v>1200</v>
      </c>
      <c r="H41" s="726">
        <v>0</v>
      </c>
      <c r="I41" s="790">
        <f t="shared" si="12"/>
        <v>1200</v>
      </c>
      <c r="J41" s="726"/>
      <c r="K41" s="726"/>
      <c r="L41" s="726">
        <f t="shared" si="13"/>
        <v>0</v>
      </c>
      <c r="M41" s="726">
        <f t="shared" si="14"/>
        <v>1200</v>
      </c>
      <c r="N41" s="726">
        <f t="shared" si="15"/>
        <v>0</v>
      </c>
      <c r="O41" s="726">
        <f t="shared" si="11"/>
        <v>1200</v>
      </c>
    </row>
    <row r="42" spans="1:15" ht="12.75" customHeight="1">
      <c r="A42" s="783"/>
      <c r="B42" s="784"/>
      <c r="C42" s="764" t="s">
        <v>1068</v>
      </c>
      <c r="D42" s="793" t="s">
        <v>262</v>
      </c>
      <c r="E42" s="786"/>
      <c r="F42" s="787"/>
      <c r="G42" s="726">
        <v>1000</v>
      </c>
      <c r="H42" s="726">
        <v>0</v>
      </c>
      <c r="I42" s="790">
        <f t="shared" si="12"/>
        <v>1000</v>
      </c>
      <c r="J42" s="726"/>
      <c r="K42" s="726"/>
      <c r="L42" s="726">
        <f t="shared" si="13"/>
        <v>0</v>
      </c>
      <c r="M42" s="726">
        <f t="shared" si="14"/>
        <v>1000</v>
      </c>
      <c r="N42" s="726">
        <f t="shared" si="15"/>
        <v>0</v>
      </c>
      <c r="O42" s="726">
        <f t="shared" si="11"/>
        <v>1000</v>
      </c>
    </row>
    <row r="43" spans="1:15" ht="12.75" customHeight="1">
      <c r="A43" s="783"/>
      <c r="B43" s="784"/>
      <c r="C43" s="764" t="s">
        <v>1069</v>
      </c>
      <c r="D43" s="760" t="s">
        <v>1040</v>
      </c>
      <c r="E43" s="786"/>
      <c r="F43" s="787"/>
      <c r="G43" s="726">
        <v>1000</v>
      </c>
      <c r="H43" s="726">
        <v>0</v>
      </c>
      <c r="I43" s="790">
        <f t="shared" si="12"/>
        <v>1000</v>
      </c>
      <c r="J43" s="726"/>
      <c r="K43" s="726"/>
      <c r="L43" s="726">
        <f t="shared" si="13"/>
        <v>0</v>
      </c>
      <c r="M43" s="726">
        <f t="shared" si="14"/>
        <v>1000</v>
      </c>
      <c r="N43" s="726">
        <f t="shared" si="15"/>
        <v>0</v>
      </c>
      <c r="O43" s="726">
        <f t="shared" si="11"/>
        <v>1000</v>
      </c>
    </row>
    <row r="44" spans="1:15" ht="12.75" customHeight="1">
      <c r="A44" s="783"/>
      <c r="B44" s="784"/>
      <c r="C44" s="764" t="s">
        <v>1070</v>
      </c>
      <c r="D44" s="760" t="s">
        <v>1066</v>
      </c>
      <c r="E44" s="786"/>
      <c r="F44" s="787"/>
      <c r="G44" s="726">
        <v>1000</v>
      </c>
      <c r="H44" s="726">
        <v>0</v>
      </c>
      <c r="I44" s="790">
        <f t="shared" si="12"/>
        <v>1000</v>
      </c>
      <c r="J44" s="726"/>
      <c r="K44" s="726"/>
      <c r="L44" s="726">
        <f t="shared" si="13"/>
        <v>0</v>
      </c>
      <c r="M44" s="726">
        <f t="shared" si="14"/>
        <v>1000</v>
      </c>
      <c r="N44" s="726">
        <f t="shared" si="15"/>
        <v>0</v>
      </c>
      <c r="O44" s="726">
        <f t="shared" si="11"/>
        <v>1000</v>
      </c>
    </row>
    <row r="45" spans="1:15" ht="12.75" customHeight="1">
      <c r="A45" s="783"/>
      <c r="B45" s="784"/>
      <c r="C45" s="764" t="s">
        <v>819</v>
      </c>
      <c r="D45" s="760" t="s">
        <v>820</v>
      </c>
      <c r="E45" s="786"/>
      <c r="F45" s="787"/>
      <c r="G45" s="726">
        <v>0</v>
      </c>
      <c r="H45" s="726">
        <v>206514</v>
      </c>
      <c r="I45" s="790">
        <f t="shared" si="12"/>
        <v>206514</v>
      </c>
      <c r="J45" s="726"/>
      <c r="K45" s="726"/>
      <c r="L45" s="726">
        <f t="shared" si="13"/>
        <v>0</v>
      </c>
      <c r="M45" s="726">
        <f t="shared" si="14"/>
        <v>0</v>
      </c>
      <c r="N45" s="726">
        <f t="shared" si="15"/>
        <v>206514</v>
      </c>
      <c r="O45" s="726">
        <f t="shared" si="11"/>
        <v>206514</v>
      </c>
    </row>
    <row r="46" spans="1:15" ht="12.75" customHeight="1">
      <c r="A46" s="783"/>
      <c r="B46" s="784"/>
      <c r="C46" s="764" t="s">
        <v>821</v>
      </c>
      <c r="D46" s="794" t="s">
        <v>822</v>
      </c>
      <c r="E46" s="786"/>
      <c r="F46" s="787"/>
      <c r="G46" s="726">
        <v>746</v>
      </c>
      <c r="H46" s="726">
        <v>0</v>
      </c>
      <c r="I46" s="790">
        <f t="shared" si="12"/>
        <v>746</v>
      </c>
      <c r="J46" s="726"/>
      <c r="K46" s="726"/>
      <c r="L46" s="726">
        <f t="shared" si="13"/>
        <v>0</v>
      </c>
      <c r="M46" s="726">
        <f t="shared" si="14"/>
        <v>746</v>
      </c>
      <c r="N46" s="726">
        <f t="shared" si="15"/>
        <v>0</v>
      </c>
      <c r="O46" s="726">
        <f t="shared" si="11"/>
        <v>746</v>
      </c>
    </row>
    <row r="47" spans="1:15" ht="12.75" customHeight="1">
      <c r="A47" s="783"/>
      <c r="B47" s="784"/>
      <c r="C47" s="764"/>
      <c r="D47" s="795" t="s">
        <v>327</v>
      </c>
      <c r="E47" s="786"/>
      <c r="F47" s="787"/>
      <c r="G47" s="726">
        <v>0</v>
      </c>
      <c r="H47" s="726">
        <v>0</v>
      </c>
      <c r="I47" s="790">
        <f t="shared" si="12"/>
        <v>0</v>
      </c>
      <c r="J47" s="726"/>
      <c r="K47" s="726"/>
      <c r="L47" s="726">
        <f t="shared" si="13"/>
        <v>0</v>
      </c>
      <c r="M47" s="726">
        <f t="shared" si="14"/>
        <v>0</v>
      </c>
      <c r="N47" s="726">
        <f t="shared" si="15"/>
        <v>0</v>
      </c>
      <c r="O47" s="726">
        <f t="shared" si="11"/>
        <v>0</v>
      </c>
    </row>
    <row r="48" spans="1:15" ht="12.75" customHeight="1">
      <c r="A48" s="783"/>
      <c r="B48" s="784"/>
      <c r="C48" s="764" t="s">
        <v>290</v>
      </c>
      <c r="D48" s="796" t="s">
        <v>463</v>
      </c>
      <c r="E48" s="797"/>
      <c r="F48" s="798"/>
      <c r="G48" s="726">
        <v>18326</v>
      </c>
      <c r="H48" s="726">
        <v>0</v>
      </c>
      <c r="I48" s="790">
        <f t="shared" si="12"/>
        <v>18326</v>
      </c>
      <c r="J48" s="726"/>
      <c r="K48" s="726"/>
      <c r="L48" s="726">
        <f t="shared" si="13"/>
        <v>0</v>
      </c>
      <c r="M48" s="726">
        <f t="shared" si="14"/>
        <v>18326</v>
      </c>
      <c r="N48" s="726">
        <f t="shared" si="15"/>
        <v>0</v>
      </c>
      <c r="O48" s="726">
        <f t="shared" si="11"/>
        <v>18326</v>
      </c>
    </row>
    <row r="49" spans="1:15" ht="12.75" customHeight="1">
      <c r="A49" s="783"/>
      <c r="B49" s="784"/>
      <c r="C49" s="799" t="s">
        <v>681</v>
      </c>
      <c r="D49" s="800" t="s">
        <v>1578</v>
      </c>
      <c r="E49" s="786"/>
      <c r="F49" s="787"/>
      <c r="G49" s="726"/>
      <c r="H49" s="726"/>
      <c r="I49" s="790">
        <f t="shared" si="12"/>
        <v>0</v>
      </c>
      <c r="J49" s="726"/>
      <c r="K49" s="726"/>
      <c r="L49" s="726"/>
      <c r="M49" s="726"/>
      <c r="N49" s="726"/>
      <c r="O49" s="726"/>
    </row>
    <row r="50" spans="1:15" ht="12.75" customHeight="1">
      <c r="A50" s="783"/>
      <c r="B50" s="784"/>
      <c r="C50" s="764" t="s">
        <v>283</v>
      </c>
      <c r="D50" s="796" t="s">
        <v>1038</v>
      </c>
      <c r="E50" s="786"/>
      <c r="F50" s="787"/>
      <c r="G50" s="726">
        <v>3000</v>
      </c>
      <c r="H50" s="726">
        <v>0</v>
      </c>
      <c r="I50" s="790">
        <f t="shared" si="12"/>
        <v>3000</v>
      </c>
      <c r="J50" s="726"/>
      <c r="K50" s="726"/>
      <c r="L50" s="726">
        <f>SUM(J50:K50)</f>
        <v>0</v>
      </c>
      <c r="M50" s="726">
        <f aca="true" t="shared" si="16" ref="M50:N54">SUM(G50+J50)</f>
        <v>3000</v>
      </c>
      <c r="N50" s="726">
        <f t="shared" si="16"/>
        <v>0</v>
      </c>
      <c r="O50" s="726">
        <f>SUM(M50:N50)</f>
        <v>3000</v>
      </c>
    </row>
    <row r="51" spans="1:15" ht="12.75" customHeight="1">
      <c r="A51" s="783"/>
      <c r="B51" s="784"/>
      <c r="C51" s="764" t="s">
        <v>717</v>
      </c>
      <c r="D51" s="801" t="s">
        <v>1089</v>
      </c>
      <c r="E51" s="786"/>
      <c r="F51" s="787"/>
      <c r="G51" s="726">
        <v>57864</v>
      </c>
      <c r="H51" s="726">
        <v>0</v>
      </c>
      <c r="I51" s="790">
        <f t="shared" si="12"/>
        <v>57864</v>
      </c>
      <c r="J51" s="726"/>
      <c r="K51" s="726"/>
      <c r="L51" s="726">
        <f>SUM(J51:K51)</f>
        <v>0</v>
      </c>
      <c r="M51" s="726">
        <f t="shared" si="16"/>
        <v>57864</v>
      </c>
      <c r="N51" s="726">
        <f t="shared" si="16"/>
        <v>0</v>
      </c>
      <c r="O51" s="726">
        <f>SUM(M51:N51)</f>
        <v>57864</v>
      </c>
    </row>
    <row r="52" spans="1:15" ht="12.75" customHeight="1">
      <c r="A52" s="783"/>
      <c r="B52" s="784"/>
      <c r="C52" s="764" t="s">
        <v>671</v>
      </c>
      <c r="D52" s="802" t="s">
        <v>823</v>
      </c>
      <c r="E52" s="786"/>
      <c r="F52" s="787" t="s">
        <v>809</v>
      </c>
      <c r="G52" s="726">
        <v>0</v>
      </c>
      <c r="H52" s="726">
        <v>33986</v>
      </c>
      <c r="I52" s="790">
        <f t="shared" si="12"/>
        <v>33986</v>
      </c>
      <c r="J52" s="726"/>
      <c r="K52" s="726">
        <v>-33986</v>
      </c>
      <c r="L52" s="726">
        <f>SUM(J52:K52)</f>
        <v>-33986</v>
      </c>
      <c r="M52" s="726">
        <f t="shared" si="16"/>
        <v>0</v>
      </c>
      <c r="N52" s="726">
        <f t="shared" si="16"/>
        <v>0</v>
      </c>
      <c r="O52" s="726">
        <f>SUM(M52:N52)</f>
        <v>0</v>
      </c>
    </row>
    <row r="53" spans="1:15" ht="15" customHeight="1">
      <c r="A53" s="783"/>
      <c r="B53" s="784"/>
      <c r="C53" s="764"/>
      <c r="D53" s="795" t="s">
        <v>327</v>
      </c>
      <c r="E53" s="786"/>
      <c r="F53" s="787"/>
      <c r="G53" s="726">
        <v>0</v>
      </c>
      <c r="H53" s="726">
        <v>0</v>
      </c>
      <c r="I53" s="790">
        <f t="shared" si="12"/>
        <v>0</v>
      </c>
      <c r="J53" s="726"/>
      <c r="K53" s="726"/>
      <c r="L53" s="726">
        <f>SUM(J53:K53)</f>
        <v>0</v>
      </c>
      <c r="M53" s="726">
        <f t="shared" si="16"/>
        <v>0</v>
      </c>
      <c r="N53" s="726">
        <f t="shared" si="16"/>
        <v>0</v>
      </c>
      <c r="O53" s="726">
        <f>SUM(M53:N53)</f>
        <v>0</v>
      </c>
    </row>
    <row r="54" spans="1:15" ht="24.75" customHeight="1">
      <c r="A54" s="783"/>
      <c r="B54" s="784"/>
      <c r="C54" s="764" t="s">
        <v>715</v>
      </c>
      <c r="D54" s="803" t="s">
        <v>254</v>
      </c>
      <c r="E54" s="786"/>
      <c r="F54" s="787"/>
      <c r="G54" s="726">
        <v>0</v>
      </c>
      <c r="H54" s="726">
        <v>355893</v>
      </c>
      <c r="I54" s="790">
        <f t="shared" si="12"/>
        <v>355893</v>
      </c>
      <c r="J54" s="726"/>
      <c r="K54" s="726"/>
      <c r="L54" s="726">
        <f>SUM(J54:K54)</f>
        <v>0</v>
      </c>
      <c r="M54" s="726">
        <f t="shared" si="16"/>
        <v>0</v>
      </c>
      <c r="N54" s="726">
        <f t="shared" si="16"/>
        <v>355893</v>
      </c>
      <c r="O54" s="726">
        <f>SUM(M54:N54)</f>
        <v>355893</v>
      </c>
    </row>
    <row r="55" spans="1:15" ht="12.75" customHeight="1">
      <c r="A55" s="783"/>
      <c r="B55" s="784"/>
      <c r="C55" s="804" t="s">
        <v>686</v>
      </c>
      <c r="D55" s="805" t="s">
        <v>1609</v>
      </c>
      <c r="E55" s="786"/>
      <c r="F55" s="787"/>
      <c r="G55" s="726"/>
      <c r="H55" s="726"/>
      <c r="I55" s="790">
        <f t="shared" si="12"/>
        <v>0</v>
      </c>
      <c r="J55" s="726"/>
      <c r="K55" s="726"/>
      <c r="L55" s="726"/>
      <c r="M55" s="726"/>
      <c r="N55" s="726"/>
      <c r="O55" s="726"/>
    </row>
    <row r="56" spans="1:15" ht="12.75" customHeight="1">
      <c r="A56" s="783"/>
      <c r="B56" s="784"/>
      <c r="C56" s="764" t="s">
        <v>687</v>
      </c>
      <c r="D56" s="793" t="s">
        <v>255</v>
      </c>
      <c r="E56" s="786"/>
      <c r="F56" s="787"/>
      <c r="G56" s="726">
        <v>800</v>
      </c>
      <c r="H56" s="726">
        <v>0</v>
      </c>
      <c r="I56" s="790">
        <f t="shared" si="12"/>
        <v>800</v>
      </c>
      <c r="J56" s="726"/>
      <c r="K56" s="726"/>
      <c r="L56" s="726">
        <f aca="true" t="shared" si="17" ref="L56:L66">SUM(J56:K56)</f>
        <v>0</v>
      </c>
      <c r="M56" s="726">
        <f aca="true" t="shared" si="18" ref="M56:M66">SUM(G56+J56)</f>
        <v>800</v>
      </c>
      <c r="N56" s="726">
        <f aca="true" t="shared" si="19" ref="N56:N66">SUM(H56+K56)</f>
        <v>0</v>
      </c>
      <c r="O56" s="726">
        <f aca="true" t="shared" si="20" ref="O56:O66">SUM(M56:N56)</f>
        <v>800</v>
      </c>
    </row>
    <row r="57" spans="1:15" ht="12.75" customHeight="1">
      <c r="A57" s="783"/>
      <c r="B57" s="784"/>
      <c r="C57" s="764" t="s">
        <v>668</v>
      </c>
      <c r="D57" s="806" t="s">
        <v>1043</v>
      </c>
      <c r="E57" s="807"/>
      <c r="F57" s="808"/>
      <c r="G57" s="726">
        <v>10000</v>
      </c>
      <c r="H57" s="726">
        <v>0</v>
      </c>
      <c r="I57" s="790">
        <f t="shared" si="12"/>
        <v>10000</v>
      </c>
      <c r="J57" s="726"/>
      <c r="K57" s="726"/>
      <c r="L57" s="726">
        <f t="shared" si="17"/>
        <v>0</v>
      </c>
      <c r="M57" s="726">
        <f t="shared" si="18"/>
        <v>10000</v>
      </c>
      <c r="N57" s="726">
        <f t="shared" si="19"/>
        <v>0</v>
      </c>
      <c r="O57" s="726">
        <f t="shared" si="20"/>
        <v>10000</v>
      </c>
    </row>
    <row r="58" spans="1:15" ht="12.75" customHeight="1">
      <c r="A58" s="783"/>
      <c r="B58" s="784"/>
      <c r="C58" s="764" t="s">
        <v>735</v>
      </c>
      <c r="D58" s="809" t="s">
        <v>1044</v>
      </c>
      <c r="E58" s="807"/>
      <c r="F58" s="808"/>
      <c r="G58" s="726">
        <v>0</v>
      </c>
      <c r="H58" s="726">
        <v>0</v>
      </c>
      <c r="I58" s="790">
        <f t="shared" si="12"/>
        <v>0</v>
      </c>
      <c r="J58" s="726"/>
      <c r="K58" s="726"/>
      <c r="L58" s="726">
        <f t="shared" si="17"/>
        <v>0</v>
      </c>
      <c r="M58" s="726">
        <f t="shared" si="18"/>
        <v>0</v>
      </c>
      <c r="N58" s="726">
        <f t="shared" si="19"/>
        <v>0</v>
      </c>
      <c r="O58" s="726">
        <f t="shared" si="20"/>
        <v>0</v>
      </c>
    </row>
    <row r="59" spans="1:15" ht="37.5" customHeight="1">
      <c r="A59" s="783"/>
      <c r="B59" s="784"/>
      <c r="C59" s="764" t="s">
        <v>736</v>
      </c>
      <c r="D59" s="809" t="s">
        <v>1045</v>
      </c>
      <c r="E59" s="807"/>
      <c r="F59" s="808"/>
      <c r="G59" s="726">
        <v>1000</v>
      </c>
      <c r="H59" s="726">
        <v>0</v>
      </c>
      <c r="I59" s="790">
        <f t="shared" si="12"/>
        <v>1000</v>
      </c>
      <c r="J59" s="726"/>
      <c r="K59" s="726"/>
      <c r="L59" s="726">
        <f t="shared" si="17"/>
        <v>0</v>
      </c>
      <c r="M59" s="726">
        <f t="shared" si="18"/>
        <v>1000</v>
      </c>
      <c r="N59" s="726">
        <f t="shared" si="19"/>
        <v>0</v>
      </c>
      <c r="O59" s="726">
        <f t="shared" si="20"/>
        <v>1000</v>
      </c>
    </row>
    <row r="60" spans="1:15" ht="12.75" customHeight="1">
      <c r="A60" s="783"/>
      <c r="B60" s="784"/>
      <c r="C60" s="764" t="s">
        <v>1051</v>
      </c>
      <c r="D60" s="809" t="s">
        <v>1046</v>
      </c>
      <c r="E60" s="807"/>
      <c r="F60" s="808"/>
      <c r="G60" s="726">
        <v>1200</v>
      </c>
      <c r="H60" s="726">
        <v>0</v>
      </c>
      <c r="I60" s="790">
        <f t="shared" si="12"/>
        <v>1200</v>
      </c>
      <c r="J60" s="726"/>
      <c r="K60" s="726"/>
      <c r="L60" s="726">
        <f t="shared" si="17"/>
        <v>0</v>
      </c>
      <c r="M60" s="726">
        <f t="shared" si="18"/>
        <v>1200</v>
      </c>
      <c r="N60" s="726">
        <f t="shared" si="19"/>
        <v>0</v>
      </c>
      <c r="O60" s="726">
        <f t="shared" si="20"/>
        <v>1200</v>
      </c>
    </row>
    <row r="61" spans="1:15" ht="12.75" customHeight="1">
      <c r="A61" s="783"/>
      <c r="B61" s="784"/>
      <c r="C61" s="764" t="s">
        <v>1052</v>
      </c>
      <c r="D61" s="809" t="s">
        <v>1047</v>
      </c>
      <c r="E61" s="807"/>
      <c r="F61" s="808"/>
      <c r="G61" s="726">
        <v>1200</v>
      </c>
      <c r="H61" s="726">
        <v>0</v>
      </c>
      <c r="I61" s="790">
        <f t="shared" si="12"/>
        <v>1200</v>
      </c>
      <c r="J61" s="726"/>
      <c r="K61" s="726"/>
      <c r="L61" s="726">
        <f t="shared" si="17"/>
        <v>0</v>
      </c>
      <c r="M61" s="726">
        <f t="shared" si="18"/>
        <v>1200</v>
      </c>
      <c r="N61" s="726">
        <f t="shared" si="19"/>
        <v>0</v>
      </c>
      <c r="O61" s="726">
        <f t="shared" si="20"/>
        <v>1200</v>
      </c>
    </row>
    <row r="62" spans="1:15" ht="12.75" customHeight="1">
      <c r="A62" s="783"/>
      <c r="B62" s="784"/>
      <c r="C62" s="764" t="s">
        <v>629</v>
      </c>
      <c r="D62" s="809" t="s">
        <v>1048</v>
      </c>
      <c r="E62" s="807"/>
      <c r="F62" s="808"/>
      <c r="G62" s="726">
        <v>1000</v>
      </c>
      <c r="H62" s="726">
        <v>0</v>
      </c>
      <c r="I62" s="790">
        <f t="shared" si="12"/>
        <v>1000</v>
      </c>
      <c r="J62" s="726"/>
      <c r="K62" s="726"/>
      <c r="L62" s="726">
        <f t="shared" si="17"/>
        <v>0</v>
      </c>
      <c r="M62" s="726">
        <f t="shared" si="18"/>
        <v>1000</v>
      </c>
      <c r="N62" s="726">
        <f t="shared" si="19"/>
        <v>0</v>
      </c>
      <c r="O62" s="726">
        <f t="shared" si="20"/>
        <v>1000</v>
      </c>
    </row>
    <row r="63" spans="1:15" ht="12.75" customHeight="1">
      <c r="A63" s="783"/>
      <c r="B63" s="784"/>
      <c r="C63" s="764" t="s">
        <v>824</v>
      </c>
      <c r="D63" s="809" t="s">
        <v>825</v>
      </c>
      <c r="E63" s="807"/>
      <c r="F63" s="808"/>
      <c r="G63" s="726">
        <v>1400</v>
      </c>
      <c r="H63" s="726">
        <v>0</v>
      </c>
      <c r="I63" s="790">
        <f t="shared" si="12"/>
        <v>1400</v>
      </c>
      <c r="J63" s="726"/>
      <c r="K63" s="726"/>
      <c r="L63" s="726">
        <f t="shared" si="17"/>
        <v>0</v>
      </c>
      <c r="M63" s="726">
        <f t="shared" si="18"/>
        <v>1400</v>
      </c>
      <c r="N63" s="726">
        <f t="shared" si="19"/>
        <v>0</v>
      </c>
      <c r="O63" s="726">
        <f t="shared" si="20"/>
        <v>1400</v>
      </c>
    </row>
    <row r="64" spans="1:15" ht="12.75" customHeight="1">
      <c r="A64" s="783"/>
      <c r="B64" s="784"/>
      <c r="C64" s="764" t="s">
        <v>826</v>
      </c>
      <c r="D64" s="810" t="s">
        <v>827</v>
      </c>
      <c r="E64" s="807"/>
      <c r="F64" s="808"/>
      <c r="G64" s="726">
        <v>0</v>
      </c>
      <c r="H64" s="726">
        <v>24</v>
      </c>
      <c r="I64" s="790">
        <f t="shared" si="12"/>
        <v>24</v>
      </c>
      <c r="J64" s="726"/>
      <c r="K64" s="726"/>
      <c r="L64" s="726">
        <f t="shared" si="17"/>
        <v>0</v>
      </c>
      <c r="M64" s="726">
        <f t="shared" si="18"/>
        <v>0</v>
      </c>
      <c r="N64" s="726">
        <f t="shared" si="19"/>
        <v>24</v>
      </c>
      <c r="O64" s="726">
        <f t="shared" si="20"/>
        <v>24</v>
      </c>
    </row>
    <row r="65" spans="1:15" ht="12.75" customHeight="1">
      <c r="A65" s="783"/>
      <c r="B65" s="784"/>
      <c r="C65" s="804"/>
      <c r="D65" s="795" t="s">
        <v>327</v>
      </c>
      <c r="E65" s="786"/>
      <c r="F65" s="787"/>
      <c r="G65" s="726">
        <v>0</v>
      </c>
      <c r="H65" s="726">
        <v>0</v>
      </c>
      <c r="I65" s="790">
        <f t="shared" si="12"/>
        <v>0</v>
      </c>
      <c r="J65" s="726"/>
      <c r="K65" s="726"/>
      <c r="L65" s="726">
        <f t="shared" si="17"/>
        <v>0</v>
      </c>
      <c r="M65" s="726">
        <f t="shared" si="18"/>
        <v>0</v>
      </c>
      <c r="N65" s="726">
        <f t="shared" si="19"/>
        <v>0</v>
      </c>
      <c r="O65" s="726">
        <f t="shared" si="20"/>
        <v>0</v>
      </c>
    </row>
    <row r="66" spans="1:15" ht="12.75" customHeight="1">
      <c r="A66" s="783"/>
      <c r="B66" s="784"/>
      <c r="C66" s="811" t="s">
        <v>1049</v>
      </c>
      <c r="D66" s="812" t="s">
        <v>464</v>
      </c>
      <c r="E66" s="786"/>
      <c r="F66" s="787"/>
      <c r="G66" s="726">
        <v>2653</v>
      </c>
      <c r="H66" s="726">
        <v>0</v>
      </c>
      <c r="I66" s="790">
        <f t="shared" si="12"/>
        <v>2653</v>
      </c>
      <c r="J66" s="726"/>
      <c r="K66" s="726"/>
      <c r="L66" s="726">
        <f t="shared" si="17"/>
        <v>0</v>
      </c>
      <c r="M66" s="726">
        <f t="shared" si="18"/>
        <v>2653</v>
      </c>
      <c r="N66" s="726">
        <f t="shared" si="19"/>
        <v>0</v>
      </c>
      <c r="O66" s="726">
        <f t="shared" si="20"/>
        <v>2653</v>
      </c>
    </row>
    <row r="67" spans="1:15" ht="12.75" customHeight="1">
      <c r="A67" s="783"/>
      <c r="B67" s="784"/>
      <c r="C67" s="804" t="s">
        <v>688</v>
      </c>
      <c r="D67" s="813" t="s">
        <v>689</v>
      </c>
      <c r="E67" s="786"/>
      <c r="F67" s="787"/>
      <c r="G67" s="726"/>
      <c r="H67" s="726"/>
      <c r="I67" s="790">
        <f t="shared" si="12"/>
        <v>0</v>
      </c>
      <c r="J67" s="726"/>
      <c r="K67" s="726"/>
      <c r="L67" s="726"/>
      <c r="M67" s="726"/>
      <c r="N67" s="726"/>
      <c r="O67" s="726"/>
    </row>
    <row r="68" spans="1:15" ht="12.75" customHeight="1">
      <c r="A68" s="783"/>
      <c r="B68" s="784"/>
      <c r="C68" s="764" t="s">
        <v>690</v>
      </c>
      <c r="D68" s="814" t="s">
        <v>195</v>
      </c>
      <c r="E68" s="786"/>
      <c r="F68" s="787"/>
      <c r="G68" s="726">
        <v>9862</v>
      </c>
      <c r="H68" s="726">
        <v>0</v>
      </c>
      <c r="I68" s="790">
        <f t="shared" si="12"/>
        <v>9862</v>
      </c>
      <c r="J68" s="726"/>
      <c r="K68" s="726"/>
      <c r="L68" s="726">
        <f aca="true" t="shared" si="21" ref="L68:L75">SUM(J68:K68)</f>
        <v>0</v>
      </c>
      <c r="M68" s="726">
        <f aca="true" t="shared" si="22" ref="M68:N74">SUM(G68+J68)</f>
        <v>9862</v>
      </c>
      <c r="N68" s="726">
        <f t="shared" si="22"/>
        <v>0</v>
      </c>
      <c r="O68" s="726">
        <f aca="true" t="shared" si="23" ref="O68:O75">SUM(M68:N68)</f>
        <v>9862</v>
      </c>
    </row>
    <row r="69" spans="1:15" ht="12.75" customHeight="1">
      <c r="A69" s="783"/>
      <c r="B69" s="784"/>
      <c r="C69" s="764" t="s">
        <v>1509</v>
      </c>
      <c r="D69" s="814" t="s">
        <v>390</v>
      </c>
      <c r="E69" s="786"/>
      <c r="F69" s="787"/>
      <c r="G69" s="726">
        <v>8000</v>
      </c>
      <c r="H69" s="726">
        <v>0</v>
      </c>
      <c r="I69" s="790">
        <f t="shared" si="12"/>
        <v>8000</v>
      </c>
      <c r="J69" s="726"/>
      <c r="K69" s="726"/>
      <c r="L69" s="726">
        <f t="shared" si="21"/>
        <v>0</v>
      </c>
      <c r="M69" s="726">
        <f t="shared" si="22"/>
        <v>8000</v>
      </c>
      <c r="N69" s="726">
        <f t="shared" si="22"/>
        <v>0</v>
      </c>
      <c r="O69" s="726">
        <f t="shared" si="23"/>
        <v>8000</v>
      </c>
    </row>
    <row r="70" spans="1:15" ht="12.75" customHeight="1">
      <c r="A70" s="783"/>
      <c r="B70" s="784"/>
      <c r="C70" s="764" t="s">
        <v>1510</v>
      </c>
      <c r="D70" s="814" t="s">
        <v>393</v>
      </c>
      <c r="E70" s="786"/>
      <c r="F70" s="787"/>
      <c r="G70" s="726">
        <v>3000</v>
      </c>
      <c r="H70" s="726">
        <v>0</v>
      </c>
      <c r="I70" s="790">
        <f t="shared" si="12"/>
        <v>3000</v>
      </c>
      <c r="J70" s="726"/>
      <c r="K70" s="726"/>
      <c r="L70" s="726">
        <f t="shared" si="21"/>
        <v>0</v>
      </c>
      <c r="M70" s="726">
        <f t="shared" si="22"/>
        <v>3000</v>
      </c>
      <c r="N70" s="726">
        <f t="shared" si="22"/>
        <v>0</v>
      </c>
      <c r="O70" s="726">
        <f t="shared" si="23"/>
        <v>3000</v>
      </c>
    </row>
    <row r="71" spans="1:15" ht="12.75" customHeight="1">
      <c r="A71" s="783"/>
      <c r="B71" s="784"/>
      <c r="C71" s="764" t="s">
        <v>1511</v>
      </c>
      <c r="D71" s="801" t="s">
        <v>395</v>
      </c>
      <c r="E71" s="786"/>
      <c r="F71" s="787" t="s">
        <v>828</v>
      </c>
      <c r="G71" s="726">
        <v>1000</v>
      </c>
      <c r="H71" s="726">
        <v>0</v>
      </c>
      <c r="I71" s="790">
        <f t="shared" si="12"/>
        <v>1000</v>
      </c>
      <c r="J71" s="726">
        <v>2918</v>
      </c>
      <c r="K71" s="726"/>
      <c r="L71" s="726">
        <f t="shared" si="21"/>
        <v>2918</v>
      </c>
      <c r="M71" s="726">
        <f t="shared" si="22"/>
        <v>3918</v>
      </c>
      <c r="N71" s="726">
        <f t="shared" si="22"/>
        <v>0</v>
      </c>
      <c r="O71" s="726">
        <f t="shared" si="23"/>
        <v>3918</v>
      </c>
    </row>
    <row r="72" spans="1:15" ht="12.75" customHeight="1">
      <c r="A72" s="783"/>
      <c r="B72" s="784"/>
      <c r="C72" s="764" t="s">
        <v>1512</v>
      </c>
      <c r="D72" s="814" t="s">
        <v>396</v>
      </c>
      <c r="E72" s="786"/>
      <c r="F72" s="787"/>
      <c r="G72" s="726">
        <v>2000</v>
      </c>
      <c r="H72" s="726">
        <v>0</v>
      </c>
      <c r="I72" s="790">
        <f t="shared" si="12"/>
        <v>2000</v>
      </c>
      <c r="J72" s="726"/>
      <c r="K72" s="726"/>
      <c r="L72" s="726">
        <f t="shared" si="21"/>
        <v>0</v>
      </c>
      <c r="M72" s="726">
        <f t="shared" si="22"/>
        <v>2000</v>
      </c>
      <c r="N72" s="726">
        <f t="shared" si="22"/>
        <v>0</v>
      </c>
      <c r="O72" s="726">
        <f t="shared" si="23"/>
        <v>2000</v>
      </c>
    </row>
    <row r="73" spans="1:15" ht="12.75" customHeight="1">
      <c r="A73" s="783"/>
      <c r="B73" s="784"/>
      <c r="C73" s="764" t="s">
        <v>1513</v>
      </c>
      <c r="D73" s="815" t="s">
        <v>398</v>
      </c>
      <c r="E73" s="786"/>
      <c r="F73" s="787"/>
      <c r="G73" s="726">
        <v>2000</v>
      </c>
      <c r="H73" s="726">
        <v>0</v>
      </c>
      <c r="I73" s="790">
        <f t="shared" si="12"/>
        <v>2000</v>
      </c>
      <c r="J73" s="726"/>
      <c r="K73" s="726"/>
      <c r="L73" s="726">
        <f t="shared" si="21"/>
        <v>0</v>
      </c>
      <c r="M73" s="726">
        <f t="shared" si="22"/>
        <v>2000</v>
      </c>
      <c r="N73" s="726">
        <f t="shared" si="22"/>
        <v>0</v>
      </c>
      <c r="O73" s="726">
        <f t="shared" si="23"/>
        <v>2000</v>
      </c>
    </row>
    <row r="74" spans="1:15" ht="12.75" customHeight="1">
      <c r="A74" s="783"/>
      <c r="B74" s="784"/>
      <c r="C74" s="764" t="s">
        <v>1170</v>
      </c>
      <c r="D74" s="814" t="s">
        <v>399</v>
      </c>
      <c r="E74" s="786"/>
      <c r="F74" s="787"/>
      <c r="G74" s="726">
        <v>10000</v>
      </c>
      <c r="H74" s="726">
        <v>0</v>
      </c>
      <c r="I74" s="790">
        <f t="shared" si="12"/>
        <v>10000</v>
      </c>
      <c r="J74" s="726"/>
      <c r="K74" s="726"/>
      <c r="L74" s="726">
        <f t="shared" si="21"/>
        <v>0</v>
      </c>
      <c r="M74" s="726">
        <f t="shared" si="22"/>
        <v>10000</v>
      </c>
      <c r="N74" s="726">
        <f t="shared" si="22"/>
        <v>0</v>
      </c>
      <c r="O74" s="726">
        <f t="shared" si="23"/>
        <v>10000</v>
      </c>
    </row>
    <row r="75" spans="1:15" ht="12.75" customHeight="1">
      <c r="A75" s="783"/>
      <c r="B75" s="784"/>
      <c r="C75" s="764" t="s">
        <v>549</v>
      </c>
      <c r="D75" s="801" t="s">
        <v>551</v>
      </c>
      <c r="E75" s="786"/>
      <c r="F75" s="787" t="s">
        <v>828</v>
      </c>
      <c r="G75" s="726"/>
      <c r="H75" s="726"/>
      <c r="I75" s="790"/>
      <c r="J75" s="726">
        <v>400</v>
      </c>
      <c r="K75" s="726"/>
      <c r="L75" s="726">
        <f t="shared" si="21"/>
        <v>400</v>
      </c>
      <c r="M75" s="726">
        <f>SUM(G75+J75)</f>
        <v>400</v>
      </c>
      <c r="N75" s="726"/>
      <c r="O75" s="726">
        <f t="shared" si="23"/>
        <v>400</v>
      </c>
    </row>
    <row r="76" spans="1:15" ht="12.75" customHeight="1">
      <c r="A76" s="783"/>
      <c r="B76" s="784"/>
      <c r="C76" s="804"/>
      <c r="D76" s="795" t="s">
        <v>327</v>
      </c>
      <c r="E76" s="786"/>
      <c r="F76" s="787"/>
      <c r="G76" s="726"/>
      <c r="H76" s="726"/>
      <c r="I76" s="790">
        <f aca="true" t="shared" si="24" ref="I76:I122">SUM(G76:H76)</f>
        <v>0</v>
      </c>
      <c r="J76" s="726"/>
      <c r="K76" s="726"/>
      <c r="L76" s="726"/>
      <c r="M76" s="726"/>
      <c r="N76" s="726"/>
      <c r="O76" s="726"/>
    </row>
    <row r="77" spans="1:15" ht="24.75" customHeight="1">
      <c r="A77" s="791"/>
      <c r="B77" s="792"/>
      <c r="C77" s="764" t="s">
        <v>286</v>
      </c>
      <c r="D77" s="816" t="s">
        <v>946</v>
      </c>
      <c r="E77" s="786"/>
      <c r="F77" s="787"/>
      <c r="G77" s="726">
        <v>1415</v>
      </c>
      <c r="H77" s="726">
        <v>0</v>
      </c>
      <c r="I77" s="790">
        <f t="shared" si="24"/>
        <v>1415</v>
      </c>
      <c r="J77" s="726"/>
      <c r="K77" s="726"/>
      <c r="L77" s="726">
        <f>SUM(J77:K77)</f>
        <v>0</v>
      </c>
      <c r="M77" s="726">
        <f aca="true" t="shared" si="25" ref="M77:N79">SUM(G77+J77)</f>
        <v>1415</v>
      </c>
      <c r="N77" s="726">
        <f t="shared" si="25"/>
        <v>0</v>
      </c>
      <c r="O77" s="726">
        <f>SUM(M77:N77)</f>
        <v>1415</v>
      </c>
    </row>
    <row r="78" spans="1:15" ht="15" customHeight="1">
      <c r="A78" s="783"/>
      <c r="B78" s="784"/>
      <c r="C78" s="764" t="s">
        <v>1509</v>
      </c>
      <c r="D78" s="817" t="s">
        <v>256</v>
      </c>
      <c r="E78" s="786"/>
      <c r="F78" s="787"/>
      <c r="G78" s="726">
        <v>1987</v>
      </c>
      <c r="H78" s="726">
        <v>0</v>
      </c>
      <c r="I78" s="790">
        <f t="shared" si="24"/>
        <v>1987</v>
      </c>
      <c r="J78" s="726"/>
      <c r="K78" s="726"/>
      <c r="L78" s="726">
        <f>SUM(J78:K78)</f>
        <v>0</v>
      </c>
      <c r="M78" s="726">
        <f t="shared" si="25"/>
        <v>1987</v>
      </c>
      <c r="N78" s="726">
        <f t="shared" si="25"/>
        <v>0</v>
      </c>
      <c r="O78" s="726">
        <f>SUM(M78:N78)</f>
        <v>1987</v>
      </c>
    </row>
    <row r="79" spans="1:15" ht="12.75" customHeight="1">
      <c r="A79" s="783"/>
      <c r="B79" s="784"/>
      <c r="C79" s="764" t="s">
        <v>1510</v>
      </c>
      <c r="D79" s="816" t="s">
        <v>465</v>
      </c>
      <c r="E79" s="786"/>
      <c r="F79" s="787"/>
      <c r="G79" s="726">
        <v>1380</v>
      </c>
      <c r="H79" s="726">
        <v>0</v>
      </c>
      <c r="I79" s="790">
        <f t="shared" si="24"/>
        <v>1380</v>
      </c>
      <c r="J79" s="726"/>
      <c r="K79" s="726"/>
      <c r="L79" s="726">
        <f>SUM(J79:K79)</f>
        <v>0</v>
      </c>
      <c r="M79" s="726">
        <f t="shared" si="25"/>
        <v>1380</v>
      </c>
      <c r="N79" s="726">
        <f t="shared" si="25"/>
        <v>0</v>
      </c>
      <c r="O79" s="726">
        <f>SUM(M79:N79)</f>
        <v>1380</v>
      </c>
    </row>
    <row r="80" spans="1:15" ht="12.75" customHeight="1">
      <c r="A80" s="783"/>
      <c r="B80" s="784"/>
      <c r="C80" s="804" t="s">
        <v>1180</v>
      </c>
      <c r="D80" s="805" t="s">
        <v>1342</v>
      </c>
      <c r="E80" s="786"/>
      <c r="F80" s="787"/>
      <c r="G80" s="726"/>
      <c r="H80" s="726"/>
      <c r="I80" s="790">
        <f t="shared" si="24"/>
        <v>0</v>
      </c>
      <c r="J80" s="726"/>
      <c r="K80" s="726"/>
      <c r="L80" s="726"/>
      <c r="M80" s="726"/>
      <c r="N80" s="726"/>
      <c r="O80" s="726"/>
    </row>
    <row r="81" spans="1:15" ht="12.75" customHeight="1">
      <c r="A81" s="783"/>
      <c r="B81" s="784"/>
      <c r="C81" s="811" t="s">
        <v>1177</v>
      </c>
      <c r="D81" s="818" t="s">
        <v>1057</v>
      </c>
      <c r="E81" s="786"/>
      <c r="F81" s="787"/>
      <c r="G81" s="726">
        <v>2000</v>
      </c>
      <c r="H81" s="726">
        <v>0</v>
      </c>
      <c r="I81" s="790">
        <f t="shared" si="24"/>
        <v>2000</v>
      </c>
      <c r="J81" s="726"/>
      <c r="K81" s="726"/>
      <c r="L81" s="726">
        <f aca="true" t="shared" si="26" ref="L81:L104">SUM(J81:K81)</f>
        <v>0</v>
      </c>
      <c r="M81" s="726">
        <f aca="true" t="shared" si="27" ref="M81:M101">SUM(G81+J81)</f>
        <v>2000</v>
      </c>
      <c r="N81" s="726">
        <f aca="true" t="shared" si="28" ref="N81:N101">SUM(H81+K81)</f>
        <v>0</v>
      </c>
      <c r="O81" s="726">
        <f aca="true" t="shared" si="29" ref="O81:O104">SUM(M81:N81)</f>
        <v>2000</v>
      </c>
    </row>
    <row r="82" spans="1:15" ht="12.75" customHeight="1">
      <c r="A82" s="783"/>
      <c r="B82" s="784"/>
      <c r="C82" s="811" t="s">
        <v>1328</v>
      </c>
      <c r="D82" s="818" t="s">
        <v>1058</v>
      </c>
      <c r="E82" s="786"/>
      <c r="F82" s="787"/>
      <c r="G82" s="726">
        <v>1000</v>
      </c>
      <c r="H82" s="726">
        <v>0</v>
      </c>
      <c r="I82" s="790">
        <f t="shared" si="24"/>
        <v>1000</v>
      </c>
      <c r="J82" s="726"/>
      <c r="K82" s="726"/>
      <c r="L82" s="726">
        <f t="shared" si="26"/>
        <v>0</v>
      </c>
      <c r="M82" s="726">
        <f t="shared" si="27"/>
        <v>1000</v>
      </c>
      <c r="N82" s="726">
        <f t="shared" si="28"/>
        <v>0</v>
      </c>
      <c r="O82" s="726">
        <f t="shared" si="29"/>
        <v>1000</v>
      </c>
    </row>
    <row r="83" spans="1:15" ht="12.75" customHeight="1">
      <c r="A83" s="783"/>
      <c r="B83" s="784"/>
      <c r="C83" s="811" t="s">
        <v>1329</v>
      </c>
      <c r="D83" s="316" t="s">
        <v>1059</v>
      </c>
      <c r="E83" s="786"/>
      <c r="F83" s="787" t="s">
        <v>828</v>
      </c>
      <c r="G83" s="726">
        <v>635</v>
      </c>
      <c r="H83" s="726">
        <v>0</v>
      </c>
      <c r="I83" s="790">
        <f t="shared" si="24"/>
        <v>635</v>
      </c>
      <c r="J83" s="726">
        <v>-141</v>
      </c>
      <c r="K83" s="726"/>
      <c r="L83" s="726">
        <f t="shared" si="26"/>
        <v>-141</v>
      </c>
      <c r="M83" s="726">
        <f t="shared" si="27"/>
        <v>494</v>
      </c>
      <c r="N83" s="726">
        <f t="shared" si="28"/>
        <v>0</v>
      </c>
      <c r="O83" s="726">
        <f t="shared" si="29"/>
        <v>494</v>
      </c>
    </row>
    <row r="84" spans="1:15" ht="12.75" customHeight="1">
      <c r="A84" s="783"/>
      <c r="B84" s="784"/>
      <c r="C84" s="811" t="s">
        <v>1330</v>
      </c>
      <c r="D84" s="760" t="s">
        <v>1073</v>
      </c>
      <c r="E84" s="786"/>
      <c r="F84" s="787" t="s">
        <v>809</v>
      </c>
      <c r="G84" s="726">
        <v>0</v>
      </c>
      <c r="H84" s="726">
        <v>800</v>
      </c>
      <c r="I84" s="790">
        <f t="shared" si="24"/>
        <v>800</v>
      </c>
      <c r="J84" s="726"/>
      <c r="K84" s="726"/>
      <c r="L84" s="726">
        <f t="shared" si="26"/>
        <v>0</v>
      </c>
      <c r="M84" s="726">
        <f t="shared" si="27"/>
        <v>0</v>
      </c>
      <c r="N84" s="726">
        <f t="shared" si="28"/>
        <v>800</v>
      </c>
      <c r="O84" s="726">
        <f t="shared" si="29"/>
        <v>800</v>
      </c>
    </row>
    <row r="85" spans="1:15" ht="12.75" customHeight="1">
      <c r="A85" s="783"/>
      <c r="B85" s="784"/>
      <c r="C85" s="811" t="s">
        <v>635</v>
      </c>
      <c r="D85" s="760" t="s">
        <v>1074</v>
      </c>
      <c r="E85" s="786"/>
      <c r="F85" s="787"/>
      <c r="G85" s="726">
        <v>0</v>
      </c>
      <c r="H85" s="726">
        <v>0</v>
      </c>
      <c r="I85" s="790">
        <f t="shared" si="24"/>
        <v>0</v>
      </c>
      <c r="J85" s="726"/>
      <c r="K85" s="726"/>
      <c r="L85" s="726">
        <f t="shared" si="26"/>
        <v>0</v>
      </c>
      <c r="M85" s="726">
        <f t="shared" si="27"/>
        <v>0</v>
      </c>
      <c r="N85" s="726">
        <f t="shared" si="28"/>
        <v>0</v>
      </c>
      <c r="O85" s="726">
        <f t="shared" si="29"/>
        <v>0</v>
      </c>
    </row>
    <row r="86" spans="1:15" ht="12.75" customHeight="1">
      <c r="A86" s="783"/>
      <c r="B86" s="784"/>
      <c r="C86" s="811" t="s">
        <v>636</v>
      </c>
      <c r="D86" s="760" t="s">
        <v>1075</v>
      </c>
      <c r="E86" s="786"/>
      <c r="F86" s="787"/>
      <c r="G86" s="726">
        <v>1000</v>
      </c>
      <c r="H86" s="726">
        <v>0</v>
      </c>
      <c r="I86" s="790">
        <f t="shared" si="24"/>
        <v>1000</v>
      </c>
      <c r="J86" s="726"/>
      <c r="K86" s="726"/>
      <c r="L86" s="726">
        <f t="shared" si="26"/>
        <v>0</v>
      </c>
      <c r="M86" s="726">
        <f t="shared" si="27"/>
        <v>1000</v>
      </c>
      <c r="N86" s="726">
        <f t="shared" si="28"/>
        <v>0</v>
      </c>
      <c r="O86" s="726">
        <f t="shared" si="29"/>
        <v>1000</v>
      </c>
    </row>
    <row r="87" spans="1:15" ht="12.75" customHeight="1">
      <c r="A87" s="783"/>
      <c r="B87" s="784"/>
      <c r="C87" s="811" t="s">
        <v>637</v>
      </c>
      <c r="D87" s="760" t="s">
        <v>1076</v>
      </c>
      <c r="E87" s="786"/>
      <c r="F87" s="787"/>
      <c r="G87" s="726">
        <v>1500</v>
      </c>
      <c r="H87" s="726">
        <v>0</v>
      </c>
      <c r="I87" s="790">
        <f t="shared" si="24"/>
        <v>1500</v>
      </c>
      <c r="J87" s="726"/>
      <c r="K87" s="726"/>
      <c r="L87" s="726">
        <f t="shared" si="26"/>
        <v>0</v>
      </c>
      <c r="M87" s="726">
        <f t="shared" si="27"/>
        <v>1500</v>
      </c>
      <c r="N87" s="726">
        <f t="shared" si="28"/>
        <v>0</v>
      </c>
      <c r="O87" s="726">
        <f t="shared" si="29"/>
        <v>1500</v>
      </c>
    </row>
    <row r="88" spans="1:15" ht="12.75" customHeight="1">
      <c r="A88" s="783"/>
      <c r="B88" s="784"/>
      <c r="C88" s="811" t="s">
        <v>638</v>
      </c>
      <c r="D88" s="819" t="s">
        <v>1077</v>
      </c>
      <c r="E88" s="786"/>
      <c r="F88" s="787"/>
      <c r="G88" s="726">
        <v>1000</v>
      </c>
      <c r="H88" s="726">
        <v>0</v>
      </c>
      <c r="I88" s="790">
        <f t="shared" si="24"/>
        <v>1000</v>
      </c>
      <c r="J88" s="726"/>
      <c r="K88" s="726"/>
      <c r="L88" s="726">
        <f t="shared" si="26"/>
        <v>0</v>
      </c>
      <c r="M88" s="726">
        <f t="shared" si="27"/>
        <v>1000</v>
      </c>
      <c r="N88" s="726">
        <f t="shared" si="28"/>
        <v>0</v>
      </c>
      <c r="O88" s="726">
        <f t="shared" si="29"/>
        <v>1000</v>
      </c>
    </row>
    <row r="89" spans="1:15" ht="12.75" customHeight="1">
      <c r="A89" s="783"/>
      <c r="B89" s="784"/>
      <c r="C89" s="811" t="s">
        <v>639</v>
      </c>
      <c r="D89" s="793" t="s">
        <v>1078</v>
      </c>
      <c r="E89" s="786"/>
      <c r="F89" s="787"/>
      <c r="G89" s="726">
        <v>2500</v>
      </c>
      <c r="H89" s="726">
        <v>0</v>
      </c>
      <c r="I89" s="790">
        <f t="shared" si="24"/>
        <v>2500</v>
      </c>
      <c r="J89" s="726"/>
      <c r="K89" s="726"/>
      <c r="L89" s="726">
        <f t="shared" si="26"/>
        <v>0</v>
      </c>
      <c r="M89" s="726">
        <f t="shared" si="27"/>
        <v>2500</v>
      </c>
      <c r="N89" s="726">
        <f t="shared" si="28"/>
        <v>0</v>
      </c>
      <c r="O89" s="726">
        <f t="shared" si="29"/>
        <v>2500</v>
      </c>
    </row>
    <row r="90" spans="1:15" ht="12.75" customHeight="1">
      <c r="A90" s="783"/>
      <c r="B90" s="784"/>
      <c r="C90" s="811" t="s">
        <v>640</v>
      </c>
      <c r="D90" s="793" t="s">
        <v>1079</v>
      </c>
      <c r="E90" s="786"/>
      <c r="F90" s="787"/>
      <c r="G90" s="726">
        <v>0</v>
      </c>
      <c r="H90" s="726">
        <v>0</v>
      </c>
      <c r="I90" s="790">
        <f t="shared" si="24"/>
        <v>0</v>
      </c>
      <c r="J90" s="726"/>
      <c r="K90" s="726"/>
      <c r="L90" s="726">
        <f t="shared" si="26"/>
        <v>0</v>
      </c>
      <c r="M90" s="726">
        <f t="shared" si="27"/>
        <v>0</v>
      </c>
      <c r="N90" s="726">
        <f t="shared" si="28"/>
        <v>0</v>
      </c>
      <c r="O90" s="726">
        <f t="shared" si="29"/>
        <v>0</v>
      </c>
    </row>
    <row r="91" spans="1:15" ht="24.75" customHeight="1">
      <c r="A91" s="783"/>
      <c r="B91" s="784"/>
      <c r="C91" s="811" t="s">
        <v>641</v>
      </c>
      <c r="D91" s="820" t="s">
        <v>1080</v>
      </c>
      <c r="E91" s="786"/>
      <c r="F91" s="787"/>
      <c r="G91" s="726">
        <v>2500</v>
      </c>
      <c r="H91" s="726">
        <v>0</v>
      </c>
      <c r="I91" s="790">
        <f t="shared" si="24"/>
        <v>2500</v>
      </c>
      <c r="J91" s="726"/>
      <c r="K91" s="726"/>
      <c r="L91" s="726">
        <f t="shared" si="26"/>
        <v>0</v>
      </c>
      <c r="M91" s="726">
        <f t="shared" si="27"/>
        <v>2500</v>
      </c>
      <c r="N91" s="726">
        <f t="shared" si="28"/>
        <v>0</v>
      </c>
      <c r="O91" s="726">
        <f t="shared" si="29"/>
        <v>2500</v>
      </c>
    </row>
    <row r="92" spans="1:15" ht="12.75" customHeight="1">
      <c r="A92" s="783"/>
      <c r="B92" s="784"/>
      <c r="C92" s="811" t="s">
        <v>642</v>
      </c>
      <c r="D92" s="793" t="s">
        <v>1081</v>
      </c>
      <c r="E92" s="786"/>
      <c r="F92" s="787"/>
      <c r="G92" s="726">
        <v>1000</v>
      </c>
      <c r="H92" s="726">
        <v>0</v>
      </c>
      <c r="I92" s="790">
        <f t="shared" si="24"/>
        <v>1000</v>
      </c>
      <c r="J92" s="726"/>
      <c r="K92" s="726"/>
      <c r="L92" s="726">
        <f t="shared" si="26"/>
        <v>0</v>
      </c>
      <c r="M92" s="726">
        <f t="shared" si="27"/>
        <v>1000</v>
      </c>
      <c r="N92" s="726">
        <f t="shared" si="28"/>
        <v>0</v>
      </c>
      <c r="O92" s="726">
        <f t="shared" si="29"/>
        <v>1000</v>
      </c>
    </row>
    <row r="93" spans="1:15" ht="24.75" customHeight="1">
      <c r="A93" s="783"/>
      <c r="B93" s="784"/>
      <c r="C93" s="811" t="s">
        <v>643</v>
      </c>
      <c r="D93" s="793" t="s">
        <v>1165</v>
      </c>
      <c r="E93" s="786"/>
      <c r="F93" s="787"/>
      <c r="G93" s="726">
        <v>800</v>
      </c>
      <c r="H93" s="726">
        <v>0</v>
      </c>
      <c r="I93" s="790">
        <f t="shared" si="24"/>
        <v>800</v>
      </c>
      <c r="J93" s="726"/>
      <c r="K93" s="726"/>
      <c r="L93" s="726">
        <f t="shared" si="26"/>
        <v>0</v>
      </c>
      <c r="M93" s="726">
        <f t="shared" si="27"/>
        <v>800</v>
      </c>
      <c r="N93" s="726">
        <f t="shared" si="28"/>
        <v>0</v>
      </c>
      <c r="O93" s="726">
        <f t="shared" si="29"/>
        <v>800</v>
      </c>
    </row>
    <row r="94" spans="1:15" ht="12.75" customHeight="1">
      <c r="A94" s="783"/>
      <c r="B94" s="784"/>
      <c r="C94" s="811" t="s">
        <v>644</v>
      </c>
      <c r="D94" s="821" t="s">
        <v>1166</v>
      </c>
      <c r="E94" s="786"/>
      <c r="F94" s="787"/>
      <c r="G94" s="726">
        <v>3000</v>
      </c>
      <c r="H94" s="726">
        <v>0</v>
      </c>
      <c r="I94" s="790">
        <f t="shared" si="24"/>
        <v>3000</v>
      </c>
      <c r="J94" s="726"/>
      <c r="K94" s="726"/>
      <c r="L94" s="726">
        <f t="shared" si="26"/>
        <v>0</v>
      </c>
      <c r="M94" s="726">
        <f t="shared" si="27"/>
        <v>3000</v>
      </c>
      <c r="N94" s="726">
        <f t="shared" si="28"/>
        <v>0</v>
      </c>
      <c r="O94" s="726">
        <f t="shared" si="29"/>
        <v>3000</v>
      </c>
    </row>
    <row r="95" spans="1:15" ht="12.75" customHeight="1">
      <c r="A95" s="783"/>
      <c r="B95" s="784"/>
      <c r="C95" s="811" t="s">
        <v>645</v>
      </c>
      <c r="D95" s="821" t="s">
        <v>1167</v>
      </c>
      <c r="E95" s="786"/>
      <c r="F95" s="787"/>
      <c r="G95" s="726">
        <v>2000</v>
      </c>
      <c r="H95" s="726">
        <v>0</v>
      </c>
      <c r="I95" s="790">
        <f t="shared" si="24"/>
        <v>2000</v>
      </c>
      <c r="J95" s="726"/>
      <c r="K95" s="726"/>
      <c r="L95" s="726">
        <f t="shared" si="26"/>
        <v>0</v>
      </c>
      <c r="M95" s="726">
        <f t="shared" si="27"/>
        <v>2000</v>
      </c>
      <c r="N95" s="726">
        <f t="shared" si="28"/>
        <v>0</v>
      </c>
      <c r="O95" s="726">
        <f t="shared" si="29"/>
        <v>2000</v>
      </c>
    </row>
    <row r="96" spans="1:15" ht="24.75" customHeight="1">
      <c r="A96" s="783"/>
      <c r="B96" s="784"/>
      <c r="C96" s="811" t="s">
        <v>646</v>
      </c>
      <c r="D96" s="793" t="s">
        <v>630</v>
      </c>
      <c r="E96" s="786"/>
      <c r="F96" s="787"/>
      <c r="G96" s="726">
        <v>1800</v>
      </c>
      <c r="H96" s="726">
        <v>0</v>
      </c>
      <c r="I96" s="790">
        <f t="shared" si="24"/>
        <v>1800</v>
      </c>
      <c r="J96" s="726"/>
      <c r="K96" s="726"/>
      <c r="L96" s="726">
        <f t="shared" si="26"/>
        <v>0</v>
      </c>
      <c r="M96" s="726">
        <f t="shared" si="27"/>
        <v>1800</v>
      </c>
      <c r="N96" s="726">
        <f t="shared" si="28"/>
        <v>0</v>
      </c>
      <c r="O96" s="726">
        <f t="shared" si="29"/>
        <v>1800</v>
      </c>
    </row>
    <row r="97" spans="1:15" ht="24.75" customHeight="1">
      <c r="A97" s="783"/>
      <c r="B97" s="784"/>
      <c r="C97" s="811" t="s">
        <v>647</v>
      </c>
      <c r="D97" s="793" t="s">
        <v>631</v>
      </c>
      <c r="E97" s="786"/>
      <c r="F97" s="787"/>
      <c r="G97" s="726">
        <v>1500</v>
      </c>
      <c r="H97" s="726">
        <v>0</v>
      </c>
      <c r="I97" s="790">
        <f t="shared" si="24"/>
        <v>1500</v>
      </c>
      <c r="J97" s="726"/>
      <c r="K97" s="726"/>
      <c r="L97" s="726">
        <f t="shared" si="26"/>
        <v>0</v>
      </c>
      <c r="M97" s="726">
        <f t="shared" si="27"/>
        <v>1500</v>
      </c>
      <c r="N97" s="726">
        <f t="shared" si="28"/>
        <v>0</v>
      </c>
      <c r="O97" s="726">
        <f t="shared" si="29"/>
        <v>1500</v>
      </c>
    </row>
    <row r="98" spans="1:15" ht="12.75" customHeight="1">
      <c r="A98" s="783"/>
      <c r="B98" s="784"/>
      <c r="C98" s="811" t="s">
        <v>648</v>
      </c>
      <c r="D98" s="793" t="s">
        <v>632</v>
      </c>
      <c r="E98" s="786"/>
      <c r="F98" s="787"/>
      <c r="G98" s="726">
        <v>8000</v>
      </c>
      <c r="H98" s="726">
        <v>0</v>
      </c>
      <c r="I98" s="790">
        <f t="shared" si="24"/>
        <v>8000</v>
      </c>
      <c r="J98" s="726"/>
      <c r="K98" s="726"/>
      <c r="L98" s="726">
        <f t="shared" si="26"/>
        <v>0</v>
      </c>
      <c r="M98" s="726">
        <f t="shared" si="27"/>
        <v>8000</v>
      </c>
      <c r="N98" s="726">
        <f t="shared" si="28"/>
        <v>0</v>
      </c>
      <c r="O98" s="726">
        <f t="shared" si="29"/>
        <v>8000</v>
      </c>
    </row>
    <row r="99" spans="1:15" ht="12.75" customHeight="1">
      <c r="A99" s="783"/>
      <c r="B99" s="784"/>
      <c r="C99" s="811" t="s">
        <v>649</v>
      </c>
      <c r="D99" s="822" t="s">
        <v>633</v>
      </c>
      <c r="E99" s="786"/>
      <c r="F99" s="787"/>
      <c r="G99" s="726">
        <v>0</v>
      </c>
      <c r="H99" s="726">
        <v>6000</v>
      </c>
      <c r="I99" s="790">
        <f t="shared" si="24"/>
        <v>6000</v>
      </c>
      <c r="J99" s="726"/>
      <c r="K99" s="726"/>
      <c r="L99" s="726">
        <f t="shared" si="26"/>
        <v>0</v>
      </c>
      <c r="M99" s="726">
        <f t="shared" si="27"/>
        <v>0</v>
      </c>
      <c r="N99" s="726">
        <f t="shared" si="28"/>
        <v>6000</v>
      </c>
      <c r="O99" s="726">
        <f t="shared" si="29"/>
        <v>6000</v>
      </c>
    </row>
    <row r="100" spans="1:15" ht="12.75" customHeight="1">
      <c r="A100" s="783"/>
      <c r="B100" s="784"/>
      <c r="C100" s="811" t="s">
        <v>650</v>
      </c>
      <c r="D100" s="822" t="s">
        <v>634</v>
      </c>
      <c r="E100" s="786"/>
      <c r="F100" s="787"/>
      <c r="G100" s="726">
        <v>500</v>
      </c>
      <c r="H100" s="726">
        <v>0</v>
      </c>
      <c r="I100" s="790">
        <f t="shared" si="24"/>
        <v>500</v>
      </c>
      <c r="J100" s="726"/>
      <c r="K100" s="726"/>
      <c r="L100" s="726">
        <f t="shared" si="26"/>
        <v>0</v>
      </c>
      <c r="M100" s="726">
        <f t="shared" si="27"/>
        <v>500</v>
      </c>
      <c r="N100" s="726">
        <f t="shared" si="28"/>
        <v>0</v>
      </c>
      <c r="O100" s="726">
        <f t="shared" si="29"/>
        <v>500</v>
      </c>
    </row>
    <row r="101" spans="1:15" ht="24.75" customHeight="1">
      <c r="A101" s="783"/>
      <c r="B101" s="784"/>
      <c r="C101" s="811" t="s">
        <v>829</v>
      </c>
      <c r="D101" s="823" t="s">
        <v>830</v>
      </c>
      <c r="E101" s="786"/>
      <c r="F101" s="787"/>
      <c r="G101" s="726">
        <v>0</v>
      </c>
      <c r="H101" s="726">
        <v>500</v>
      </c>
      <c r="I101" s="790">
        <f t="shared" si="24"/>
        <v>500</v>
      </c>
      <c r="J101" s="726"/>
      <c r="K101" s="726"/>
      <c r="L101" s="726">
        <f t="shared" si="26"/>
        <v>0</v>
      </c>
      <c r="M101" s="726">
        <f t="shared" si="27"/>
        <v>0</v>
      </c>
      <c r="N101" s="726">
        <f t="shared" si="28"/>
        <v>500</v>
      </c>
      <c r="O101" s="726">
        <f t="shared" si="29"/>
        <v>500</v>
      </c>
    </row>
    <row r="102" spans="1:15" ht="12.75" customHeight="1">
      <c r="A102" s="783"/>
      <c r="B102" s="784"/>
      <c r="C102" s="811" t="s">
        <v>831</v>
      </c>
      <c r="D102" s="823" t="s">
        <v>832</v>
      </c>
      <c r="E102" s="786"/>
      <c r="F102" s="787"/>
      <c r="G102" s="726">
        <v>997</v>
      </c>
      <c r="H102" s="726"/>
      <c r="I102" s="790">
        <f t="shared" si="24"/>
        <v>997</v>
      </c>
      <c r="J102" s="726"/>
      <c r="K102" s="726"/>
      <c r="L102" s="726">
        <f t="shared" si="26"/>
        <v>0</v>
      </c>
      <c r="M102" s="726">
        <f>SUM(G102+J102)</f>
        <v>997</v>
      </c>
      <c r="N102" s="726"/>
      <c r="O102" s="726">
        <f t="shared" si="29"/>
        <v>997</v>
      </c>
    </row>
    <row r="103" spans="1:15" ht="12.75" customHeight="1">
      <c r="A103" s="783"/>
      <c r="B103" s="784"/>
      <c r="C103" s="804"/>
      <c r="D103" s="795" t="s">
        <v>327</v>
      </c>
      <c r="E103" s="786"/>
      <c r="F103" s="787"/>
      <c r="G103" s="726">
        <v>0</v>
      </c>
      <c r="H103" s="726">
        <v>0</v>
      </c>
      <c r="I103" s="790">
        <f t="shared" si="24"/>
        <v>0</v>
      </c>
      <c r="J103" s="726"/>
      <c r="K103" s="726"/>
      <c r="L103" s="726">
        <f t="shared" si="26"/>
        <v>0</v>
      </c>
      <c r="M103" s="726">
        <f>SUM(G103+J103)</f>
        <v>0</v>
      </c>
      <c r="N103" s="726">
        <f>SUM(H103+K103)</f>
        <v>0</v>
      </c>
      <c r="O103" s="726">
        <f t="shared" si="29"/>
        <v>0</v>
      </c>
    </row>
    <row r="104" spans="1:15" ht="12.75" customHeight="1">
      <c r="A104" s="783"/>
      <c r="B104" s="784"/>
      <c r="C104" s="811" t="s">
        <v>1334</v>
      </c>
      <c r="D104" s="824" t="s">
        <v>466</v>
      </c>
      <c r="E104" s="786"/>
      <c r="F104" s="787"/>
      <c r="G104" s="726">
        <v>1905</v>
      </c>
      <c r="H104" s="726">
        <v>0</v>
      </c>
      <c r="I104" s="790">
        <f t="shared" si="24"/>
        <v>1905</v>
      </c>
      <c r="J104" s="726"/>
      <c r="K104" s="726"/>
      <c r="L104" s="726">
        <f t="shared" si="26"/>
        <v>0</v>
      </c>
      <c r="M104" s="726">
        <f>SUM(G104+J104)</f>
        <v>1905</v>
      </c>
      <c r="N104" s="726">
        <f>SUM(H104+K104)</f>
        <v>0</v>
      </c>
      <c r="O104" s="726">
        <f t="shared" si="29"/>
        <v>1905</v>
      </c>
    </row>
    <row r="105" spans="1:15" ht="12.75" customHeight="1">
      <c r="A105" s="783"/>
      <c r="B105" s="784"/>
      <c r="C105" s="804" t="s">
        <v>1185</v>
      </c>
      <c r="D105" s="813" t="s">
        <v>1186</v>
      </c>
      <c r="E105" s="786"/>
      <c r="F105" s="787"/>
      <c r="G105" s="726"/>
      <c r="H105" s="726"/>
      <c r="I105" s="790">
        <f t="shared" si="24"/>
        <v>0</v>
      </c>
      <c r="J105" s="726"/>
      <c r="K105" s="726"/>
      <c r="L105" s="726"/>
      <c r="M105" s="726"/>
      <c r="N105" s="726"/>
      <c r="O105" s="726"/>
    </row>
    <row r="106" spans="1:15" ht="24.75" customHeight="1">
      <c r="A106" s="783"/>
      <c r="B106" s="784"/>
      <c r="C106" s="811" t="s">
        <v>669</v>
      </c>
      <c r="D106" s="825" t="s">
        <v>1060</v>
      </c>
      <c r="E106" s="786"/>
      <c r="F106" s="787" t="s">
        <v>828</v>
      </c>
      <c r="G106" s="765">
        <v>600</v>
      </c>
      <c r="H106" s="765">
        <v>0</v>
      </c>
      <c r="I106" s="790">
        <f t="shared" si="24"/>
        <v>600</v>
      </c>
      <c r="J106" s="765">
        <v>1798</v>
      </c>
      <c r="K106" s="765"/>
      <c r="L106" s="765">
        <f>SUM(J106:K106)</f>
        <v>1798</v>
      </c>
      <c r="M106" s="765">
        <f>SUM(G106+J106)</f>
        <v>2398</v>
      </c>
      <c r="N106" s="765">
        <f>SUM(H106+K106)</f>
        <v>0</v>
      </c>
      <c r="O106" s="765">
        <f>SUM(M106:N106)</f>
        <v>2398</v>
      </c>
    </row>
    <row r="107" spans="1:15" ht="12.75" customHeight="1">
      <c r="A107" s="783"/>
      <c r="B107" s="784"/>
      <c r="C107" s="811" t="s">
        <v>670</v>
      </c>
      <c r="D107" s="826" t="s">
        <v>1061</v>
      </c>
      <c r="E107" s="786"/>
      <c r="F107" s="787"/>
      <c r="G107" s="726">
        <v>4000</v>
      </c>
      <c r="H107" s="726">
        <v>0</v>
      </c>
      <c r="I107" s="790">
        <f t="shared" si="24"/>
        <v>4000</v>
      </c>
      <c r="J107" s="726"/>
      <c r="K107" s="726"/>
      <c r="L107" s="726">
        <f>SUM(J107:K107)</f>
        <v>0</v>
      </c>
      <c r="M107" s="726">
        <f>SUM(G107+J107)</f>
        <v>4000</v>
      </c>
      <c r="N107" s="726">
        <f>SUM(H107+K107)</f>
        <v>0</v>
      </c>
      <c r="O107" s="726">
        <f>SUM(M107:N107)</f>
        <v>4000</v>
      </c>
    </row>
    <row r="108" spans="1:15" ht="12.75" customHeight="1">
      <c r="A108" s="783"/>
      <c r="B108" s="784"/>
      <c r="C108" s="804" t="s">
        <v>1187</v>
      </c>
      <c r="D108" s="805" t="s">
        <v>1192</v>
      </c>
      <c r="E108" s="786"/>
      <c r="F108" s="787"/>
      <c r="G108" s="726"/>
      <c r="H108" s="726"/>
      <c r="I108" s="790">
        <f t="shared" si="24"/>
        <v>0</v>
      </c>
      <c r="J108" s="726"/>
      <c r="K108" s="726"/>
      <c r="L108" s="726"/>
      <c r="M108" s="726"/>
      <c r="N108" s="726"/>
      <c r="O108" s="726"/>
    </row>
    <row r="109" spans="1:15" ht="12.75" customHeight="1">
      <c r="A109" s="783"/>
      <c r="B109" s="784"/>
      <c r="C109" s="811" t="s">
        <v>1188</v>
      </c>
      <c r="D109" s="814" t="s">
        <v>971</v>
      </c>
      <c r="E109" s="786"/>
      <c r="F109" s="787"/>
      <c r="G109" s="726">
        <v>5000</v>
      </c>
      <c r="H109" s="726">
        <v>0</v>
      </c>
      <c r="I109" s="790">
        <f t="shared" si="24"/>
        <v>5000</v>
      </c>
      <c r="J109" s="726"/>
      <c r="K109" s="726"/>
      <c r="L109" s="726">
        <f aca="true" t="shared" si="30" ref="L109:L117">SUM(J109:K109)</f>
        <v>0</v>
      </c>
      <c r="M109" s="726">
        <f aca="true" t="shared" si="31" ref="M109:N113">SUM(G109+J109)</f>
        <v>5000</v>
      </c>
      <c r="N109" s="726">
        <f t="shared" si="31"/>
        <v>0</v>
      </c>
      <c r="O109" s="726">
        <f aca="true" t="shared" si="32" ref="O109:O117">SUM(M109:N109)</f>
        <v>5000</v>
      </c>
    </row>
    <row r="110" spans="1:15" ht="12.75" customHeight="1">
      <c r="A110" s="783"/>
      <c r="B110" s="784"/>
      <c r="C110" s="811" t="s">
        <v>1189</v>
      </c>
      <c r="D110" s="814" t="s">
        <v>257</v>
      </c>
      <c r="E110" s="786"/>
      <c r="F110" s="787"/>
      <c r="G110" s="726">
        <v>6000</v>
      </c>
      <c r="H110" s="726">
        <v>0</v>
      </c>
      <c r="I110" s="790">
        <f t="shared" si="24"/>
        <v>6000</v>
      </c>
      <c r="J110" s="726"/>
      <c r="K110" s="726"/>
      <c r="L110" s="726">
        <f t="shared" si="30"/>
        <v>0</v>
      </c>
      <c r="M110" s="726">
        <f t="shared" si="31"/>
        <v>6000</v>
      </c>
      <c r="N110" s="726">
        <f t="shared" si="31"/>
        <v>0</v>
      </c>
      <c r="O110" s="726">
        <f t="shared" si="32"/>
        <v>6000</v>
      </c>
    </row>
    <row r="111" spans="1:15" ht="12.75" customHeight="1">
      <c r="A111" s="783"/>
      <c r="B111" s="784"/>
      <c r="C111" s="811" t="s">
        <v>1190</v>
      </c>
      <c r="D111" s="760" t="s">
        <v>1071</v>
      </c>
      <c r="E111" s="786"/>
      <c r="F111" s="827"/>
      <c r="G111" s="726">
        <v>2300</v>
      </c>
      <c r="H111" s="726">
        <v>0</v>
      </c>
      <c r="I111" s="790">
        <f t="shared" si="24"/>
        <v>2300</v>
      </c>
      <c r="J111" s="726"/>
      <c r="K111" s="726"/>
      <c r="L111" s="726">
        <f t="shared" si="30"/>
        <v>0</v>
      </c>
      <c r="M111" s="726">
        <f t="shared" si="31"/>
        <v>2300</v>
      </c>
      <c r="N111" s="726">
        <f t="shared" si="31"/>
        <v>0</v>
      </c>
      <c r="O111" s="726">
        <f t="shared" si="32"/>
        <v>2300</v>
      </c>
    </row>
    <row r="112" spans="1:15" ht="24.75" customHeight="1">
      <c r="A112" s="783"/>
      <c r="B112" s="784"/>
      <c r="C112" s="811" t="s">
        <v>1193</v>
      </c>
      <c r="D112" s="828" t="s">
        <v>833</v>
      </c>
      <c r="E112" s="829"/>
      <c r="F112" s="827"/>
      <c r="G112" s="726">
        <v>0</v>
      </c>
      <c r="H112" s="726">
        <v>500</v>
      </c>
      <c r="I112" s="790">
        <f t="shared" si="24"/>
        <v>500</v>
      </c>
      <c r="J112" s="726"/>
      <c r="K112" s="726"/>
      <c r="L112" s="726">
        <f t="shared" si="30"/>
        <v>0</v>
      </c>
      <c r="M112" s="726">
        <f t="shared" si="31"/>
        <v>0</v>
      </c>
      <c r="N112" s="726">
        <f t="shared" si="31"/>
        <v>500</v>
      </c>
      <c r="O112" s="726">
        <f t="shared" si="32"/>
        <v>500</v>
      </c>
    </row>
    <row r="113" spans="1:15" ht="24.75" customHeight="1">
      <c r="A113" s="791"/>
      <c r="B113" s="792"/>
      <c r="C113" s="811" t="s">
        <v>1293</v>
      </c>
      <c r="D113" s="830" t="s">
        <v>552</v>
      </c>
      <c r="E113" s="773"/>
      <c r="F113" s="827"/>
      <c r="G113" s="765">
        <v>22914</v>
      </c>
      <c r="H113" s="765">
        <v>0</v>
      </c>
      <c r="I113" s="790">
        <f t="shared" si="24"/>
        <v>22914</v>
      </c>
      <c r="J113" s="765"/>
      <c r="K113" s="765"/>
      <c r="L113" s="765">
        <f t="shared" si="30"/>
        <v>0</v>
      </c>
      <c r="M113" s="765">
        <f t="shared" si="31"/>
        <v>22914</v>
      </c>
      <c r="N113" s="765">
        <f t="shared" si="31"/>
        <v>0</v>
      </c>
      <c r="O113" s="765">
        <f t="shared" si="32"/>
        <v>22914</v>
      </c>
    </row>
    <row r="114" spans="1:15" ht="24.75" customHeight="1">
      <c r="A114" s="783"/>
      <c r="B114" s="784"/>
      <c r="C114" s="811" t="s">
        <v>1657</v>
      </c>
      <c r="D114" s="831" t="s">
        <v>834</v>
      </c>
      <c r="E114" s="773"/>
      <c r="F114" s="827"/>
      <c r="G114" s="765">
        <v>993</v>
      </c>
      <c r="H114" s="726"/>
      <c r="I114" s="790">
        <f t="shared" si="24"/>
        <v>993</v>
      </c>
      <c r="J114" s="726"/>
      <c r="K114" s="726"/>
      <c r="L114" s="765">
        <f t="shared" si="30"/>
        <v>0</v>
      </c>
      <c r="M114" s="765">
        <f>SUM(G114+J114)</f>
        <v>993</v>
      </c>
      <c r="N114" s="726"/>
      <c r="O114" s="765">
        <f t="shared" si="32"/>
        <v>993</v>
      </c>
    </row>
    <row r="115" spans="1:15" ht="15" customHeight="1">
      <c r="A115" s="783"/>
      <c r="B115" s="784"/>
      <c r="C115" s="811" t="s">
        <v>835</v>
      </c>
      <c r="D115" s="831" t="s">
        <v>836</v>
      </c>
      <c r="E115" s="773"/>
      <c r="F115" s="827"/>
      <c r="G115" s="765">
        <v>150</v>
      </c>
      <c r="H115" s="726"/>
      <c r="I115" s="790">
        <f t="shared" si="24"/>
        <v>150</v>
      </c>
      <c r="J115" s="726"/>
      <c r="K115" s="726"/>
      <c r="L115" s="765">
        <f t="shared" si="30"/>
        <v>0</v>
      </c>
      <c r="M115" s="765">
        <f>SUM(G115+J115)</f>
        <v>150</v>
      </c>
      <c r="N115" s="726"/>
      <c r="O115" s="765">
        <f t="shared" si="32"/>
        <v>150</v>
      </c>
    </row>
    <row r="116" spans="1:15" ht="15" customHeight="1">
      <c r="A116" s="783"/>
      <c r="B116" s="784"/>
      <c r="C116" s="811" t="s">
        <v>837</v>
      </c>
      <c r="D116" s="683" t="s">
        <v>838</v>
      </c>
      <c r="E116" s="773"/>
      <c r="F116" s="827"/>
      <c r="G116" s="765">
        <v>463</v>
      </c>
      <c r="H116" s="726"/>
      <c r="I116" s="790">
        <f t="shared" si="24"/>
        <v>463</v>
      </c>
      <c r="J116" s="726"/>
      <c r="K116" s="726"/>
      <c r="L116" s="765">
        <f t="shared" si="30"/>
        <v>0</v>
      </c>
      <c r="M116" s="765">
        <f>SUM(G116+J116)</f>
        <v>463</v>
      </c>
      <c r="N116" s="726"/>
      <c r="O116" s="765">
        <f t="shared" si="32"/>
        <v>463</v>
      </c>
    </row>
    <row r="117" spans="1:15" ht="15" customHeight="1">
      <c r="A117" s="783"/>
      <c r="B117" s="784"/>
      <c r="C117" s="811" t="s">
        <v>839</v>
      </c>
      <c r="D117" s="40" t="s">
        <v>840</v>
      </c>
      <c r="E117" s="773"/>
      <c r="F117" s="827" t="s">
        <v>809</v>
      </c>
      <c r="G117" s="765">
        <v>5450</v>
      </c>
      <c r="H117" s="726"/>
      <c r="I117" s="790">
        <f t="shared" si="24"/>
        <v>5450</v>
      </c>
      <c r="J117" s="726">
        <v>-950</v>
      </c>
      <c r="K117" s="726"/>
      <c r="L117" s="765">
        <f t="shared" si="30"/>
        <v>-950</v>
      </c>
      <c r="M117" s="765">
        <f>SUM(G117+J117)</f>
        <v>4500</v>
      </c>
      <c r="N117" s="726"/>
      <c r="O117" s="765">
        <f t="shared" si="32"/>
        <v>4500</v>
      </c>
    </row>
    <row r="118" spans="1:15" ht="15" customHeight="1">
      <c r="A118" s="783"/>
      <c r="B118" s="784"/>
      <c r="C118" s="811"/>
      <c r="D118" s="832" t="s">
        <v>327</v>
      </c>
      <c r="E118" s="786"/>
      <c r="F118" s="787"/>
      <c r="G118" s="726"/>
      <c r="H118" s="726"/>
      <c r="I118" s="790">
        <f t="shared" si="24"/>
        <v>0</v>
      </c>
      <c r="J118" s="726"/>
      <c r="K118" s="726"/>
      <c r="L118" s="726"/>
      <c r="M118" s="726"/>
      <c r="N118" s="726"/>
      <c r="O118" s="726"/>
    </row>
    <row r="119" spans="1:15" ht="24.75" customHeight="1">
      <c r="A119" s="783"/>
      <c r="B119" s="784"/>
      <c r="C119" s="811" t="s">
        <v>289</v>
      </c>
      <c r="D119" s="833" t="s">
        <v>194</v>
      </c>
      <c r="E119" s="797"/>
      <c r="F119" s="798"/>
      <c r="G119" s="726">
        <v>4875</v>
      </c>
      <c r="H119" s="726">
        <v>0</v>
      </c>
      <c r="I119" s="790">
        <f t="shared" si="24"/>
        <v>4875</v>
      </c>
      <c r="J119" s="726"/>
      <c r="K119" s="726"/>
      <c r="L119" s="726">
        <f>SUM(J119:K119)</f>
        <v>0</v>
      </c>
      <c r="M119" s="726">
        <f aca="true" t="shared" si="33" ref="M119:N122">SUM(G119+J119)</f>
        <v>4875</v>
      </c>
      <c r="N119" s="726">
        <f t="shared" si="33"/>
        <v>0</v>
      </c>
      <c r="O119" s="726">
        <f>SUM(M119:N119)</f>
        <v>4875</v>
      </c>
    </row>
    <row r="120" spans="1:15" ht="15" customHeight="1">
      <c r="A120" s="783"/>
      <c r="B120" s="784"/>
      <c r="C120" s="811" t="s">
        <v>1538</v>
      </c>
      <c r="D120" s="824" t="s">
        <v>469</v>
      </c>
      <c r="E120" s="786"/>
      <c r="F120" s="787"/>
      <c r="G120" s="726">
        <v>852</v>
      </c>
      <c r="H120" s="726">
        <v>0</v>
      </c>
      <c r="I120" s="790">
        <f t="shared" si="24"/>
        <v>852</v>
      </c>
      <c r="J120" s="726"/>
      <c r="K120" s="726"/>
      <c r="L120" s="726">
        <f>SUM(J120:K120)</f>
        <v>0</v>
      </c>
      <c r="M120" s="726">
        <f t="shared" si="33"/>
        <v>852</v>
      </c>
      <c r="N120" s="726">
        <f t="shared" si="33"/>
        <v>0</v>
      </c>
      <c r="O120" s="726">
        <f>SUM(M120:N120)</f>
        <v>852</v>
      </c>
    </row>
    <row r="121" spans="1:15" ht="15" customHeight="1">
      <c r="A121" s="783"/>
      <c r="B121" s="784"/>
      <c r="C121" s="811" t="s">
        <v>467</v>
      </c>
      <c r="D121" s="834" t="s">
        <v>970</v>
      </c>
      <c r="E121" s="786"/>
      <c r="F121" s="787" t="s">
        <v>828</v>
      </c>
      <c r="G121" s="726">
        <v>45664</v>
      </c>
      <c r="H121" s="726">
        <v>0</v>
      </c>
      <c r="I121" s="790">
        <f t="shared" si="24"/>
        <v>45664</v>
      </c>
      <c r="J121" s="726">
        <v>2732</v>
      </c>
      <c r="K121" s="726"/>
      <c r="L121" s="726">
        <f>SUM(J121:K121)</f>
        <v>2732</v>
      </c>
      <c r="M121" s="726">
        <f t="shared" si="33"/>
        <v>48396</v>
      </c>
      <c r="N121" s="726">
        <f t="shared" si="33"/>
        <v>0</v>
      </c>
      <c r="O121" s="726">
        <f>SUM(M121:N121)</f>
        <v>48396</v>
      </c>
    </row>
    <row r="122" spans="1:15" ht="15" customHeight="1">
      <c r="A122" s="783"/>
      <c r="B122" s="784"/>
      <c r="C122" s="811" t="s">
        <v>468</v>
      </c>
      <c r="D122" s="835" t="s">
        <v>389</v>
      </c>
      <c r="E122" s="786"/>
      <c r="F122" s="787"/>
      <c r="G122" s="726">
        <v>2000</v>
      </c>
      <c r="H122" s="726">
        <v>0</v>
      </c>
      <c r="I122" s="790">
        <f t="shared" si="24"/>
        <v>2000</v>
      </c>
      <c r="J122" s="726"/>
      <c r="K122" s="726"/>
      <c r="L122" s="726">
        <f>SUM(J122:K122)</f>
        <v>0</v>
      </c>
      <c r="M122" s="726">
        <f t="shared" si="33"/>
        <v>2000</v>
      </c>
      <c r="N122" s="726">
        <f t="shared" si="33"/>
        <v>0</v>
      </c>
      <c r="O122" s="726">
        <f>SUM(M122:N122)</f>
        <v>2000</v>
      </c>
    </row>
    <row r="123" spans="1:15" ht="12.75" customHeight="1">
      <c r="A123" s="776"/>
      <c r="B123" s="777"/>
      <c r="C123" s="778"/>
      <c r="D123" s="836" t="s">
        <v>284</v>
      </c>
      <c r="E123" s="837"/>
      <c r="F123" s="838"/>
      <c r="G123" s="782">
        <f aca="true" t="shared" si="34" ref="G123:O123">SUM(G36:G122)</f>
        <v>307931</v>
      </c>
      <c r="H123" s="782">
        <f t="shared" si="34"/>
        <v>604217</v>
      </c>
      <c r="I123" s="782">
        <f t="shared" si="34"/>
        <v>912148</v>
      </c>
      <c r="J123" s="782">
        <f t="shared" si="34"/>
        <v>6757</v>
      </c>
      <c r="K123" s="782">
        <f t="shared" si="34"/>
        <v>-33986</v>
      </c>
      <c r="L123" s="782">
        <f t="shared" si="34"/>
        <v>-27229</v>
      </c>
      <c r="M123" s="782">
        <f t="shared" si="34"/>
        <v>314688</v>
      </c>
      <c r="N123" s="782">
        <f t="shared" si="34"/>
        <v>570231</v>
      </c>
      <c r="O123" s="782">
        <f t="shared" si="34"/>
        <v>884919</v>
      </c>
    </row>
    <row r="124" spans="1:15" ht="13.5" customHeight="1">
      <c r="A124" s="745">
        <v>1</v>
      </c>
      <c r="B124" s="746">
        <v>16</v>
      </c>
      <c r="C124" s="741"/>
      <c r="D124" s="839" t="s">
        <v>102</v>
      </c>
      <c r="E124" s="840"/>
      <c r="F124" s="841"/>
      <c r="G124" s="726"/>
      <c r="H124" s="726"/>
      <c r="I124" s="744"/>
      <c r="J124" s="726"/>
      <c r="K124" s="726"/>
      <c r="L124" s="726"/>
      <c r="M124" s="726"/>
      <c r="N124" s="726"/>
      <c r="O124" s="726"/>
    </row>
    <row r="125" spans="1:15" ht="13.5" customHeight="1">
      <c r="A125" s="783"/>
      <c r="B125" s="784"/>
      <c r="C125" s="789">
        <v>1</v>
      </c>
      <c r="D125" s="785" t="s">
        <v>92</v>
      </c>
      <c r="E125" s="786"/>
      <c r="F125" s="787"/>
      <c r="G125" s="726"/>
      <c r="H125" s="726"/>
      <c r="I125" s="790"/>
      <c r="J125" s="726"/>
      <c r="K125" s="726"/>
      <c r="L125" s="726"/>
      <c r="M125" s="726"/>
      <c r="N125" s="726"/>
      <c r="O125" s="726"/>
    </row>
    <row r="126" spans="1:15" ht="36" customHeight="1">
      <c r="A126" s="783"/>
      <c r="B126" s="784"/>
      <c r="C126" s="764" t="s">
        <v>682</v>
      </c>
      <c r="D126" s="842" t="s">
        <v>329</v>
      </c>
      <c r="E126" s="786"/>
      <c r="F126" s="787"/>
      <c r="G126" s="726">
        <v>12500</v>
      </c>
      <c r="H126" s="726">
        <v>0</v>
      </c>
      <c r="I126" s="790">
        <f aca="true" t="shared" si="35" ref="I126:I157">SUM(G126:H126)</f>
        <v>12500</v>
      </c>
      <c r="J126" s="726"/>
      <c r="K126" s="726"/>
      <c r="L126" s="726">
        <f aca="true" t="shared" si="36" ref="L126:L138">SUM(J126:K126)</f>
        <v>0</v>
      </c>
      <c r="M126" s="726">
        <f aca="true" t="shared" si="37" ref="M126:M138">SUM(G126+J126)</f>
        <v>12500</v>
      </c>
      <c r="N126" s="726">
        <f aca="true" t="shared" si="38" ref="N126:N138">SUM(H126+K126)</f>
        <v>0</v>
      </c>
      <c r="O126" s="726">
        <f aca="true" t="shared" si="39" ref="O126:O138">SUM(M126:N126)</f>
        <v>12500</v>
      </c>
    </row>
    <row r="127" spans="1:15" ht="24.75" customHeight="1">
      <c r="A127" s="783"/>
      <c r="B127" s="784"/>
      <c r="C127" s="764" t="s">
        <v>683</v>
      </c>
      <c r="D127" s="842" t="s">
        <v>330</v>
      </c>
      <c r="E127" s="786"/>
      <c r="F127" s="787"/>
      <c r="G127" s="726">
        <v>20000</v>
      </c>
      <c r="H127" s="726">
        <v>0</v>
      </c>
      <c r="I127" s="790">
        <f t="shared" si="35"/>
        <v>20000</v>
      </c>
      <c r="J127" s="726"/>
      <c r="K127" s="726"/>
      <c r="L127" s="726">
        <f t="shared" si="36"/>
        <v>0</v>
      </c>
      <c r="M127" s="726">
        <f t="shared" si="37"/>
        <v>20000</v>
      </c>
      <c r="N127" s="726">
        <f t="shared" si="38"/>
        <v>0</v>
      </c>
      <c r="O127" s="726">
        <f t="shared" si="39"/>
        <v>20000</v>
      </c>
    </row>
    <row r="128" spans="1:15" ht="24.75" customHeight="1">
      <c r="A128" s="783"/>
      <c r="B128" s="784"/>
      <c r="C128" s="764" t="s">
        <v>684</v>
      </c>
      <c r="D128" s="842" t="s">
        <v>331</v>
      </c>
      <c r="E128" s="786"/>
      <c r="F128" s="787"/>
      <c r="G128" s="726">
        <v>5100</v>
      </c>
      <c r="H128" s="726">
        <v>0</v>
      </c>
      <c r="I128" s="790">
        <f t="shared" si="35"/>
        <v>5100</v>
      </c>
      <c r="J128" s="726"/>
      <c r="K128" s="726"/>
      <c r="L128" s="726">
        <f t="shared" si="36"/>
        <v>0</v>
      </c>
      <c r="M128" s="726">
        <f t="shared" si="37"/>
        <v>5100</v>
      </c>
      <c r="N128" s="726">
        <f t="shared" si="38"/>
        <v>0</v>
      </c>
      <c r="O128" s="726">
        <f t="shared" si="39"/>
        <v>5100</v>
      </c>
    </row>
    <row r="129" spans="1:15" ht="13.5" customHeight="1">
      <c r="A129" s="783"/>
      <c r="B129" s="784"/>
      <c r="C129" s="764" t="s">
        <v>93</v>
      </c>
      <c r="D129" s="843" t="s">
        <v>332</v>
      </c>
      <c r="E129" s="786"/>
      <c r="F129" s="787"/>
      <c r="G129" s="726">
        <v>31000</v>
      </c>
      <c r="H129" s="726">
        <v>0</v>
      </c>
      <c r="I129" s="790">
        <f t="shared" si="35"/>
        <v>31000</v>
      </c>
      <c r="J129" s="726"/>
      <c r="K129" s="726"/>
      <c r="L129" s="726">
        <f t="shared" si="36"/>
        <v>0</v>
      </c>
      <c r="M129" s="726">
        <f t="shared" si="37"/>
        <v>31000</v>
      </c>
      <c r="N129" s="726">
        <f t="shared" si="38"/>
        <v>0</v>
      </c>
      <c r="O129" s="726">
        <f t="shared" si="39"/>
        <v>31000</v>
      </c>
    </row>
    <row r="130" spans="1:15" ht="13.5" customHeight="1">
      <c r="A130" s="783"/>
      <c r="B130" s="784"/>
      <c r="C130" s="764" t="s">
        <v>94</v>
      </c>
      <c r="D130" s="760" t="s">
        <v>1090</v>
      </c>
      <c r="E130" s="786"/>
      <c r="F130" s="787"/>
      <c r="G130" s="726">
        <v>5000</v>
      </c>
      <c r="H130" s="726">
        <v>0</v>
      </c>
      <c r="I130" s="790">
        <f t="shared" si="35"/>
        <v>5000</v>
      </c>
      <c r="J130" s="726"/>
      <c r="K130" s="726"/>
      <c r="L130" s="726">
        <f t="shared" si="36"/>
        <v>0</v>
      </c>
      <c r="M130" s="726">
        <f t="shared" si="37"/>
        <v>5000</v>
      </c>
      <c r="N130" s="726">
        <f t="shared" si="38"/>
        <v>0</v>
      </c>
      <c r="O130" s="726">
        <f t="shared" si="39"/>
        <v>5000</v>
      </c>
    </row>
    <row r="131" spans="1:15" ht="13.5" customHeight="1">
      <c r="A131" s="783"/>
      <c r="B131" s="784"/>
      <c r="C131" s="764" t="s">
        <v>1067</v>
      </c>
      <c r="D131" s="760" t="s">
        <v>1211</v>
      </c>
      <c r="E131" s="786"/>
      <c r="F131" s="787"/>
      <c r="G131" s="726">
        <v>3000</v>
      </c>
      <c r="H131" s="726">
        <v>0</v>
      </c>
      <c r="I131" s="790">
        <f t="shared" si="35"/>
        <v>3000</v>
      </c>
      <c r="J131" s="726"/>
      <c r="K131" s="726"/>
      <c r="L131" s="726">
        <f t="shared" si="36"/>
        <v>0</v>
      </c>
      <c r="M131" s="726">
        <f t="shared" si="37"/>
        <v>3000</v>
      </c>
      <c r="N131" s="726">
        <f t="shared" si="38"/>
        <v>0</v>
      </c>
      <c r="O131" s="726">
        <f t="shared" si="39"/>
        <v>3000</v>
      </c>
    </row>
    <row r="132" spans="1:15" ht="13.5" customHeight="1">
      <c r="A132" s="783"/>
      <c r="B132" s="784"/>
      <c r="C132" s="789"/>
      <c r="D132" s="795" t="s">
        <v>327</v>
      </c>
      <c r="E132" s="786"/>
      <c r="F132" s="787"/>
      <c r="G132" s="726">
        <v>0</v>
      </c>
      <c r="H132" s="726">
        <v>0</v>
      </c>
      <c r="I132" s="790">
        <f t="shared" si="35"/>
        <v>0</v>
      </c>
      <c r="J132" s="726"/>
      <c r="K132" s="726"/>
      <c r="L132" s="726">
        <f t="shared" si="36"/>
        <v>0</v>
      </c>
      <c r="M132" s="726">
        <f t="shared" si="37"/>
        <v>0</v>
      </c>
      <c r="N132" s="726">
        <f t="shared" si="38"/>
        <v>0</v>
      </c>
      <c r="O132" s="726">
        <f t="shared" si="39"/>
        <v>0</v>
      </c>
    </row>
    <row r="133" spans="1:15" ht="13.5" customHeight="1">
      <c r="A133" s="783"/>
      <c r="B133" s="784"/>
      <c r="C133" s="764" t="s">
        <v>290</v>
      </c>
      <c r="D133" s="794" t="s">
        <v>157</v>
      </c>
      <c r="E133" s="786"/>
      <c r="F133" s="787"/>
      <c r="G133" s="726">
        <v>236</v>
      </c>
      <c r="H133" s="726">
        <v>0</v>
      </c>
      <c r="I133" s="790">
        <f t="shared" si="35"/>
        <v>236</v>
      </c>
      <c r="J133" s="726"/>
      <c r="K133" s="726"/>
      <c r="L133" s="726">
        <f t="shared" si="36"/>
        <v>0</v>
      </c>
      <c r="M133" s="726">
        <f t="shared" si="37"/>
        <v>236</v>
      </c>
      <c r="N133" s="726">
        <f t="shared" si="38"/>
        <v>0</v>
      </c>
      <c r="O133" s="726">
        <f t="shared" si="39"/>
        <v>236</v>
      </c>
    </row>
    <row r="134" spans="1:15" ht="13.5" customHeight="1">
      <c r="A134" s="783"/>
      <c r="B134" s="784"/>
      <c r="C134" s="764" t="s">
        <v>291</v>
      </c>
      <c r="D134" s="843" t="s">
        <v>333</v>
      </c>
      <c r="E134" s="786"/>
      <c r="F134" s="787"/>
      <c r="G134" s="726">
        <v>20414</v>
      </c>
      <c r="H134" s="726">
        <v>0</v>
      </c>
      <c r="I134" s="790">
        <f t="shared" si="35"/>
        <v>20414</v>
      </c>
      <c r="J134" s="726"/>
      <c r="K134" s="726"/>
      <c r="L134" s="726">
        <f t="shared" si="36"/>
        <v>0</v>
      </c>
      <c r="M134" s="726">
        <f t="shared" si="37"/>
        <v>20414</v>
      </c>
      <c r="N134" s="726">
        <f t="shared" si="38"/>
        <v>0</v>
      </c>
      <c r="O134" s="726">
        <f t="shared" si="39"/>
        <v>20414</v>
      </c>
    </row>
    <row r="135" spans="1:15" ht="13.5" customHeight="1">
      <c r="A135" s="783"/>
      <c r="B135" s="784"/>
      <c r="C135" s="764" t="s">
        <v>292</v>
      </c>
      <c r="D135" s="843" t="s">
        <v>334</v>
      </c>
      <c r="E135" s="786"/>
      <c r="F135" s="787"/>
      <c r="G135" s="726">
        <v>6091</v>
      </c>
      <c r="H135" s="726">
        <v>0</v>
      </c>
      <c r="I135" s="790">
        <f t="shared" si="35"/>
        <v>6091</v>
      </c>
      <c r="J135" s="726"/>
      <c r="K135" s="726"/>
      <c r="L135" s="726">
        <f t="shared" si="36"/>
        <v>0</v>
      </c>
      <c r="M135" s="726">
        <f t="shared" si="37"/>
        <v>6091</v>
      </c>
      <c r="N135" s="726">
        <f t="shared" si="38"/>
        <v>0</v>
      </c>
      <c r="O135" s="726">
        <f t="shared" si="39"/>
        <v>6091</v>
      </c>
    </row>
    <row r="136" spans="1:15" ht="15" customHeight="1">
      <c r="A136" s="791"/>
      <c r="B136" s="791"/>
      <c r="C136" s="764" t="s">
        <v>293</v>
      </c>
      <c r="D136" s="844" t="s">
        <v>1039</v>
      </c>
      <c r="E136" s="845"/>
      <c r="F136" s="846"/>
      <c r="G136" s="726">
        <v>900</v>
      </c>
      <c r="H136" s="726">
        <v>0</v>
      </c>
      <c r="I136" s="790">
        <f t="shared" si="35"/>
        <v>900</v>
      </c>
      <c r="J136" s="726"/>
      <c r="K136" s="726"/>
      <c r="L136" s="726">
        <f t="shared" si="36"/>
        <v>0</v>
      </c>
      <c r="M136" s="726">
        <f t="shared" si="37"/>
        <v>900</v>
      </c>
      <c r="N136" s="726">
        <f t="shared" si="38"/>
        <v>0</v>
      </c>
      <c r="O136" s="726">
        <f t="shared" si="39"/>
        <v>900</v>
      </c>
    </row>
    <row r="137" spans="1:15" ht="15" customHeight="1">
      <c r="A137" s="791"/>
      <c r="B137" s="791"/>
      <c r="C137" s="764" t="s">
        <v>132</v>
      </c>
      <c r="D137" s="847" t="s">
        <v>263</v>
      </c>
      <c r="E137" s="848"/>
      <c r="F137" s="849"/>
      <c r="G137" s="726">
        <v>343</v>
      </c>
      <c r="H137" s="726">
        <v>0</v>
      </c>
      <c r="I137" s="790">
        <f t="shared" si="35"/>
        <v>343</v>
      </c>
      <c r="J137" s="726"/>
      <c r="K137" s="726"/>
      <c r="L137" s="726">
        <f t="shared" si="36"/>
        <v>0</v>
      </c>
      <c r="M137" s="726">
        <f t="shared" si="37"/>
        <v>343</v>
      </c>
      <c r="N137" s="726">
        <f t="shared" si="38"/>
        <v>0</v>
      </c>
      <c r="O137" s="726">
        <f t="shared" si="39"/>
        <v>343</v>
      </c>
    </row>
    <row r="138" spans="1:15" ht="15" customHeight="1">
      <c r="A138" s="791"/>
      <c r="B138" s="791"/>
      <c r="C138" s="764" t="s">
        <v>133</v>
      </c>
      <c r="D138" s="850" t="s">
        <v>156</v>
      </c>
      <c r="E138" s="317"/>
      <c r="F138" s="851"/>
      <c r="G138" s="726">
        <v>924</v>
      </c>
      <c r="H138" s="726">
        <v>0</v>
      </c>
      <c r="I138" s="790">
        <f t="shared" si="35"/>
        <v>924</v>
      </c>
      <c r="J138" s="726"/>
      <c r="K138" s="726"/>
      <c r="L138" s="726">
        <f t="shared" si="36"/>
        <v>0</v>
      </c>
      <c r="M138" s="726">
        <f t="shared" si="37"/>
        <v>924</v>
      </c>
      <c r="N138" s="726">
        <f t="shared" si="38"/>
        <v>0</v>
      </c>
      <c r="O138" s="726">
        <f t="shared" si="39"/>
        <v>924</v>
      </c>
    </row>
    <row r="139" spans="1:15" ht="13.5" customHeight="1">
      <c r="A139" s="852"/>
      <c r="B139" s="852"/>
      <c r="C139" s="799" t="s">
        <v>681</v>
      </c>
      <c r="D139" s="800" t="s">
        <v>1578</v>
      </c>
      <c r="E139" s="807"/>
      <c r="F139" s="808"/>
      <c r="G139" s="726"/>
      <c r="H139" s="726"/>
      <c r="I139" s="790">
        <f t="shared" si="35"/>
        <v>0</v>
      </c>
      <c r="J139" s="726"/>
      <c r="K139" s="726"/>
      <c r="L139" s="726"/>
      <c r="M139" s="726"/>
      <c r="N139" s="726"/>
      <c r="O139" s="726"/>
    </row>
    <row r="140" spans="1:15" ht="25.5" customHeight="1">
      <c r="A140" s="852"/>
      <c r="B140" s="852"/>
      <c r="C140" s="767" t="s">
        <v>283</v>
      </c>
      <c r="D140" s="853" t="s">
        <v>359</v>
      </c>
      <c r="E140" s="807"/>
      <c r="F140" s="808"/>
      <c r="G140" s="726">
        <v>55500</v>
      </c>
      <c r="H140" s="726">
        <v>0</v>
      </c>
      <c r="I140" s="790">
        <f t="shared" si="35"/>
        <v>55500</v>
      </c>
      <c r="J140" s="726"/>
      <c r="K140" s="726"/>
      <c r="L140" s="726">
        <f>SUM(J140:K140)</f>
        <v>0</v>
      </c>
      <c r="M140" s="726">
        <f aca="true" t="shared" si="40" ref="M140:N144">SUM(G140+J140)</f>
        <v>55500</v>
      </c>
      <c r="N140" s="726">
        <f t="shared" si="40"/>
        <v>0</v>
      </c>
      <c r="O140" s="726">
        <f>SUM(M140:N140)</f>
        <v>55500</v>
      </c>
    </row>
    <row r="141" spans="1:15" ht="13.5" customHeight="1">
      <c r="A141" s="852"/>
      <c r="B141" s="852"/>
      <c r="C141" s="767" t="s">
        <v>717</v>
      </c>
      <c r="D141" s="843" t="s">
        <v>360</v>
      </c>
      <c r="E141" s="807"/>
      <c r="F141" s="808"/>
      <c r="G141" s="726">
        <v>500</v>
      </c>
      <c r="H141" s="726">
        <v>0</v>
      </c>
      <c r="I141" s="790">
        <f t="shared" si="35"/>
        <v>500</v>
      </c>
      <c r="J141" s="726"/>
      <c r="K141" s="726"/>
      <c r="L141" s="726">
        <f>SUM(J141:K141)</f>
        <v>0</v>
      </c>
      <c r="M141" s="726">
        <f t="shared" si="40"/>
        <v>500</v>
      </c>
      <c r="N141" s="726">
        <f t="shared" si="40"/>
        <v>0</v>
      </c>
      <c r="O141" s="726">
        <f>SUM(M141:N141)</f>
        <v>500</v>
      </c>
    </row>
    <row r="142" spans="1:15" ht="13.5" customHeight="1">
      <c r="A142" s="852"/>
      <c r="B142" s="852"/>
      <c r="C142" s="767" t="s">
        <v>671</v>
      </c>
      <c r="D142" s="854" t="s">
        <v>361</v>
      </c>
      <c r="E142" s="807"/>
      <c r="F142" s="808"/>
      <c r="G142" s="726">
        <v>1500</v>
      </c>
      <c r="H142" s="726">
        <v>0</v>
      </c>
      <c r="I142" s="790">
        <f t="shared" si="35"/>
        <v>1500</v>
      </c>
      <c r="J142" s="726"/>
      <c r="K142" s="726"/>
      <c r="L142" s="726">
        <f>SUM(J142:K142)</f>
        <v>0</v>
      </c>
      <c r="M142" s="726">
        <f t="shared" si="40"/>
        <v>1500</v>
      </c>
      <c r="N142" s="726">
        <f t="shared" si="40"/>
        <v>0</v>
      </c>
      <c r="O142" s="726">
        <f>SUM(M142:N142)</f>
        <v>1500</v>
      </c>
    </row>
    <row r="143" spans="1:15" ht="13.5" customHeight="1">
      <c r="A143" s="852"/>
      <c r="B143" s="852"/>
      <c r="C143" s="799"/>
      <c r="D143" s="795" t="s">
        <v>327</v>
      </c>
      <c r="E143" s="807"/>
      <c r="F143" s="808"/>
      <c r="G143" s="726">
        <v>0</v>
      </c>
      <c r="H143" s="726">
        <v>0</v>
      </c>
      <c r="I143" s="790">
        <f t="shared" si="35"/>
        <v>0</v>
      </c>
      <c r="J143" s="726"/>
      <c r="K143" s="726"/>
      <c r="L143" s="726">
        <f>SUM(J143:K143)</f>
        <v>0</v>
      </c>
      <c r="M143" s="726">
        <f t="shared" si="40"/>
        <v>0</v>
      </c>
      <c r="N143" s="726">
        <f t="shared" si="40"/>
        <v>0</v>
      </c>
      <c r="O143" s="726">
        <f>SUM(M143:N143)</f>
        <v>0</v>
      </c>
    </row>
    <row r="144" spans="1:15" ht="13.5" customHeight="1">
      <c r="A144" s="852"/>
      <c r="B144" s="852"/>
      <c r="C144" s="767" t="s">
        <v>715</v>
      </c>
      <c r="D144" s="855" t="s">
        <v>264</v>
      </c>
      <c r="E144" s="786"/>
      <c r="F144" s="787"/>
      <c r="G144" s="726">
        <v>400</v>
      </c>
      <c r="H144" s="726">
        <v>0</v>
      </c>
      <c r="I144" s="790">
        <f t="shared" si="35"/>
        <v>400</v>
      </c>
      <c r="J144" s="726"/>
      <c r="K144" s="726"/>
      <c r="L144" s="726">
        <f>SUM(J144:K144)</f>
        <v>0</v>
      </c>
      <c r="M144" s="726">
        <f t="shared" si="40"/>
        <v>400</v>
      </c>
      <c r="N144" s="726">
        <f t="shared" si="40"/>
        <v>0</v>
      </c>
      <c r="O144" s="726">
        <f>SUM(M144:N144)</f>
        <v>400</v>
      </c>
    </row>
    <row r="145" spans="1:15" ht="13.5" customHeight="1">
      <c r="A145" s="852"/>
      <c r="B145" s="852"/>
      <c r="C145" s="804" t="s">
        <v>686</v>
      </c>
      <c r="D145" s="805" t="s">
        <v>1609</v>
      </c>
      <c r="E145" s="807"/>
      <c r="F145" s="808"/>
      <c r="G145" s="726"/>
      <c r="H145" s="726"/>
      <c r="I145" s="790">
        <f t="shared" si="35"/>
        <v>0</v>
      </c>
      <c r="J145" s="726"/>
      <c r="K145" s="726"/>
      <c r="L145" s="726"/>
      <c r="M145" s="726"/>
      <c r="N145" s="726"/>
      <c r="O145" s="726"/>
    </row>
    <row r="146" spans="1:15" ht="13.5" customHeight="1">
      <c r="A146" s="852"/>
      <c r="B146" s="852"/>
      <c r="C146" s="804"/>
      <c r="D146" s="795" t="s">
        <v>327</v>
      </c>
      <c r="E146" s="807"/>
      <c r="F146" s="808"/>
      <c r="G146" s="726"/>
      <c r="H146" s="726"/>
      <c r="I146" s="790">
        <f t="shared" si="35"/>
        <v>0</v>
      </c>
      <c r="J146" s="726"/>
      <c r="K146" s="726"/>
      <c r="L146" s="726"/>
      <c r="M146" s="726"/>
      <c r="N146" s="726"/>
      <c r="O146" s="726"/>
    </row>
    <row r="147" spans="1:15" ht="15" customHeight="1">
      <c r="A147" s="852"/>
      <c r="B147" s="852"/>
      <c r="C147" s="767" t="s">
        <v>1049</v>
      </c>
      <c r="D147" s="856" t="s">
        <v>1602</v>
      </c>
      <c r="E147" s="857" t="s">
        <v>196</v>
      </c>
      <c r="F147" s="808"/>
      <c r="G147" s="726">
        <v>577653</v>
      </c>
      <c r="H147" s="726">
        <v>0</v>
      </c>
      <c r="I147" s="790">
        <f t="shared" si="35"/>
        <v>577653</v>
      </c>
      <c r="J147" s="726"/>
      <c r="K147" s="726"/>
      <c r="L147" s="726">
        <f>SUM(J147:K147)</f>
        <v>0</v>
      </c>
      <c r="M147" s="726">
        <f>SUM(G147+J147)</f>
        <v>577653</v>
      </c>
      <c r="N147" s="726">
        <f>SUM(H147+K147)</f>
        <v>0</v>
      </c>
      <c r="O147" s="726">
        <f>SUM(M147:N147)</f>
        <v>577653</v>
      </c>
    </row>
    <row r="148" spans="1:15" ht="24.75" customHeight="1">
      <c r="A148" s="852"/>
      <c r="B148" s="852"/>
      <c r="C148" s="767" t="s">
        <v>1050</v>
      </c>
      <c r="D148" s="856" t="s">
        <v>1603</v>
      </c>
      <c r="E148" s="857" t="s">
        <v>196</v>
      </c>
      <c r="F148" s="808"/>
      <c r="G148" s="726">
        <v>581631</v>
      </c>
      <c r="H148" s="726">
        <v>0</v>
      </c>
      <c r="I148" s="790">
        <f t="shared" si="35"/>
        <v>581631</v>
      </c>
      <c r="J148" s="726"/>
      <c r="K148" s="726"/>
      <c r="L148" s="726">
        <f>SUM(J148:K148)</f>
        <v>0</v>
      </c>
      <c r="M148" s="726">
        <f>SUM(G148+J148)</f>
        <v>581631</v>
      </c>
      <c r="N148" s="726">
        <f>SUM(H148+K148)</f>
        <v>0</v>
      </c>
      <c r="O148" s="726">
        <f>SUM(M148:N148)</f>
        <v>581631</v>
      </c>
    </row>
    <row r="149" spans="1:15" ht="12" customHeight="1">
      <c r="A149" s="804"/>
      <c r="B149" s="804"/>
      <c r="C149" s="804" t="s">
        <v>688</v>
      </c>
      <c r="D149" s="805" t="s">
        <v>689</v>
      </c>
      <c r="E149" s="858"/>
      <c r="F149" s="859"/>
      <c r="G149" s="726"/>
      <c r="H149" s="726"/>
      <c r="I149" s="790">
        <f t="shared" si="35"/>
        <v>0</v>
      </c>
      <c r="J149" s="726"/>
      <c r="K149" s="726"/>
      <c r="L149" s="726"/>
      <c r="M149" s="726"/>
      <c r="N149" s="726"/>
      <c r="O149" s="726"/>
    </row>
    <row r="150" spans="1:15" ht="12" customHeight="1">
      <c r="A150" s="804"/>
      <c r="B150" s="804"/>
      <c r="C150" s="811" t="s">
        <v>690</v>
      </c>
      <c r="D150" s="853" t="s">
        <v>362</v>
      </c>
      <c r="E150" s="858"/>
      <c r="F150" s="859"/>
      <c r="G150" s="726">
        <v>5000</v>
      </c>
      <c r="H150" s="726">
        <v>0</v>
      </c>
      <c r="I150" s="790">
        <f t="shared" si="35"/>
        <v>5000</v>
      </c>
      <c r="J150" s="726"/>
      <c r="K150" s="726"/>
      <c r="L150" s="726">
        <f aca="true" t="shared" si="41" ref="L150:L165">SUM(J150:K150)</f>
        <v>0</v>
      </c>
      <c r="M150" s="726">
        <f aca="true" t="shared" si="42" ref="M150:N156">SUM(G150+J150)</f>
        <v>5000</v>
      </c>
      <c r="N150" s="726">
        <f t="shared" si="42"/>
        <v>0</v>
      </c>
      <c r="O150" s="726">
        <f aca="true" t="shared" si="43" ref="O150:O165">SUM(M150:N150)</f>
        <v>5000</v>
      </c>
    </row>
    <row r="151" spans="1:15" ht="12" customHeight="1">
      <c r="A151" s="804"/>
      <c r="B151" s="804"/>
      <c r="C151" s="811" t="s">
        <v>1509</v>
      </c>
      <c r="D151" s="753" t="s">
        <v>372</v>
      </c>
      <c r="E151" s="858"/>
      <c r="F151" s="859"/>
      <c r="G151" s="726">
        <v>3000</v>
      </c>
      <c r="H151" s="726">
        <v>0</v>
      </c>
      <c r="I151" s="790">
        <f t="shared" si="35"/>
        <v>3000</v>
      </c>
      <c r="J151" s="726"/>
      <c r="K151" s="726"/>
      <c r="L151" s="726">
        <f t="shared" si="41"/>
        <v>0</v>
      </c>
      <c r="M151" s="726">
        <f t="shared" si="42"/>
        <v>3000</v>
      </c>
      <c r="N151" s="726">
        <f t="shared" si="42"/>
        <v>0</v>
      </c>
      <c r="O151" s="726">
        <f t="shared" si="43"/>
        <v>3000</v>
      </c>
    </row>
    <row r="152" spans="1:15" ht="12" customHeight="1">
      <c r="A152" s="804"/>
      <c r="B152" s="804"/>
      <c r="C152" s="811" t="s">
        <v>1510</v>
      </c>
      <c r="D152" s="814" t="s">
        <v>553</v>
      </c>
      <c r="E152" s="786"/>
      <c r="F152" s="787" t="s">
        <v>828</v>
      </c>
      <c r="G152" s="726">
        <v>5000</v>
      </c>
      <c r="H152" s="726">
        <v>0</v>
      </c>
      <c r="I152" s="790">
        <f t="shared" si="35"/>
        <v>5000</v>
      </c>
      <c r="J152" s="726"/>
      <c r="K152" s="726"/>
      <c r="L152" s="726">
        <f t="shared" si="41"/>
        <v>0</v>
      </c>
      <c r="M152" s="726">
        <f t="shared" si="42"/>
        <v>5000</v>
      </c>
      <c r="N152" s="726">
        <f t="shared" si="42"/>
        <v>0</v>
      </c>
      <c r="O152" s="726">
        <f t="shared" si="43"/>
        <v>5000</v>
      </c>
    </row>
    <row r="153" spans="1:15" ht="12" customHeight="1">
      <c r="A153" s="804"/>
      <c r="B153" s="804"/>
      <c r="C153" s="811" t="s">
        <v>1511</v>
      </c>
      <c r="D153" s="801" t="s">
        <v>391</v>
      </c>
      <c r="E153" s="786"/>
      <c r="F153" s="787"/>
      <c r="G153" s="726">
        <v>18000</v>
      </c>
      <c r="H153" s="726">
        <v>0</v>
      </c>
      <c r="I153" s="790">
        <f t="shared" si="35"/>
        <v>18000</v>
      </c>
      <c r="J153" s="726"/>
      <c r="K153" s="726"/>
      <c r="L153" s="726">
        <f t="shared" si="41"/>
        <v>0</v>
      </c>
      <c r="M153" s="726">
        <f t="shared" si="42"/>
        <v>18000</v>
      </c>
      <c r="N153" s="726">
        <f t="shared" si="42"/>
        <v>0</v>
      </c>
      <c r="O153" s="726">
        <f t="shared" si="43"/>
        <v>18000</v>
      </c>
    </row>
    <row r="154" spans="1:15" ht="12" customHeight="1">
      <c r="A154" s="804"/>
      <c r="B154" s="804"/>
      <c r="C154" s="811" t="s">
        <v>1512</v>
      </c>
      <c r="D154" s="814" t="s">
        <v>392</v>
      </c>
      <c r="E154" s="786"/>
      <c r="F154" s="787"/>
      <c r="G154" s="726">
        <v>2500</v>
      </c>
      <c r="H154" s="726">
        <v>0</v>
      </c>
      <c r="I154" s="790">
        <f t="shared" si="35"/>
        <v>2500</v>
      </c>
      <c r="J154" s="726"/>
      <c r="K154" s="726"/>
      <c r="L154" s="726">
        <f t="shared" si="41"/>
        <v>0</v>
      </c>
      <c r="M154" s="726">
        <f t="shared" si="42"/>
        <v>2500</v>
      </c>
      <c r="N154" s="726">
        <f t="shared" si="42"/>
        <v>0</v>
      </c>
      <c r="O154" s="726">
        <f t="shared" si="43"/>
        <v>2500</v>
      </c>
    </row>
    <row r="155" spans="1:15" ht="12" customHeight="1">
      <c r="A155" s="804"/>
      <c r="B155" s="804"/>
      <c r="C155" s="811" t="s">
        <v>1513</v>
      </c>
      <c r="D155" s="814" t="s">
        <v>394</v>
      </c>
      <c r="E155" s="786"/>
      <c r="F155" s="787"/>
      <c r="G155" s="726">
        <v>0</v>
      </c>
      <c r="H155" s="726">
        <v>4000</v>
      </c>
      <c r="I155" s="790">
        <f t="shared" si="35"/>
        <v>4000</v>
      </c>
      <c r="J155" s="726"/>
      <c r="K155" s="726"/>
      <c r="L155" s="726">
        <f t="shared" si="41"/>
        <v>0</v>
      </c>
      <c r="M155" s="726">
        <f t="shared" si="42"/>
        <v>0</v>
      </c>
      <c r="N155" s="726">
        <f t="shared" si="42"/>
        <v>4000</v>
      </c>
      <c r="O155" s="726">
        <f t="shared" si="43"/>
        <v>4000</v>
      </c>
    </row>
    <row r="156" spans="1:15" ht="12" customHeight="1">
      <c r="A156" s="804"/>
      <c r="B156" s="804"/>
      <c r="C156" s="811" t="s">
        <v>1170</v>
      </c>
      <c r="D156" s="826" t="s">
        <v>397</v>
      </c>
      <c r="E156" s="786"/>
      <c r="F156" s="787"/>
      <c r="G156" s="726">
        <v>10700</v>
      </c>
      <c r="H156" s="726">
        <v>0</v>
      </c>
      <c r="I156" s="790">
        <f t="shared" si="35"/>
        <v>10700</v>
      </c>
      <c r="J156" s="726"/>
      <c r="K156" s="726"/>
      <c r="L156" s="726">
        <f t="shared" si="41"/>
        <v>0</v>
      </c>
      <c r="M156" s="726">
        <f t="shared" si="42"/>
        <v>10700</v>
      </c>
      <c r="N156" s="726">
        <f t="shared" si="42"/>
        <v>0</v>
      </c>
      <c r="O156" s="726">
        <f t="shared" si="43"/>
        <v>10700</v>
      </c>
    </row>
    <row r="157" spans="1:15" ht="12" customHeight="1">
      <c r="A157" s="804"/>
      <c r="B157" s="804"/>
      <c r="C157" s="811" t="s">
        <v>1171</v>
      </c>
      <c r="D157" s="801" t="s">
        <v>992</v>
      </c>
      <c r="E157" s="786"/>
      <c r="F157" s="787"/>
      <c r="G157" s="726">
        <v>4000</v>
      </c>
      <c r="H157" s="726"/>
      <c r="I157" s="790">
        <f t="shared" si="35"/>
        <v>4000</v>
      </c>
      <c r="J157" s="726"/>
      <c r="K157" s="726"/>
      <c r="L157" s="726">
        <f t="shared" si="41"/>
        <v>0</v>
      </c>
      <c r="M157" s="726">
        <f aca="true" t="shared" si="44" ref="M157:M165">SUM(G157+J157)</f>
        <v>4000</v>
      </c>
      <c r="N157" s="726"/>
      <c r="O157" s="726">
        <f t="shared" si="43"/>
        <v>4000</v>
      </c>
    </row>
    <row r="158" spans="1:15" ht="12" customHeight="1">
      <c r="A158" s="804"/>
      <c r="B158" s="804"/>
      <c r="C158" s="804"/>
      <c r="D158" s="795" t="s">
        <v>327</v>
      </c>
      <c r="E158" s="858"/>
      <c r="F158" s="859"/>
      <c r="G158" s="726">
        <v>0</v>
      </c>
      <c r="H158" s="726">
        <v>0</v>
      </c>
      <c r="I158" s="790">
        <f aca="true" t="shared" si="45" ref="I158:I189">SUM(G158:H158)</f>
        <v>0</v>
      </c>
      <c r="J158" s="726"/>
      <c r="K158" s="726"/>
      <c r="L158" s="726">
        <f t="shared" si="41"/>
        <v>0</v>
      </c>
      <c r="M158" s="726">
        <f t="shared" si="44"/>
        <v>0</v>
      </c>
      <c r="N158" s="726">
        <f aca="true" t="shared" si="46" ref="N158:N165">SUM(H158+K158)</f>
        <v>0</v>
      </c>
      <c r="O158" s="726">
        <f t="shared" si="43"/>
        <v>0</v>
      </c>
    </row>
    <row r="159" spans="1:15" ht="12" customHeight="1">
      <c r="A159" s="804"/>
      <c r="B159" s="804"/>
      <c r="C159" s="860" t="s">
        <v>286</v>
      </c>
      <c r="D159" s="833" t="s">
        <v>363</v>
      </c>
      <c r="E159" s="858"/>
      <c r="F159" s="859"/>
      <c r="G159" s="726">
        <v>13510</v>
      </c>
      <c r="H159" s="726">
        <v>0</v>
      </c>
      <c r="I159" s="790">
        <f t="shared" si="45"/>
        <v>13510</v>
      </c>
      <c r="J159" s="726"/>
      <c r="K159" s="726"/>
      <c r="L159" s="726">
        <f t="shared" si="41"/>
        <v>0</v>
      </c>
      <c r="M159" s="726">
        <f t="shared" si="44"/>
        <v>13510</v>
      </c>
      <c r="N159" s="726">
        <f t="shared" si="46"/>
        <v>0</v>
      </c>
      <c r="O159" s="726">
        <f t="shared" si="43"/>
        <v>13510</v>
      </c>
    </row>
    <row r="160" spans="1:15" ht="12" customHeight="1">
      <c r="A160" s="804"/>
      <c r="B160" s="804"/>
      <c r="C160" s="860" t="s">
        <v>287</v>
      </c>
      <c r="D160" s="856" t="s">
        <v>267</v>
      </c>
      <c r="E160" s="858"/>
      <c r="F160" s="859"/>
      <c r="G160" s="726">
        <v>25076</v>
      </c>
      <c r="H160" s="726">
        <v>0</v>
      </c>
      <c r="I160" s="790">
        <f t="shared" si="45"/>
        <v>25076</v>
      </c>
      <c r="J160" s="726"/>
      <c r="K160" s="726"/>
      <c r="L160" s="726">
        <f t="shared" si="41"/>
        <v>0</v>
      </c>
      <c r="M160" s="726">
        <f t="shared" si="44"/>
        <v>25076</v>
      </c>
      <c r="N160" s="726">
        <f t="shared" si="46"/>
        <v>0</v>
      </c>
      <c r="O160" s="726">
        <f t="shared" si="43"/>
        <v>25076</v>
      </c>
    </row>
    <row r="161" spans="1:15" ht="24.75" customHeight="1">
      <c r="A161" s="804"/>
      <c r="B161" s="804"/>
      <c r="C161" s="860" t="s">
        <v>288</v>
      </c>
      <c r="D161" s="861" t="s">
        <v>364</v>
      </c>
      <c r="E161" s="858"/>
      <c r="F161" s="859"/>
      <c r="G161" s="726">
        <v>0</v>
      </c>
      <c r="H161" s="726">
        <v>12100</v>
      </c>
      <c r="I161" s="790">
        <f t="shared" si="45"/>
        <v>12100</v>
      </c>
      <c r="J161" s="726"/>
      <c r="K161" s="726"/>
      <c r="L161" s="726">
        <f t="shared" si="41"/>
        <v>0</v>
      </c>
      <c r="M161" s="726">
        <f t="shared" si="44"/>
        <v>0</v>
      </c>
      <c r="N161" s="726">
        <f t="shared" si="46"/>
        <v>12100</v>
      </c>
      <c r="O161" s="726">
        <f t="shared" si="43"/>
        <v>12100</v>
      </c>
    </row>
    <row r="162" spans="1:15" ht="12" customHeight="1">
      <c r="A162" s="804"/>
      <c r="B162" s="804"/>
      <c r="C162" s="860" t="s">
        <v>152</v>
      </c>
      <c r="D162" s="862" t="s">
        <v>265</v>
      </c>
      <c r="E162" s="858"/>
      <c r="F162" s="859"/>
      <c r="G162" s="726">
        <v>30000</v>
      </c>
      <c r="H162" s="726">
        <v>0</v>
      </c>
      <c r="I162" s="790">
        <f t="shared" si="45"/>
        <v>30000</v>
      </c>
      <c r="J162" s="726"/>
      <c r="K162" s="726"/>
      <c r="L162" s="726">
        <f t="shared" si="41"/>
        <v>0</v>
      </c>
      <c r="M162" s="726">
        <f t="shared" si="44"/>
        <v>30000</v>
      </c>
      <c r="N162" s="726">
        <f t="shared" si="46"/>
        <v>0</v>
      </c>
      <c r="O162" s="726">
        <f t="shared" si="43"/>
        <v>30000</v>
      </c>
    </row>
    <row r="163" spans="1:15" ht="12" customHeight="1">
      <c r="A163" s="804"/>
      <c r="B163" s="804"/>
      <c r="C163" s="860" t="s">
        <v>153</v>
      </c>
      <c r="D163" s="863" t="s">
        <v>266</v>
      </c>
      <c r="E163" s="858"/>
      <c r="F163" s="859"/>
      <c r="G163" s="726">
        <v>21384</v>
      </c>
      <c r="H163" s="726">
        <v>0</v>
      </c>
      <c r="I163" s="790">
        <f t="shared" si="45"/>
        <v>21384</v>
      </c>
      <c r="J163" s="726"/>
      <c r="K163" s="726"/>
      <c r="L163" s="726">
        <f t="shared" si="41"/>
        <v>0</v>
      </c>
      <c r="M163" s="726">
        <f t="shared" si="44"/>
        <v>21384</v>
      </c>
      <c r="N163" s="726">
        <f t="shared" si="46"/>
        <v>0</v>
      </c>
      <c r="O163" s="726">
        <f t="shared" si="43"/>
        <v>21384</v>
      </c>
    </row>
    <row r="164" spans="1:15" ht="12" customHeight="1">
      <c r="A164" s="804"/>
      <c r="B164" s="804"/>
      <c r="C164" s="860" t="s">
        <v>154</v>
      </c>
      <c r="D164" s="850" t="s">
        <v>1589</v>
      </c>
      <c r="E164" s="858"/>
      <c r="F164" s="859"/>
      <c r="G164" s="726">
        <v>1519</v>
      </c>
      <c r="H164" s="726">
        <v>0</v>
      </c>
      <c r="I164" s="790">
        <f t="shared" si="45"/>
        <v>1519</v>
      </c>
      <c r="J164" s="726"/>
      <c r="K164" s="726"/>
      <c r="L164" s="726">
        <f t="shared" si="41"/>
        <v>0</v>
      </c>
      <c r="M164" s="726">
        <f t="shared" si="44"/>
        <v>1519</v>
      </c>
      <c r="N164" s="726">
        <f t="shared" si="46"/>
        <v>0</v>
      </c>
      <c r="O164" s="726">
        <f t="shared" si="43"/>
        <v>1519</v>
      </c>
    </row>
    <row r="165" spans="1:15" ht="12" customHeight="1">
      <c r="A165" s="804"/>
      <c r="B165" s="804"/>
      <c r="C165" s="860" t="s">
        <v>155</v>
      </c>
      <c r="D165" s="864" t="s">
        <v>258</v>
      </c>
      <c r="E165" s="858"/>
      <c r="F165" s="859"/>
      <c r="G165" s="726">
        <v>17418</v>
      </c>
      <c r="H165" s="726">
        <v>0</v>
      </c>
      <c r="I165" s="790">
        <f t="shared" si="45"/>
        <v>17418</v>
      </c>
      <c r="J165" s="726"/>
      <c r="K165" s="726"/>
      <c r="L165" s="726">
        <f t="shared" si="41"/>
        <v>0</v>
      </c>
      <c r="M165" s="726">
        <f t="shared" si="44"/>
        <v>17418</v>
      </c>
      <c r="N165" s="726">
        <f t="shared" si="46"/>
        <v>0</v>
      </c>
      <c r="O165" s="726">
        <f t="shared" si="43"/>
        <v>17418</v>
      </c>
    </row>
    <row r="166" spans="1:15" ht="13.5" customHeight="1">
      <c r="A166" s="804"/>
      <c r="B166" s="804"/>
      <c r="C166" s="804" t="s">
        <v>1180</v>
      </c>
      <c r="D166" s="805" t="s">
        <v>1342</v>
      </c>
      <c r="E166" s="865"/>
      <c r="F166" s="866"/>
      <c r="G166" s="726"/>
      <c r="H166" s="726"/>
      <c r="I166" s="790">
        <f t="shared" si="45"/>
        <v>0</v>
      </c>
      <c r="J166" s="726"/>
      <c r="K166" s="726"/>
      <c r="L166" s="726"/>
      <c r="M166" s="726"/>
      <c r="N166" s="726"/>
      <c r="O166" s="726"/>
    </row>
    <row r="167" spans="1:15" ht="13.5" customHeight="1">
      <c r="A167" s="804"/>
      <c r="B167" s="804"/>
      <c r="C167" s="804"/>
      <c r="D167" s="795" t="s">
        <v>327</v>
      </c>
      <c r="E167" s="865"/>
      <c r="F167" s="866"/>
      <c r="G167" s="726"/>
      <c r="H167" s="726"/>
      <c r="I167" s="790">
        <f t="shared" si="45"/>
        <v>0</v>
      </c>
      <c r="J167" s="726"/>
      <c r="K167" s="726"/>
      <c r="L167" s="726"/>
      <c r="M167" s="726"/>
      <c r="N167" s="726"/>
      <c r="O167" s="726"/>
    </row>
    <row r="168" spans="1:15" ht="13.5" customHeight="1">
      <c r="A168" s="804"/>
      <c r="B168" s="804"/>
      <c r="C168" s="811" t="s">
        <v>456</v>
      </c>
      <c r="D168" s="867" t="s">
        <v>1042</v>
      </c>
      <c r="E168" s="786"/>
      <c r="F168" s="787" t="s">
        <v>828</v>
      </c>
      <c r="G168" s="726">
        <v>3836</v>
      </c>
      <c r="H168" s="726">
        <v>0</v>
      </c>
      <c r="I168" s="790">
        <f t="shared" si="45"/>
        <v>3836</v>
      </c>
      <c r="J168" s="726">
        <v>22</v>
      </c>
      <c r="K168" s="726"/>
      <c r="L168" s="726">
        <f>SUM(J168:K168)</f>
        <v>22</v>
      </c>
      <c r="M168" s="726">
        <f aca="true" t="shared" si="47" ref="M168:N170">SUM(G168+J168)</f>
        <v>3858</v>
      </c>
      <c r="N168" s="726">
        <f t="shared" si="47"/>
        <v>0</v>
      </c>
      <c r="O168" s="726">
        <f>SUM(M168:N168)</f>
        <v>3858</v>
      </c>
    </row>
    <row r="169" spans="1:15" ht="13.5" customHeight="1">
      <c r="A169" s="804"/>
      <c r="B169" s="804"/>
      <c r="C169" s="811" t="s">
        <v>470</v>
      </c>
      <c r="D169" s="868" t="s">
        <v>1239</v>
      </c>
      <c r="E169" s="786"/>
      <c r="F169" s="787"/>
      <c r="G169" s="726">
        <v>4000</v>
      </c>
      <c r="H169" s="726">
        <v>0</v>
      </c>
      <c r="I169" s="790">
        <f t="shared" si="45"/>
        <v>4000</v>
      </c>
      <c r="J169" s="726"/>
      <c r="K169" s="726"/>
      <c r="L169" s="726">
        <f>SUM(J169:K169)</f>
        <v>0</v>
      </c>
      <c r="M169" s="726">
        <f t="shared" si="47"/>
        <v>4000</v>
      </c>
      <c r="N169" s="726">
        <f t="shared" si="47"/>
        <v>0</v>
      </c>
      <c r="O169" s="726">
        <f>SUM(M169:N169)</f>
        <v>4000</v>
      </c>
    </row>
    <row r="170" spans="1:15" ht="13.5" customHeight="1">
      <c r="A170" s="804"/>
      <c r="B170" s="804"/>
      <c r="C170" s="811" t="s">
        <v>471</v>
      </c>
      <c r="D170" s="869" t="s">
        <v>472</v>
      </c>
      <c r="E170" s="786"/>
      <c r="F170" s="787"/>
      <c r="G170" s="726">
        <v>2500</v>
      </c>
      <c r="H170" s="726">
        <v>0</v>
      </c>
      <c r="I170" s="790">
        <f t="shared" si="45"/>
        <v>2500</v>
      </c>
      <c r="J170" s="726"/>
      <c r="K170" s="726"/>
      <c r="L170" s="726">
        <f>SUM(J170:K170)</f>
        <v>0</v>
      </c>
      <c r="M170" s="726">
        <f t="shared" si="47"/>
        <v>2500</v>
      </c>
      <c r="N170" s="726">
        <f t="shared" si="47"/>
        <v>0</v>
      </c>
      <c r="O170" s="726">
        <f>SUM(M170:N170)</f>
        <v>2500</v>
      </c>
    </row>
    <row r="171" spans="1:15" ht="12.75" customHeight="1">
      <c r="A171" s="804"/>
      <c r="B171" s="804"/>
      <c r="C171" s="804" t="s">
        <v>1178</v>
      </c>
      <c r="D171" s="805" t="s">
        <v>1343</v>
      </c>
      <c r="E171" s="858"/>
      <c r="F171" s="859"/>
      <c r="G171" s="726"/>
      <c r="H171" s="726"/>
      <c r="I171" s="790">
        <f t="shared" si="45"/>
        <v>0</v>
      </c>
      <c r="J171" s="726"/>
      <c r="K171" s="726"/>
      <c r="L171" s="726"/>
      <c r="M171" s="726"/>
      <c r="N171" s="726"/>
      <c r="O171" s="726"/>
    </row>
    <row r="172" spans="1:15" ht="12.75" customHeight="1">
      <c r="A172" s="804"/>
      <c r="B172" s="804"/>
      <c r="C172" s="811" t="s">
        <v>1179</v>
      </c>
      <c r="D172" s="868" t="s">
        <v>285</v>
      </c>
      <c r="E172" s="865"/>
      <c r="F172" s="866"/>
      <c r="G172" s="726">
        <v>10191</v>
      </c>
      <c r="H172" s="726">
        <v>0</v>
      </c>
      <c r="I172" s="790">
        <f t="shared" si="45"/>
        <v>10191</v>
      </c>
      <c r="J172" s="726"/>
      <c r="K172" s="726"/>
      <c r="L172" s="726">
        <f aca="true" t="shared" si="48" ref="L172:L198">SUM(J172:K172)</f>
        <v>0</v>
      </c>
      <c r="M172" s="726">
        <f aca="true" t="shared" si="49" ref="M172:M198">SUM(G172+J172)</f>
        <v>10191</v>
      </c>
      <c r="N172" s="726">
        <f aca="true" t="shared" si="50" ref="N172:N198">SUM(H172+K172)</f>
        <v>0</v>
      </c>
      <c r="O172" s="726">
        <f aca="true" t="shared" si="51" ref="O172:O198">SUM(M172:N172)</f>
        <v>10191</v>
      </c>
    </row>
    <row r="173" spans="1:15" ht="12.75" customHeight="1">
      <c r="A173" s="804"/>
      <c r="B173" s="804"/>
      <c r="C173" s="811"/>
      <c r="D173" s="795" t="s">
        <v>379</v>
      </c>
      <c r="E173" s="865"/>
      <c r="F173" s="866"/>
      <c r="G173" s="726">
        <v>0</v>
      </c>
      <c r="H173" s="726">
        <v>0</v>
      </c>
      <c r="I173" s="790">
        <f t="shared" si="45"/>
        <v>0</v>
      </c>
      <c r="J173" s="726"/>
      <c r="K173" s="726"/>
      <c r="L173" s="726">
        <f t="shared" si="48"/>
        <v>0</v>
      </c>
      <c r="M173" s="726">
        <f t="shared" si="49"/>
        <v>0</v>
      </c>
      <c r="N173" s="726">
        <f t="shared" si="50"/>
        <v>0</v>
      </c>
      <c r="O173" s="726">
        <f t="shared" si="51"/>
        <v>0</v>
      </c>
    </row>
    <row r="174" spans="1:15" ht="12.75" customHeight="1">
      <c r="A174" s="804"/>
      <c r="B174" s="804"/>
      <c r="C174" s="811" t="s">
        <v>692</v>
      </c>
      <c r="D174" s="870" t="s">
        <v>373</v>
      </c>
      <c r="E174" s="865"/>
      <c r="F174" s="866"/>
      <c r="G174" s="726">
        <v>1000</v>
      </c>
      <c r="H174" s="726">
        <v>0</v>
      </c>
      <c r="I174" s="790">
        <f t="shared" si="45"/>
        <v>1000</v>
      </c>
      <c r="J174" s="726"/>
      <c r="K174" s="726"/>
      <c r="L174" s="726">
        <f t="shared" si="48"/>
        <v>0</v>
      </c>
      <c r="M174" s="726">
        <f t="shared" si="49"/>
        <v>1000</v>
      </c>
      <c r="N174" s="726">
        <f t="shared" si="50"/>
        <v>0</v>
      </c>
      <c r="O174" s="726">
        <f t="shared" si="51"/>
        <v>1000</v>
      </c>
    </row>
    <row r="175" spans="1:15" ht="24.75" customHeight="1">
      <c r="A175" s="804"/>
      <c r="B175" s="804"/>
      <c r="C175" s="811" t="s">
        <v>1240</v>
      </c>
      <c r="D175" s="871" t="s">
        <v>374</v>
      </c>
      <c r="E175" s="865"/>
      <c r="F175" s="866"/>
      <c r="G175" s="726">
        <v>1500</v>
      </c>
      <c r="H175" s="726">
        <v>0</v>
      </c>
      <c r="I175" s="790">
        <f t="shared" si="45"/>
        <v>1500</v>
      </c>
      <c r="J175" s="726"/>
      <c r="K175" s="726"/>
      <c r="L175" s="726">
        <f t="shared" si="48"/>
        <v>0</v>
      </c>
      <c r="M175" s="726">
        <f t="shared" si="49"/>
        <v>1500</v>
      </c>
      <c r="N175" s="726">
        <f t="shared" si="50"/>
        <v>0</v>
      </c>
      <c r="O175" s="726">
        <f t="shared" si="51"/>
        <v>1500</v>
      </c>
    </row>
    <row r="176" spans="1:15" ht="12.75" customHeight="1">
      <c r="A176" s="804"/>
      <c r="B176" s="804"/>
      <c r="C176" s="811" t="s">
        <v>377</v>
      </c>
      <c r="D176" s="870" t="s">
        <v>375</v>
      </c>
      <c r="E176" s="865"/>
      <c r="F176" s="866"/>
      <c r="G176" s="726">
        <v>2286</v>
      </c>
      <c r="H176" s="726">
        <v>0</v>
      </c>
      <c r="I176" s="790">
        <f t="shared" si="45"/>
        <v>2286</v>
      </c>
      <c r="J176" s="726"/>
      <c r="K176" s="726"/>
      <c r="L176" s="726">
        <f t="shared" si="48"/>
        <v>0</v>
      </c>
      <c r="M176" s="726">
        <f t="shared" si="49"/>
        <v>2286</v>
      </c>
      <c r="N176" s="726">
        <f t="shared" si="50"/>
        <v>0</v>
      </c>
      <c r="O176" s="726">
        <f t="shared" si="51"/>
        <v>2286</v>
      </c>
    </row>
    <row r="177" spans="1:15" ht="12.75" customHeight="1">
      <c r="A177" s="804"/>
      <c r="B177" s="804"/>
      <c r="C177" s="811" t="s">
        <v>378</v>
      </c>
      <c r="D177" s="870" t="s">
        <v>376</v>
      </c>
      <c r="E177" s="865"/>
      <c r="F177" s="866"/>
      <c r="G177" s="726">
        <v>2500</v>
      </c>
      <c r="H177" s="726">
        <v>0</v>
      </c>
      <c r="I177" s="790">
        <f t="shared" si="45"/>
        <v>2500</v>
      </c>
      <c r="J177" s="726"/>
      <c r="K177" s="726"/>
      <c r="L177" s="726">
        <f t="shared" si="48"/>
        <v>0</v>
      </c>
      <c r="M177" s="726">
        <f t="shared" si="49"/>
        <v>2500</v>
      </c>
      <c r="N177" s="726">
        <f t="shared" si="50"/>
        <v>0</v>
      </c>
      <c r="O177" s="726">
        <f t="shared" si="51"/>
        <v>2500</v>
      </c>
    </row>
    <row r="178" spans="1:15" ht="15" customHeight="1">
      <c r="A178" s="804"/>
      <c r="B178" s="804"/>
      <c r="C178" s="811" t="s">
        <v>380</v>
      </c>
      <c r="D178" s="872" t="s">
        <v>381</v>
      </c>
      <c r="E178" s="865"/>
      <c r="F178" s="866"/>
      <c r="G178" s="726">
        <v>950</v>
      </c>
      <c r="H178" s="726">
        <v>0</v>
      </c>
      <c r="I178" s="790">
        <f t="shared" si="45"/>
        <v>950</v>
      </c>
      <c r="J178" s="726"/>
      <c r="K178" s="726"/>
      <c r="L178" s="726">
        <f t="shared" si="48"/>
        <v>0</v>
      </c>
      <c r="M178" s="726">
        <f t="shared" si="49"/>
        <v>950</v>
      </c>
      <c r="N178" s="726">
        <f t="shared" si="50"/>
        <v>0</v>
      </c>
      <c r="O178" s="726">
        <f t="shared" si="51"/>
        <v>950</v>
      </c>
    </row>
    <row r="179" spans="1:15" ht="27" customHeight="1">
      <c r="A179" s="804"/>
      <c r="B179" s="804"/>
      <c r="C179" s="811" t="s">
        <v>1181</v>
      </c>
      <c r="D179" s="873" t="s">
        <v>1703</v>
      </c>
      <c r="E179" s="866" t="s">
        <v>196</v>
      </c>
      <c r="F179" s="874" t="s">
        <v>809</v>
      </c>
      <c r="G179" s="765">
        <v>118996</v>
      </c>
      <c r="H179" s="765">
        <v>0</v>
      </c>
      <c r="I179" s="790">
        <f t="shared" si="45"/>
        <v>118996</v>
      </c>
      <c r="J179" s="765">
        <v>-20000</v>
      </c>
      <c r="K179" s="765"/>
      <c r="L179" s="765">
        <f t="shared" si="48"/>
        <v>-20000</v>
      </c>
      <c r="M179" s="765">
        <f t="shared" si="49"/>
        <v>98996</v>
      </c>
      <c r="N179" s="765">
        <f t="shared" si="50"/>
        <v>0</v>
      </c>
      <c r="O179" s="765">
        <f t="shared" si="51"/>
        <v>98996</v>
      </c>
    </row>
    <row r="180" spans="1:15" ht="15" customHeight="1">
      <c r="A180" s="804"/>
      <c r="B180" s="804"/>
      <c r="C180" s="811" t="s">
        <v>1182</v>
      </c>
      <c r="D180" s="826" t="s">
        <v>270</v>
      </c>
      <c r="E180" s="865"/>
      <c r="F180" s="866"/>
      <c r="G180" s="726">
        <v>0</v>
      </c>
      <c r="H180" s="726">
        <v>17500</v>
      </c>
      <c r="I180" s="790">
        <f t="shared" si="45"/>
        <v>17500</v>
      </c>
      <c r="J180" s="726"/>
      <c r="K180" s="726"/>
      <c r="L180" s="726">
        <f t="shared" si="48"/>
        <v>0</v>
      </c>
      <c r="M180" s="726">
        <f t="shared" si="49"/>
        <v>0</v>
      </c>
      <c r="N180" s="726">
        <f t="shared" si="50"/>
        <v>17500</v>
      </c>
      <c r="O180" s="726">
        <f t="shared" si="51"/>
        <v>17500</v>
      </c>
    </row>
    <row r="181" spans="1:15" ht="15" customHeight="1">
      <c r="A181" s="804"/>
      <c r="B181" s="804"/>
      <c r="C181" s="811" t="s">
        <v>1196</v>
      </c>
      <c r="D181" s="875" t="s">
        <v>369</v>
      </c>
      <c r="E181" s="866" t="s">
        <v>196</v>
      </c>
      <c r="F181" s="866"/>
      <c r="G181" s="726">
        <v>115790</v>
      </c>
      <c r="H181" s="726">
        <v>0</v>
      </c>
      <c r="I181" s="790">
        <f t="shared" si="45"/>
        <v>115790</v>
      </c>
      <c r="J181" s="726"/>
      <c r="K181" s="726"/>
      <c r="L181" s="726">
        <f t="shared" si="48"/>
        <v>0</v>
      </c>
      <c r="M181" s="726">
        <f t="shared" si="49"/>
        <v>115790</v>
      </c>
      <c r="N181" s="726">
        <f t="shared" si="50"/>
        <v>0</v>
      </c>
      <c r="O181" s="726">
        <f t="shared" si="51"/>
        <v>115790</v>
      </c>
    </row>
    <row r="182" spans="1:15" ht="15" customHeight="1">
      <c r="A182" s="804"/>
      <c r="B182" s="804"/>
      <c r="C182" s="811" t="s">
        <v>119</v>
      </c>
      <c r="D182" s="854" t="s">
        <v>370</v>
      </c>
      <c r="E182" s="866" t="s">
        <v>196</v>
      </c>
      <c r="F182" s="866"/>
      <c r="G182" s="726">
        <v>126316</v>
      </c>
      <c r="H182" s="726">
        <v>0</v>
      </c>
      <c r="I182" s="790">
        <f t="shared" si="45"/>
        <v>126316</v>
      </c>
      <c r="J182" s="726"/>
      <c r="K182" s="726"/>
      <c r="L182" s="726">
        <f t="shared" si="48"/>
        <v>0</v>
      </c>
      <c r="M182" s="726">
        <f t="shared" si="49"/>
        <v>126316</v>
      </c>
      <c r="N182" s="726">
        <f t="shared" si="50"/>
        <v>0</v>
      </c>
      <c r="O182" s="726">
        <f t="shared" si="51"/>
        <v>126316</v>
      </c>
    </row>
    <row r="183" spans="1:15" ht="15" customHeight="1">
      <c r="A183" s="804"/>
      <c r="B183" s="804"/>
      <c r="C183" s="811" t="s">
        <v>1639</v>
      </c>
      <c r="D183" s="854" t="s">
        <v>371</v>
      </c>
      <c r="E183" s="866" t="s">
        <v>196</v>
      </c>
      <c r="F183" s="866"/>
      <c r="G183" s="726">
        <v>73684</v>
      </c>
      <c r="H183" s="726">
        <v>0</v>
      </c>
      <c r="I183" s="790">
        <f t="shared" si="45"/>
        <v>73684</v>
      </c>
      <c r="J183" s="726"/>
      <c r="K183" s="726"/>
      <c r="L183" s="726">
        <f t="shared" si="48"/>
        <v>0</v>
      </c>
      <c r="M183" s="726">
        <f t="shared" si="49"/>
        <v>73684</v>
      </c>
      <c r="N183" s="726">
        <f t="shared" si="50"/>
        <v>0</v>
      </c>
      <c r="O183" s="726">
        <f t="shared" si="51"/>
        <v>73684</v>
      </c>
    </row>
    <row r="184" spans="1:15" ht="15" customHeight="1">
      <c r="A184" s="804"/>
      <c r="B184" s="804"/>
      <c r="C184" s="811" t="s">
        <v>1640</v>
      </c>
      <c r="D184" s="868" t="s">
        <v>1242</v>
      </c>
      <c r="E184" s="865"/>
      <c r="F184" s="866"/>
      <c r="G184" s="726">
        <v>8768</v>
      </c>
      <c r="H184" s="726">
        <v>0</v>
      </c>
      <c r="I184" s="790">
        <f t="shared" si="45"/>
        <v>8768</v>
      </c>
      <c r="J184" s="726"/>
      <c r="K184" s="726"/>
      <c r="L184" s="726">
        <f t="shared" si="48"/>
        <v>0</v>
      </c>
      <c r="M184" s="726">
        <f t="shared" si="49"/>
        <v>8768</v>
      </c>
      <c r="N184" s="726">
        <f t="shared" si="50"/>
        <v>0</v>
      </c>
      <c r="O184" s="726">
        <f t="shared" si="51"/>
        <v>8768</v>
      </c>
    </row>
    <row r="185" spans="1:15" ht="15" customHeight="1">
      <c r="A185" s="804"/>
      <c r="B185" s="804"/>
      <c r="C185" s="811" t="s">
        <v>271</v>
      </c>
      <c r="D185" s="794" t="s">
        <v>268</v>
      </c>
      <c r="E185" s="865"/>
      <c r="F185" s="866"/>
      <c r="G185" s="726">
        <v>37500</v>
      </c>
      <c r="H185" s="726">
        <v>0</v>
      </c>
      <c r="I185" s="790">
        <f t="shared" si="45"/>
        <v>37500</v>
      </c>
      <c r="J185" s="726"/>
      <c r="K185" s="726"/>
      <c r="L185" s="726">
        <f t="shared" si="48"/>
        <v>0</v>
      </c>
      <c r="M185" s="726">
        <f t="shared" si="49"/>
        <v>37500</v>
      </c>
      <c r="N185" s="726">
        <f t="shared" si="50"/>
        <v>0</v>
      </c>
      <c r="O185" s="726">
        <f t="shared" si="51"/>
        <v>37500</v>
      </c>
    </row>
    <row r="186" spans="1:15" ht="15" customHeight="1">
      <c r="A186" s="804"/>
      <c r="B186" s="804"/>
      <c r="C186" s="811" t="s">
        <v>272</v>
      </c>
      <c r="D186" s="826" t="s">
        <v>269</v>
      </c>
      <c r="E186" s="865"/>
      <c r="F186" s="866"/>
      <c r="G186" s="726">
        <v>3000</v>
      </c>
      <c r="H186" s="726">
        <v>0</v>
      </c>
      <c r="I186" s="790">
        <f t="shared" si="45"/>
        <v>3000</v>
      </c>
      <c r="J186" s="726"/>
      <c r="K186" s="726"/>
      <c r="L186" s="726">
        <f t="shared" si="48"/>
        <v>0</v>
      </c>
      <c r="M186" s="726">
        <f t="shared" si="49"/>
        <v>3000</v>
      </c>
      <c r="N186" s="726">
        <f t="shared" si="50"/>
        <v>0</v>
      </c>
      <c r="O186" s="726">
        <f t="shared" si="51"/>
        <v>3000</v>
      </c>
    </row>
    <row r="187" spans="1:15" ht="15" customHeight="1">
      <c r="A187" s="804"/>
      <c r="B187" s="804"/>
      <c r="C187" s="811" t="s">
        <v>273</v>
      </c>
      <c r="D187" s="826" t="s">
        <v>382</v>
      </c>
      <c r="E187" s="865"/>
      <c r="F187" s="866"/>
      <c r="G187" s="726">
        <v>4880</v>
      </c>
      <c r="H187" s="726">
        <v>0</v>
      </c>
      <c r="I187" s="790">
        <f t="shared" si="45"/>
        <v>4880</v>
      </c>
      <c r="J187" s="726"/>
      <c r="K187" s="726"/>
      <c r="L187" s="726">
        <f t="shared" si="48"/>
        <v>0</v>
      </c>
      <c r="M187" s="726">
        <f t="shared" si="49"/>
        <v>4880</v>
      </c>
      <c r="N187" s="726">
        <f t="shared" si="50"/>
        <v>0</v>
      </c>
      <c r="O187" s="726">
        <f t="shared" si="51"/>
        <v>4880</v>
      </c>
    </row>
    <row r="188" spans="1:15" ht="15" customHeight="1">
      <c r="A188" s="804"/>
      <c r="B188" s="804"/>
      <c r="C188" s="811" t="s">
        <v>616</v>
      </c>
      <c r="D188" s="831" t="s">
        <v>116</v>
      </c>
      <c r="E188" s="865"/>
      <c r="F188" s="866"/>
      <c r="G188" s="726">
        <v>11555</v>
      </c>
      <c r="H188" s="726">
        <v>0</v>
      </c>
      <c r="I188" s="790">
        <f t="shared" si="45"/>
        <v>11555</v>
      </c>
      <c r="J188" s="726"/>
      <c r="K188" s="726"/>
      <c r="L188" s="726">
        <f t="shared" si="48"/>
        <v>0</v>
      </c>
      <c r="M188" s="726">
        <f t="shared" si="49"/>
        <v>11555</v>
      </c>
      <c r="N188" s="726">
        <f t="shared" si="50"/>
        <v>0</v>
      </c>
      <c r="O188" s="726">
        <f t="shared" si="51"/>
        <v>11555</v>
      </c>
    </row>
    <row r="189" spans="1:15" ht="15" customHeight="1">
      <c r="A189" s="804"/>
      <c r="B189" s="804"/>
      <c r="C189" s="811" t="s">
        <v>274</v>
      </c>
      <c r="D189" s="831" t="s">
        <v>626</v>
      </c>
      <c r="E189" s="866"/>
      <c r="F189" s="866"/>
      <c r="G189" s="726">
        <v>59000</v>
      </c>
      <c r="H189" s="726">
        <v>0</v>
      </c>
      <c r="I189" s="790">
        <f t="shared" si="45"/>
        <v>59000</v>
      </c>
      <c r="J189" s="726"/>
      <c r="K189" s="726"/>
      <c r="L189" s="726">
        <f t="shared" si="48"/>
        <v>0</v>
      </c>
      <c r="M189" s="726">
        <f t="shared" si="49"/>
        <v>59000</v>
      </c>
      <c r="N189" s="726">
        <f t="shared" si="50"/>
        <v>0</v>
      </c>
      <c r="O189" s="726">
        <f t="shared" si="51"/>
        <v>59000</v>
      </c>
    </row>
    <row r="190" spans="1:15" ht="15" customHeight="1">
      <c r="A190" s="804"/>
      <c r="B190" s="804"/>
      <c r="C190" s="811" t="s">
        <v>617</v>
      </c>
      <c r="D190" s="794" t="s">
        <v>384</v>
      </c>
      <c r="E190" s="865"/>
      <c r="F190" s="866"/>
      <c r="G190" s="726">
        <v>33420</v>
      </c>
      <c r="H190" s="726">
        <v>0</v>
      </c>
      <c r="I190" s="790">
        <f aca="true" t="shared" si="52" ref="I190:I214">SUM(G190:H190)</f>
        <v>33420</v>
      </c>
      <c r="J190" s="726"/>
      <c r="K190" s="726"/>
      <c r="L190" s="726">
        <f t="shared" si="48"/>
        <v>0</v>
      </c>
      <c r="M190" s="726">
        <f t="shared" si="49"/>
        <v>33420</v>
      </c>
      <c r="N190" s="726">
        <f t="shared" si="50"/>
        <v>0</v>
      </c>
      <c r="O190" s="726">
        <f t="shared" si="51"/>
        <v>33420</v>
      </c>
    </row>
    <row r="191" spans="1:15" ht="15" customHeight="1">
      <c r="A191" s="804"/>
      <c r="B191" s="804"/>
      <c r="C191" s="811" t="s">
        <v>275</v>
      </c>
      <c r="D191" s="835" t="s">
        <v>385</v>
      </c>
      <c r="E191" s="865"/>
      <c r="F191" s="866"/>
      <c r="G191" s="726">
        <v>2500</v>
      </c>
      <c r="H191" s="726">
        <v>0</v>
      </c>
      <c r="I191" s="790">
        <f t="shared" si="52"/>
        <v>2500</v>
      </c>
      <c r="J191" s="726"/>
      <c r="K191" s="726"/>
      <c r="L191" s="726">
        <f t="shared" si="48"/>
        <v>0</v>
      </c>
      <c r="M191" s="726">
        <f t="shared" si="49"/>
        <v>2500</v>
      </c>
      <c r="N191" s="726">
        <f t="shared" si="50"/>
        <v>0</v>
      </c>
      <c r="O191" s="726">
        <f t="shared" si="51"/>
        <v>2500</v>
      </c>
    </row>
    <row r="192" spans="1:15" ht="15" customHeight="1">
      <c r="A192" s="804"/>
      <c r="B192" s="804"/>
      <c r="C192" s="811" t="s">
        <v>276</v>
      </c>
      <c r="D192" s="835" t="s">
        <v>387</v>
      </c>
      <c r="E192" s="865"/>
      <c r="F192" s="866"/>
      <c r="G192" s="726">
        <v>10000</v>
      </c>
      <c r="H192" s="726">
        <v>0</v>
      </c>
      <c r="I192" s="790">
        <f t="shared" si="52"/>
        <v>10000</v>
      </c>
      <c r="J192" s="726"/>
      <c r="K192" s="726"/>
      <c r="L192" s="726">
        <f t="shared" si="48"/>
        <v>0</v>
      </c>
      <c r="M192" s="726">
        <f t="shared" si="49"/>
        <v>10000</v>
      </c>
      <c r="N192" s="726">
        <f t="shared" si="50"/>
        <v>0</v>
      </c>
      <c r="O192" s="726">
        <f t="shared" si="51"/>
        <v>10000</v>
      </c>
    </row>
    <row r="193" spans="1:15" ht="15" customHeight="1">
      <c r="A193" s="804"/>
      <c r="B193" s="804"/>
      <c r="C193" s="811" t="s">
        <v>277</v>
      </c>
      <c r="D193" s="835" t="s">
        <v>554</v>
      </c>
      <c r="E193" s="865"/>
      <c r="F193" s="866"/>
      <c r="G193" s="726">
        <v>20000</v>
      </c>
      <c r="H193" s="726">
        <v>0</v>
      </c>
      <c r="I193" s="790">
        <f t="shared" si="52"/>
        <v>20000</v>
      </c>
      <c r="J193" s="726"/>
      <c r="K193" s="726"/>
      <c r="L193" s="726">
        <f t="shared" si="48"/>
        <v>0</v>
      </c>
      <c r="M193" s="726">
        <f t="shared" si="49"/>
        <v>20000</v>
      </c>
      <c r="N193" s="726">
        <f t="shared" si="50"/>
        <v>0</v>
      </c>
      <c r="O193" s="726">
        <f t="shared" si="51"/>
        <v>20000</v>
      </c>
    </row>
    <row r="194" spans="1:15" ht="15" customHeight="1">
      <c r="A194" s="804"/>
      <c r="B194" s="804"/>
      <c r="C194" s="811" t="s">
        <v>278</v>
      </c>
      <c r="D194" s="876" t="s">
        <v>386</v>
      </c>
      <c r="E194" s="865"/>
      <c r="F194" s="866"/>
      <c r="G194" s="726">
        <v>5000</v>
      </c>
      <c r="H194" s="726">
        <v>0</v>
      </c>
      <c r="I194" s="790">
        <f t="shared" si="52"/>
        <v>5000</v>
      </c>
      <c r="J194" s="726"/>
      <c r="K194" s="726"/>
      <c r="L194" s="726">
        <f t="shared" si="48"/>
        <v>0</v>
      </c>
      <c r="M194" s="726">
        <f t="shared" si="49"/>
        <v>5000</v>
      </c>
      <c r="N194" s="726">
        <f t="shared" si="50"/>
        <v>0</v>
      </c>
      <c r="O194" s="726">
        <f t="shared" si="51"/>
        <v>5000</v>
      </c>
    </row>
    <row r="195" spans="1:15" ht="12.75" customHeight="1">
      <c r="A195" s="804"/>
      <c r="B195" s="804"/>
      <c r="C195" s="811" t="s">
        <v>279</v>
      </c>
      <c r="D195" s="877" t="s">
        <v>620</v>
      </c>
      <c r="E195" s="865"/>
      <c r="F195" s="866"/>
      <c r="G195" s="726">
        <v>6000</v>
      </c>
      <c r="H195" s="726">
        <v>0</v>
      </c>
      <c r="I195" s="790">
        <f t="shared" si="52"/>
        <v>6000</v>
      </c>
      <c r="J195" s="726"/>
      <c r="K195" s="726"/>
      <c r="L195" s="726">
        <f t="shared" si="48"/>
        <v>0</v>
      </c>
      <c r="M195" s="726">
        <f t="shared" si="49"/>
        <v>6000</v>
      </c>
      <c r="N195" s="726">
        <f t="shared" si="50"/>
        <v>0</v>
      </c>
      <c r="O195" s="726">
        <f t="shared" si="51"/>
        <v>6000</v>
      </c>
    </row>
    <row r="196" spans="1:15" ht="12.75" customHeight="1">
      <c r="A196" s="804"/>
      <c r="B196" s="804"/>
      <c r="C196" s="811" t="s">
        <v>618</v>
      </c>
      <c r="D196" s="877" t="s">
        <v>621</v>
      </c>
      <c r="E196" s="865"/>
      <c r="F196" s="866"/>
      <c r="G196" s="726">
        <v>2000</v>
      </c>
      <c r="H196" s="726">
        <v>0</v>
      </c>
      <c r="I196" s="790">
        <f t="shared" si="52"/>
        <v>2000</v>
      </c>
      <c r="J196" s="726"/>
      <c r="K196" s="726"/>
      <c r="L196" s="726">
        <f t="shared" si="48"/>
        <v>0</v>
      </c>
      <c r="M196" s="726">
        <f t="shared" si="49"/>
        <v>2000</v>
      </c>
      <c r="N196" s="726">
        <f t="shared" si="50"/>
        <v>0</v>
      </c>
      <c r="O196" s="726">
        <f t="shared" si="51"/>
        <v>2000</v>
      </c>
    </row>
    <row r="197" spans="1:15" ht="12.75" customHeight="1">
      <c r="A197" s="804"/>
      <c r="B197" s="804"/>
      <c r="C197" s="811" t="s">
        <v>619</v>
      </c>
      <c r="D197" s="877" t="s">
        <v>1212</v>
      </c>
      <c r="E197" s="865"/>
      <c r="F197" s="866"/>
      <c r="G197" s="726">
        <v>500000</v>
      </c>
      <c r="H197" s="726">
        <v>0</v>
      </c>
      <c r="I197" s="790">
        <f t="shared" si="52"/>
        <v>500000</v>
      </c>
      <c r="J197" s="726"/>
      <c r="K197" s="726"/>
      <c r="L197" s="726">
        <f t="shared" si="48"/>
        <v>0</v>
      </c>
      <c r="M197" s="726">
        <f t="shared" si="49"/>
        <v>500000</v>
      </c>
      <c r="N197" s="726">
        <f t="shared" si="50"/>
        <v>0</v>
      </c>
      <c r="O197" s="726">
        <f t="shared" si="51"/>
        <v>500000</v>
      </c>
    </row>
    <row r="198" spans="1:15" ht="12.75" customHeight="1">
      <c r="A198" s="804"/>
      <c r="B198" s="804"/>
      <c r="C198" s="811" t="s">
        <v>943</v>
      </c>
      <c r="D198" s="877" t="s">
        <v>944</v>
      </c>
      <c r="E198" s="865"/>
      <c r="F198" s="866"/>
      <c r="G198" s="726">
        <v>25000</v>
      </c>
      <c r="H198" s="726">
        <v>0</v>
      </c>
      <c r="I198" s="790">
        <f t="shared" si="52"/>
        <v>25000</v>
      </c>
      <c r="J198" s="726"/>
      <c r="K198" s="726"/>
      <c r="L198" s="726">
        <f t="shared" si="48"/>
        <v>0</v>
      </c>
      <c r="M198" s="726">
        <f t="shared" si="49"/>
        <v>25000</v>
      </c>
      <c r="N198" s="726">
        <f t="shared" si="50"/>
        <v>0</v>
      </c>
      <c r="O198" s="726">
        <f t="shared" si="51"/>
        <v>25000</v>
      </c>
    </row>
    <row r="199" spans="1:15" ht="15" customHeight="1">
      <c r="A199" s="804"/>
      <c r="B199" s="804"/>
      <c r="C199" s="811"/>
      <c r="D199" s="795" t="s">
        <v>327</v>
      </c>
      <c r="E199" s="865"/>
      <c r="F199" s="866"/>
      <c r="G199" s="726"/>
      <c r="H199" s="726"/>
      <c r="I199" s="790">
        <f t="shared" si="52"/>
        <v>0</v>
      </c>
      <c r="J199" s="726"/>
      <c r="K199" s="726"/>
      <c r="L199" s="726"/>
      <c r="M199" s="726"/>
      <c r="N199" s="726"/>
      <c r="O199" s="726"/>
    </row>
    <row r="200" spans="1:15" ht="15" customHeight="1">
      <c r="A200" s="804"/>
      <c r="B200" s="804"/>
      <c r="C200" s="811" t="s">
        <v>39</v>
      </c>
      <c r="D200" s="872" t="s">
        <v>1688</v>
      </c>
      <c r="E200" s="865"/>
      <c r="F200" s="866"/>
      <c r="G200" s="726">
        <v>11000</v>
      </c>
      <c r="H200" s="726">
        <v>0</v>
      </c>
      <c r="I200" s="790">
        <f t="shared" si="52"/>
        <v>11000</v>
      </c>
      <c r="J200" s="726"/>
      <c r="K200" s="726"/>
      <c r="L200" s="726">
        <f aca="true" t="shared" si="53" ref="L200:L220">SUM(J200:K200)</f>
        <v>0</v>
      </c>
      <c r="M200" s="726">
        <f aca="true" t="shared" si="54" ref="M200:M214">SUM(G200+J200)</f>
        <v>11000</v>
      </c>
      <c r="N200" s="726">
        <f aca="true" t="shared" si="55" ref="N200:N214">SUM(H200+K200)</f>
        <v>0</v>
      </c>
      <c r="O200" s="726">
        <f aca="true" t="shared" si="56" ref="O200:O220">SUM(M200:N200)</f>
        <v>11000</v>
      </c>
    </row>
    <row r="201" spans="1:15" ht="24.75" customHeight="1">
      <c r="A201" s="804"/>
      <c r="B201" s="804"/>
      <c r="C201" s="811" t="s">
        <v>1241</v>
      </c>
      <c r="D201" s="834" t="s">
        <v>197</v>
      </c>
      <c r="E201" s="866" t="s">
        <v>196</v>
      </c>
      <c r="F201" s="866"/>
      <c r="G201" s="765">
        <v>75000</v>
      </c>
      <c r="H201" s="765">
        <v>0</v>
      </c>
      <c r="I201" s="790">
        <f t="shared" si="52"/>
        <v>75000</v>
      </c>
      <c r="J201" s="765"/>
      <c r="K201" s="765"/>
      <c r="L201" s="765">
        <f t="shared" si="53"/>
        <v>0</v>
      </c>
      <c r="M201" s="765">
        <f t="shared" si="54"/>
        <v>75000</v>
      </c>
      <c r="N201" s="765">
        <f t="shared" si="55"/>
        <v>0</v>
      </c>
      <c r="O201" s="765">
        <f t="shared" si="56"/>
        <v>75000</v>
      </c>
    </row>
    <row r="202" spans="1:15" ht="24.75" customHeight="1">
      <c r="A202" s="804"/>
      <c r="B202" s="804"/>
      <c r="C202" s="811" t="s">
        <v>1243</v>
      </c>
      <c r="D202" s="834" t="s">
        <v>261</v>
      </c>
      <c r="E202" s="866" t="s">
        <v>196</v>
      </c>
      <c r="F202" s="866"/>
      <c r="G202" s="765">
        <v>60000</v>
      </c>
      <c r="H202" s="765">
        <v>0</v>
      </c>
      <c r="I202" s="790">
        <f t="shared" si="52"/>
        <v>60000</v>
      </c>
      <c r="J202" s="765"/>
      <c r="K202" s="765"/>
      <c r="L202" s="765">
        <f t="shared" si="53"/>
        <v>0</v>
      </c>
      <c r="M202" s="765">
        <f t="shared" si="54"/>
        <v>60000</v>
      </c>
      <c r="N202" s="765">
        <f t="shared" si="55"/>
        <v>0</v>
      </c>
      <c r="O202" s="765">
        <f t="shared" si="56"/>
        <v>60000</v>
      </c>
    </row>
    <row r="203" spans="1:15" ht="15" customHeight="1">
      <c r="A203" s="804"/>
      <c r="B203" s="804"/>
      <c r="C203" s="811" t="s">
        <v>1244</v>
      </c>
      <c r="D203" s="772" t="s">
        <v>473</v>
      </c>
      <c r="E203" s="865"/>
      <c r="F203" s="866"/>
      <c r="G203" s="765">
        <v>2950</v>
      </c>
      <c r="H203" s="765">
        <v>0</v>
      </c>
      <c r="I203" s="790">
        <f t="shared" si="52"/>
        <v>2950</v>
      </c>
      <c r="J203" s="765"/>
      <c r="K203" s="765"/>
      <c r="L203" s="765">
        <f t="shared" si="53"/>
        <v>0</v>
      </c>
      <c r="M203" s="765">
        <f t="shared" si="54"/>
        <v>2950</v>
      </c>
      <c r="N203" s="765">
        <f t="shared" si="55"/>
        <v>0</v>
      </c>
      <c r="O203" s="765">
        <f t="shared" si="56"/>
        <v>2950</v>
      </c>
    </row>
    <row r="204" spans="1:15" ht="24.75" customHeight="1">
      <c r="A204" s="804"/>
      <c r="B204" s="804"/>
      <c r="C204" s="811" t="s">
        <v>1245</v>
      </c>
      <c r="D204" s="878" t="s">
        <v>479</v>
      </c>
      <c r="E204" s="865"/>
      <c r="F204" s="866"/>
      <c r="G204" s="765">
        <v>259762</v>
      </c>
      <c r="H204" s="765">
        <v>0</v>
      </c>
      <c r="I204" s="790">
        <f t="shared" si="52"/>
        <v>259762</v>
      </c>
      <c r="J204" s="765"/>
      <c r="K204" s="765"/>
      <c r="L204" s="765">
        <f t="shared" si="53"/>
        <v>0</v>
      </c>
      <c r="M204" s="765">
        <f t="shared" si="54"/>
        <v>259762</v>
      </c>
      <c r="N204" s="765">
        <f t="shared" si="55"/>
        <v>0</v>
      </c>
      <c r="O204" s="765">
        <f t="shared" si="56"/>
        <v>259762</v>
      </c>
    </row>
    <row r="205" spans="1:15" ht="24.75" customHeight="1">
      <c r="A205" s="804"/>
      <c r="B205" s="804"/>
      <c r="C205" s="811" t="s">
        <v>1246</v>
      </c>
      <c r="D205" s="878" t="s">
        <v>480</v>
      </c>
      <c r="E205" s="865"/>
      <c r="F205" s="866"/>
      <c r="G205" s="765">
        <v>340423</v>
      </c>
      <c r="H205" s="765">
        <v>0</v>
      </c>
      <c r="I205" s="790">
        <f t="shared" si="52"/>
        <v>340423</v>
      </c>
      <c r="J205" s="765"/>
      <c r="K205" s="765"/>
      <c r="L205" s="765">
        <f t="shared" si="53"/>
        <v>0</v>
      </c>
      <c r="M205" s="765">
        <f t="shared" si="54"/>
        <v>340423</v>
      </c>
      <c r="N205" s="765">
        <f t="shared" si="55"/>
        <v>0</v>
      </c>
      <c r="O205" s="765">
        <f t="shared" si="56"/>
        <v>340423</v>
      </c>
    </row>
    <row r="206" spans="1:15" ht="24.75" customHeight="1">
      <c r="A206" s="804"/>
      <c r="B206" s="804"/>
      <c r="C206" s="811" t="s">
        <v>477</v>
      </c>
      <c r="D206" s="879" t="s">
        <v>481</v>
      </c>
      <c r="E206" s="865"/>
      <c r="F206" s="866"/>
      <c r="G206" s="765">
        <v>282579</v>
      </c>
      <c r="H206" s="765">
        <v>0</v>
      </c>
      <c r="I206" s="790">
        <f t="shared" si="52"/>
        <v>282579</v>
      </c>
      <c r="J206" s="765"/>
      <c r="K206" s="765"/>
      <c r="L206" s="765">
        <f t="shared" si="53"/>
        <v>0</v>
      </c>
      <c r="M206" s="765">
        <f t="shared" si="54"/>
        <v>282579</v>
      </c>
      <c r="N206" s="765">
        <f t="shared" si="55"/>
        <v>0</v>
      </c>
      <c r="O206" s="765">
        <f t="shared" si="56"/>
        <v>282579</v>
      </c>
    </row>
    <row r="207" spans="1:15" ht="24.75" customHeight="1">
      <c r="A207" s="804"/>
      <c r="B207" s="804"/>
      <c r="C207" s="811" t="s">
        <v>478</v>
      </c>
      <c r="D207" s="880" t="s">
        <v>700</v>
      </c>
      <c r="E207" s="865"/>
      <c r="F207" s="866"/>
      <c r="G207" s="765">
        <v>39614</v>
      </c>
      <c r="H207" s="765">
        <v>0</v>
      </c>
      <c r="I207" s="790">
        <f t="shared" si="52"/>
        <v>39614</v>
      </c>
      <c r="J207" s="765"/>
      <c r="K207" s="765"/>
      <c r="L207" s="765">
        <f t="shared" si="53"/>
        <v>0</v>
      </c>
      <c r="M207" s="765">
        <f t="shared" si="54"/>
        <v>39614</v>
      </c>
      <c r="N207" s="765">
        <f t="shared" si="55"/>
        <v>0</v>
      </c>
      <c r="O207" s="765">
        <f t="shared" si="56"/>
        <v>39614</v>
      </c>
    </row>
    <row r="208" spans="1:15" ht="24.75" customHeight="1">
      <c r="A208" s="804"/>
      <c r="B208" s="804"/>
      <c r="C208" s="811" t="s">
        <v>482</v>
      </c>
      <c r="D208" s="881" t="s">
        <v>1091</v>
      </c>
      <c r="E208" s="865"/>
      <c r="F208" s="866" t="s">
        <v>809</v>
      </c>
      <c r="G208" s="765">
        <v>627967</v>
      </c>
      <c r="H208" s="765">
        <v>0</v>
      </c>
      <c r="I208" s="790">
        <f t="shared" si="52"/>
        <v>627967</v>
      </c>
      <c r="J208" s="765">
        <v>-26416</v>
      </c>
      <c r="K208" s="765"/>
      <c r="L208" s="765">
        <f t="shared" si="53"/>
        <v>-26416</v>
      </c>
      <c r="M208" s="765">
        <f t="shared" si="54"/>
        <v>601551</v>
      </c>
      <c r="N208" s="765">
        <f t="shared" si="55"/>
        <v>0</v>
      </c>
      <c r="O208" s="765">
        <f t="shared" si="56"/>
        <v>601551</v>
      </c>
    </row>
    <row r="209" spans="1:15" ht="15" customHeight="1">
      <c r="A209" s="804"/>
      <c r="B209" s="804"/>
      <c r="C209" s="811" t="s">
        <v>483</v>
      </c>
      <c r="D209" s="881" t="s">
        <v>476</v>
      </c>
      <c r="E209" s="865"/>
      <c r="F209" s="866"/>
      <c r="G209" s="726">
        <v>0</v>
      </c>
      <c r="H209" s="726">
        <v>0</v>
      </c>
      <c r="I209" s="790">
        <f t="shared" si="52"/>
        <v>0</v>
      </c>
      <c r="J209" s="726"/>
      <c r="K209" s="726"/>
      <c r="L209" s="726">
        <f t="shared" si="53"/>
        <v>0</v>
      </c>
      <c r="M209" s="726">
        <f t="shared" si="54"/>
        <v>0</v>
      </c>
      <c r="N209" s="726">
        <f t="shared" si="55"/>
        <v>0</v>
      </c>
      <c r="O209" s="726">
        <f t="shared" si="56"/>
        <v>0</v>
      </c>
    </row>
    <row r="210" spans="1:15" ht="15" customHeight="1">
      <c r="A210" s="804"/>
      <c r="B210" s="804"/>
      <c r="C210" s="811" t="s">
        <v>484</v>
      </c>
      <c r="D210" s="831" t="s">
        <v>383</v>
      </c>
      <c r="E210" s="866" t="s">
        <v>196</v>
      </c>
      <c r="F210" s="866"/>
      <c r="G210" s="726">
        <v>32432</v>
      </c>
      <c r="H210" s="726">
        <v>0</v>
      </c>
      <c r="I210" s="790">
        <f t="shared" si="52"/>
        <v>32432</v>
      </c>
      <c r="J210" s="726"/>
      <c r="K210" s="726"/>
      <c r="L210" s="726">
        <f t="shared" si="53"/>
        <v>0</v>
      </c>
      <c r="M210" s="726">
        <f t="shared" si="54"/>
        <v>32432</v>
      </c>
      <c r="N210" s="726">
        <f t="shared" si="55"/>
        <v>0</v>
      </c>
      <c r="O210" s="726">
        <f t="shared" si="56"/>
        <v>32432</v>
      </c>
    </row>
    <row r="211" spans="1:15" ht="24.75" customHeight="1">
      <c r="A211" s="804"/>
      <c r="B211" s="804"/>
      <c r="C211" s="811" t="s">
        <v>485</v>
      </c>
      <c r="D211" s="878" t="s">
        <v>5</v>
      </c>
      <c r="E211" s="865"/>
      <c r="F211" s="866"/>
      <c r="G211" s="726">
        <v>335334</v>
      </c>
      <c r="H211" s="726">
        <v>0</v>
      </c>
      <c r="I211" s="790">
        <f t="shared" si="52"/>
        <v>335334</v>
      </c>
      <c r="J211" s="726"/>
      <c r="K211" s="726"/>
      <c r="L211" s="726">
        <f t="shared" si="53"/>
        <v>0</v>
      </c>
      <c r="M211" s="726">
        <f t="shared" si="54"/>
        <v>335334</v>
      </c>
      <c r="N211" s="726">
        <f t="shared" si="55"/>
        <v>0</v>
      </c>
      <c r="O211" s="726">
        <f t="shared" si="56"/>
        <v>335334</v>
      </c>
    </row>
    <row r="212" spans="1:15" ht="15" customHeight="1">
      <c r="A212" s="804"/>
      <c r="B212" s="804"/>
      <c r="C212" s="811" t="s">
        <v>486</v>
      </c>
      <c r="D212" s="882" t="s">
        <v>1247</v>
      </c>
      <c r="E212" s="865"/>
      <c r="F212" s="866"/>
      <c r="G212" s="726">
        <v>13586</v>
      </c>
      <c r="H212" s="726">
        <v>0</v>
      </c>
      <c r="I212" s="790">
        <f t="shared" si="52"/>
        <v>13586</v>
      </c>
      <c r="J212" s="726"/>
      <c r="K212" s="726"/>
      <c r="L212" s="726">
        <f t="shared" si="53"/>
        <v>0</v>
      </c>
      <c r="M212" s="726">
        <f t="shared" si="54"/>
        <v>13586</v>
      </c>
      <c r="N212" s="726">
        <f t="shared" si="55"/>
        <v>0</v>
      </c>
      <c r="O212" s="726">
        <f t="shared" si="56"/>
        <v>13586</v>
      </c>
    </row>
    <row r="213" spans="1:15" ht="15" customHeight="1">
      <c r="A213" s="804"/>
      <c r="B213" s="804"/>
      <c r="C213" s="811" t="s">
        <v>260</v>
      </c>
      <c r="D213" s="883" t="s">
        <v>1248</v>
      </c>
      <c r="E213" s="865"/>
      <c r="F213" s="866"/>
      <c r="G213" s="726">
        <v>9000</v>
      </c>
      <c r="H213" s="726">
        <v>0</v>
      </c>
      <c r="I213" s="790">
        <f t="shared" si="52"/>
        <v>9000</v>
      </c>
      <c r="J213" s="726"/>
      <c r="K213" s="726"/>
      <c r="L213" s="726">
        <f t="shared" si="53"/>
        <v>0</v>
      </c>
      <c r="M213" s="726">
        <f t="shared" si="54"/>
        <v>9000</v>
      </c>
      <c r="N213" s="726">
        <f t="shared" si="55"/>
        <v>0</v>
      </c>
      <c r="O213" s="726">
        <f t="shared" si="56"/>
        <v>9000</v>
      </c>
    </row>
    <row r="214" spans="1:15" ht="15" customHeight="1">
      <c r="A214" s="804"/>
      <c r="B214" s="804"/>
      <c r="C214" s="811" t="s">
        <v>1607</v>
      </c>
      <c r="D214" s="884" t="s">
        <v>1608</v>
      </c>
      <c r="E214" s="865"/>
      <c r="F214" s="866"/>
      <c r="G214" s="726">
        <v>1366</v>
      </c>
      <c r="H214" s="726">
        <v>0</v>
      </c>
      <c r="I214" s="790">
        <f t="shared" si="52"/>
        <v>1366</v>
      </c>
      <c r="J214" s="726"/>
      <c r="K214" s="726"/>
      <c r="L214" s="726">
        <f t="shared" si="53"/>
        <v>0</v>
      </c>
      <c r="M214" s="726">
        <f t="shared" si="54"/>
        <v>1366</v>
      </c>
      <c r="N214" s="726">
        <f t="shared" si="55"/>
        <v>0</v>
      </c>
      <c r="O214" s="726">
        <f t="shared" si="56"/>
        <v>1366</v>
      </c>
    </row>
    <row r="215" spans="1:15" ht="15" customHeight="1">
      <c r="A215" s="804"/>
      <c r="B215" s="804"/>
      <c r="C215" s="811" t="s">
        <v>555</v>
      </c>
      <c r="D215" s="884" t="s">
        <v>556</v>
      </c>
      <c r="E215" s="865"/>
      <c r="F215" s="866" t="s">
        <v>809</v>
      </c>
      <c r="G215" s="726"/>
      <c r="H215" s="726"/>
      <c r="I215" s="790"/>
      <c r="J215" s="726">
        <v>3000</v>
      </c>
      <c r="K215" s="726"/>
      <c r="L215" s="726">
        <f t="shared" si="53"/>
        <v>3000</v>
      </c>
      <c r="M215" s="726">
        <f aca="true" t="shared" si="57" ref="M215:M220">SUM(G215+J215)</f>
        <v>3000</v>
      </c>
      <c r="N215" s="726"/>
      <c r="O215" s="726">
        <f t="shared" si="56"/>
        <v>3000</v>
      </c>
    </row>
    <row r="216" spans="1:15" ht="15" customHeight="1">
      <c r="A216" s="804"/>
      <c r="B216" s="804"/>
      <c r="C216" s="804" t="s">
        <v>1183</v>
      </c>
      <c r="D216" s="805" t="s">
        <v>1184</v>
      </c>
      <c r="E216" s="786"/>
      <c r="F216" s="787"/>
      <c r="G216" s="726">
        <v>0</v>
      </c>
      <c r="H216" s="726">
        <v>0</v>
      </c>
      <c r="I216" s="790">
        <f aca="true" t="shared" si="58" ref="I216:I233">SUM(G216:H216)</f>
        <v>0</v>
      </c>
      <c r="J216" s="726"/>
      <c r="K216" s="726"/>
      <c r="L216" s="726">
        <f t="shared" si="53"/>
        <v>0</v>
      </c>
      <c r="M216" s="726">
        <f t="shared" si="57"/>
        <v>0</v>
      </c>
      <c r="N216" s="726">
        <f>SUM(H216+K216)</f>
        <v>0</v>
      </c>
      <c r="O216" s="726">
        <f t="shared" si="56"/>
        <v>0</v>
      </c>
    </row>
    <row r="217" spans="1:15" ht="15" customHeight="1">
      <c r="A217" s="804"/>
      <c r="B217" s="804"/>
      <c r="C217" s="804" t="s">
        <v>388</v>
      </c>
      <c r="D217" s="835" t="s">
        <v>259</v>
      </c>
      <c r="E217" s="786"/>
      <c r="F217" s="787"/>
      <c r="G217" s="726">
        <v>35000</v>
      </c>
      <c r="H217" s="726">
        <v>0</v>
      </c>
      <c r="I217" s="790">
        <f t="shared" si="58"/>
        <v>35000</v>
      </c>
      <c r="J217" s="726"/>
      <c r="K217" s="726"/>
      <c r="L217" s="726">
        <f t="shared" si="53"/>
        <v>0</v>
      </c>
      <c r="M217" s="726">
        <f t="shared" si="57"/>
        <v>35000</v>
      </c>
      <c r="N217" s="726">
        <f>SUM(H217+K217)</f>
        <v>0</v>
      </c>
      <c r="O217" s="726">
        <f t="shared" si="56"/>
        <v>35000</v>
      </c>
    </row>
    <row r="218" spans="1:15" ht="15" customHeight="1">
      <c r="A218" s="804"/>
      <c r="B218" s="804"/>
      <c r="C218" s="811"/>
      <c r="D218" s="795" t="s">
        <v>327</v>
      </c>
      <c r="E218" s="786"/>
      <c r="F218" s="787"/>
      <c r="G218" s="726">
        <v>0</v>
      </c>
      <c r="H218" s="726">
        <v>0</v>
      </c>
      <c r="I218" s="790">
        <f t="shared" si="58"/>
        <v>0</v>
      </c>
      <c r="J218" s="726"/>
      <c r="K218" s="726"/>
      <c r="L218" s="726">
        <f t="shared" si="53"/>
        <v>0</v>
      </c>
      <c r="M218" s="726">
        <f t="shared" si="57"/>
        <v>0</v>
      </c>
      <c r="N218" s="726">
        <f>SUM(H218+K218)</f>
        <v>0</v>
      </c>
      <c r="O218" s="726">
        <f t="shared" si="56"/>
        <v>0</v>
      </c>
    </row>
    <row r="219" spans="1:15" ht="24.75" customHeight="1">
      <c r="A219" s="804"/>
      <c r="B219" s="804"/>
      <c r="C219" s="811" t="s">
        <v>1335</v>
      </c>
      <c r="D219" s="879" t="s">
        <v>487</v>
      </c>
      <c r="E219" s="786"/>
      <c r="F219" s="787"/>
      <c r="G219" s="765">
        <v>754396</v>
      </c>
      <c r="H219" s="765">
        <v>0</v>
      </c>
      <c r="I219" s="790">
        <f t="shared" si="58"/>
        <v>754396</v>
      </c>
      <c r="J219" s="765"/>
      <c r="K219" s="765"/>
      <c r="L219" s="765">
        <f t="shared" si="53"/>
        <v>0</v>
      </c>
      <c r="M219" s="765">
        <f t="shared" si="57"/>
        <v>754396</v>
      </c>
      <c r="N219" s="765">
        <f>SUM(H219+K219)</f>
        <v>0</v>
      </c>
      <c r="O219" s="765">
        <f t="shared" si="56"/>
        <v>754396</v>
      </c>
    </row>
    <row r="220" spans="1:15" ht="36" customHeight="1">
      <c r="A220" s="804"/>
      <c r="B220" s="804"/>
      <c r="C220" s="811" t="s">
        <v>488</v>
      </c>
      <c r="D220" s="880" t="s">
        <v>841</v>
      </c>
      <c r="E220" s="885"/>
      <c r="F220" s="886"/>
      <c r="G220" s="765">
        <v>338532</v>
      </c>
      <c r="H220" s="765">
        <v>0</v>
      </c>
      <c r="I220" s="790">
        <f t="shared" si="58"/>
        <v>338532</v>
      </c>
      <c r="J220" s="765"/>
      <c r="K220" s="765"/>
      <c r="L220" s="765">
        <f t="shared" si="53"/>
        <v>0</v>
      </c>
      <c r="M220" s="765">
        <f t="shared" si="57"/>
        <v>338532</v>
      </c>
      <c r="N220" s="765">
        <f>SUM(H220+K220)</f>
        <v>0</v>
      </c>
      <c r="O220" s="765">
        <f t="shared" si="56"/>
        <v>338532</v>
      </c>
    </row>
    <row r="221" spans="1:15" ht="15" customHeight="1">
      <c r="A221" s="804"/>
      <c r="B221" s="804"/>
      <c r="C221" s="804" t="s">
        <v>1185</v>
      </c>
      <c r="D221" s="813" t="s">
        <v>1186</v>
      </c>
      <c r="E221" s="786"/>
      <c r="F221" s="787"/>
      <c r="G221" s="726"/>
      <c r="H221" s="726"/>
      <c r="I221" s="790">
        <f t="shared" si="58"/>
        <v>0</v>
      </c>
      <c r="J221" s="726"/>
      <c r="K221" s="726"/>
      <c r="L221" s="726"/>
      <c r="M221" s="726"/>
      <c r="N221" s="726"/>
      <c r="O221" s="726"/>
    </row>
    <row r="222" spans="1:15" ht="15" customHeight="1">
      <c r="A222" s="804"/>
      <c r="B222" s="804"/>
      <c r="C222" s="764"/>
      <c r="D222" s="832" t="s">
        <v>327</v>
      </c>
      <c r="E222" s="786"/>
      <c r="F222" s="787"/>
      <c r="G222" s="726"/>
      <c r="H222" s="726"/>
      <c r="I222" s="790">
        <f t="shared" si="58"/>
        <v>0</v>
      </c>
      <c r="J222" s="726"/>
      <c r="K222" s="726"/>
      <c r="L222" s="726"/>
      <c r="M222" s="726"/>
      <c r="N222" s="726"/>
      <c r="O222" s="726"/>
    </row>
    <row r="223" spans="1:15" ht="24.75" customHeight="1">
      <c r="A223" s="804"/>
      <c r="B223" s="804"/>
      <c r="C223" s="764" t="s">
        <v>1515</v>
      </c>
      <c r="D223" s="887" t="s">
        <v>187</v>
      </c>
      <c r="E223" s="786"/>
      <c r="F223" s="787" t="s">
        <v>828</v>
      </c>
      <c r="G223" s="765">
        <v>940</v>
      </c>
      <c r="H223" s="765">
        <v>0</v>
      </c>
      <c r="I223" s="790">
        <f t="shared" si="58"/>
        <v>940</v>
      </c>
      <c r="J223" s="765">
        <v>1010</v>
      </c>
      <c r="K223" s="765"/>
      <c r="L223" s="765">
        <f aca="true" t="shared" si="59" ref="L223:L231">SUM(J223:K223)</f>
        <v>1010</v>
      </c>
      <c r="M223" s="765">
        <f aca="true" t="shared" si="60" ref="M223:N230">SUM(G223+J223)</f>
        <v>1950</v>
      </c>
      <c r="N223" s="765">
        <f t="shared" si="60"/>
        <v>0</v>
      </c>
      <c r="O223" s="765">
        <f aca="true" t="shared" si="61" ref="O223:O231">SUM(M223:N223)</f>
        <v>1950</v>
      </c>
    </row>
    <row r="224" spans="1:15" ht="13.5">
      <c r="A224" s="804"/>
      <c r="B224" s="804"/>
      <c r="C224" s="804" t="s">
        <v>1187</v>
      </c>
      <c r="D224" s="805" t="s">
        <v>1192</v>
      </c>
      <c r="E224" s="858"/>
      <c r="F224" s="859"/>
      <c r="G224" s="726">
        <v>0</v>
      </c>
      <c r="H224" s="726">
        <v>0</v>
      </c>
      <c r="I224" s="790">
        <f t="shared" si="58"/>
        <v>0</v>
      </c>
      <c r="J224" s="726"/>
      <c r="K224" s="726"/>
      <c r="L224" s="726">
        <f t="shared" si="59"/>
        <v>0</v>
      </c>
      <c r="M224" s="726">
        <f t="shared" si="60"/>
        <v>0</v>
      </c>
      <c r="N224" s="726">
        <f t="shared" si="60"/>
        <v>0</v>
      </c>
      <c r="O224" s="726">
        <f t="shared" si="61"/>
        <v>0</v>
      </c>
    </row>
    <row r="225" spans="1:15" ht="13.5">
      <c r="A225" s="804"/>
      <c r="B225" s="804"/>
      <c r="C225" s="811" t="s">
        <v>1188</v>
      </c>
      <c r="D225" s="868" t="s">
        <v>1641</v>
      </c>
      <c r="E225" s="888"/>
      <c r="F225" s="859"/>
      <c r="G225" s="726">
        <v>20000</v>
      </c>
      <c r="H225" s="726">
        <v>0</v>
      </c>
      <c r="I225" s="790">
        <f t="shared" si="58"/>
        <v>20000</v>
      </c>
      <c r="J225" s="726"/>
      <c r="K225" s="726"/>
      <c r="L225" s="726">
        <f t="shared" si="59"/>
        <v>0</v>
      </c>
      <c r="M225" s="726">
        <f t="shared" si="60"/>
        <v>20000</v>
      </c>
      <c r="N225" s="726">
        <f t="shared" si="60"/>
        <v>0</v>
      </c>
      <c r="O225" s="726">
        <f t="shared" si="61"/>
        <v>20000</v>
      </c>
    </row>
    <row r="226" spans="1:15" ht="13.5">
      <c r="A226" s="804"/>
      <c r="B226" s="804"/>
      <c r="C226" s="811" t="s">
        <v>1189</v>
      </c>
      <c r="D226" s="889" t="s">
        <v>365</v>
      </c>
      <c r="E226" s="888"/>
      <c r="F226" s="859"/>
      <c r="G226" s="726">
        <v>1600</v>
      </c>
      <c r="H226" s="726">
        <v>0</v>
      </c>
      <c r="I226" s="790">
        <f t="shared" si="58"/>
        <v>1600</v>
      </c>
      <c r="J226" s="726"/>
      <c r="K226" s="726"/>
      <c r="L226" s="726">
        <f t="shared" si="59"/>
        <v>0</v>
      </c>
      <c r="M226" s="726">
        <f t="shared" si="60"/>
        <v>1600</v>
      </c>
      <c r="N226" s="726">
        <f t="shared" si="60"/>
        <v>0</v>
      </c>
      <c r="O226" s="726">
        <f t="shared" si="61"/>
        <v>1600</v>
      </c>
    </row>
    <row r="227" spans="1:15" ht="24">
      <c r="A227" s="804"/>
      <c r="B227" s="804"/>
      <c r="C227" s="811" t="s">
        <v>1190</v>
      </c>
      <c r="D227" s="842" t="s">
        <v>367</v>
      </c>
      <c r="E227" s="888"/>
      <c r="F227" s="859"/>
      <c r="G227" s="726">
        <v>1000</v>
      </c>
      <c r="H227" s="726">
        <v>0</v>
      </c>
      <c r="I227" s="790">
        <f t="shared" si="58"/>
        <v>1000</v>
      </c>
      <c r="J227" s="726"/>
      <c r="K227" s="726"/>
      <c r="L227" s="726">
        <f t="shared" si="59"/>
        <v>0</v>
      </c>
      <c r="M227" s="726">
        <f t="shared" si="60"/>
        <v>1000</v>
      </c>
      <c r="N227" s="726">
        <f t="shared" si="60"/>
        <v>0</v>
      </c>
      <c r="O227" s="726">
        <f t="shared" si="61"/>
        <v>1000</v>
      </c>
    </row>
    <row r="228" spans="1:15" ht="13.5">
      <c r="A228" s="804"/>
      <c r="B228" s="804"/>
      <c r="C228" s="811" t="s">
        <v>1193</v>
      </c>
      <c r="D228" s="842" t="s">
        <v>366</v>
      </c>
      <c r="E228" s="888"/>
      <c r="F228" s="859"/>
      <c r="G228" s="726">
        <v>55000</v>
      </c>
      <c r="H228" s="726">
        <v>0</v>
      </c>
      <c r="I228" s="790">
        <f t="shared" si="58"/>
        <v>55000</v>
      </c>
      <c r="J228" s="726"/>
      <c r="K228" s="726"/>
      <c r="L228" s="726">
        <f t="shared" si="59"/>
        <v>0</v>
      </c>
      <c r="M228" s="726">
        <f t="shared" si="60"/>
        <v>55000</v>
      </c>
      <c r="N228" s="726">
        <f t="shared" si="60"/>
        <v>0</v>
      </c>
      <c r="O228" s="726">
        <f t="shared" si="61"/>
        <v>55000</v>
      </c>
    </row>
    <row r="229" spans="1:15" ht="13.5">
      <c r="A229" s="804"/>
      <c r="B229" s="804"/>
      <c r="C229" s="811" t="s">
        <v>1293</v>
      </c>
      <c r="D229" s="854" t="s">
        <v>368</v>
      </c>
      <c r="E229" s="888"/>
      <c r="F229" s="859"/>
      <c r="G229" s="726">
        <v>5000</v>
      </c>
      <c r="H229" s="726">
        <v>0</v>
      </c>
      <c r="I229" s="790">
        <f t="shared" si="58"/>
        <v>5000</v>
      </c>
      <c r="J229" s="726"/>
      <c r="K229" s="726"/>
      <c r="L229" s="726">
        <f t="shared" si="59"/>
        <v>0</v>
      </c>
      <c r="M229" s="726">
        <f t="shared" si="60"/>
        <v>5000</v>
      </c>
      <c r="N229" s="726">
        <f t="shared" si="60"/>
        <v>0</v>
      </c>
      <c r="O229" s="726">
        <f t="shared" si="61"/>
        <v>5000</v>
      </c>
    </row>
    <row r="230" spans="1:15" ht="13.5">
      <c r="A230" s="804"/>
      <c r="B230" s="804"/>
      <c r="C230" s="811" t="s">
        <v>1657</v>
      </c>
      <c r="D230" s="760" t="s">
        <v>1072</v>
      </c>
      <c r="E230" s="829"/>
      <c r="F230" s="890"/>
      <c r="G230" s="726">
        <v>1000</v>
      </c>
      <c r="H230" s="726">
        <v>0</v>
      </c>
      <c r="I230" s="790">
        <f t="shared" si="58"/>
        <v>1000</v>
      </c>
      <c r="J230" s="726"/>
      <c r="K230" s="726"/>
      <c r="L230" s="726">
        <f t="shared" si="59"/>
        <v>0</v>
      </c>
      <c r="M230" s="726">
        <f t="shared" si="60"/>
        <v>1000</v>
      </c>
      <c r="N230" s="726">
        <f t="shared" si="60"/>
        <v>0</v>
      </c>
      <c r="O230" s="726">
        <f t="shared" si="61"/>
        <v>1000</v>
      </c>
    </row>
    <row r="231" spans="1:15" ht="13.5">
      <c r="A231" s="804"/>
      <c r="B231" s="804"/>
      <c r="C231" s="811" t="s">
        <v>835</v>
      </c>
      <c r="D231" s="891" t="s">
        <v>842</v>
      </c>
      <c r="E231" s="829"/>
      <c r="F231" s="890"/>
      <c r="G231" s="726">
        <v>5000</v>
      </c>
      <c r="H231" s="726"/>
      <c r="I231" s="790">
        <f t="shared" si="58"/>
        <v>5000</v>
      </c>
      <c r="J231" s="726"/>
      <c r="K231" s="726"/>
      <c r="L231" s="726">
        <f t="shared" si="59"/>
        <v>0</v>
      </c>
      <c r="M231" s="726">
        <f>SUM(G231+J231)</f>
        <v>5000</v>
      </c>
      <c r="N231" s="726"/>
      <c r="O231" s="726">
        <f t="shared" si="61"/>
        <v>5000</v>
      </c>
    </row>
    <row r="232" spans="1:15" ht="13.5">
      <c r="A232" s="804"/>
      <c r="B232" s="804"/>
      <c r="C232" s="811"/>
      <c r="D232" s="795" t="s">
        <v>327</v>
      </c>
      <c r="E232" s="888"/>
      <c r="F232" s="859"/>
      <c r="G232" s="726"/>
      <c r="H232" s="726"/>
      <c r="I232" s="790">
        <f t="shared" si="58"/>
        <v>0</v>
      </c>
      <c r="J232" s="726"/>
      <c r="K232" s="726"/>
      <c r="L232" s="726"/>
      <c r="M232" s="726"/>
      <c r="N232" s="726"/>
      <c r="O232" s="726"/>
    </row>
    <row r="233" spans="1:15" ht="13.5">
      <c r="A233" s="804"/>
      <c r="B233" s="804"/>
      <c r="C233" s="811" t="s">
        <v>289</v>
      </c>
      <c r="D233" s="847" t="s">
        <v>489</v>
      </c>
      <c r="E233" s="888"/>
      <c r="F233" s="859"/>
      <c r="G233" s="726">
        <v>8033</v>
      </c>
      <c r="H233" s="726">
        <v>268</v>
      </c>
      <c r="I233" s="790">
        <f t="shared" si="58"/>
        <v>8301</v>
      </c>
      <c r="J233" s="726"/>
      <c r="K233" s="726"/>
      <c r="L233" s="726">
        <f>SUM(J233:K233)</f>
        <v>0</v>
      </c>
      <c r="M233" s="726">
        <f>SUM(G233+J233)</f>
        <v>8033</v>
      </c>
      <c r="N233" s="726">
        <f>SUM(H233+K233)</f>
        <v>268</v>
      </c>
      <c r="O233" s="726">
        <f>SUM(M233:N233)</f>
        <v>8301</v>
      </c>
    </row>
    <row r="234" spans="1:15" ht="13.5">
      <c r="A234" s="892"/>
      <c r="B234" s="892"/>
      <c r="C234" s="778"/>
      <c r="D234" s="779" t="s">
        <v>105</v>
      </c>
      <c r="E234" s="780"/>
      <c r="F234" s="781"/>
      <c r="G234" s="893">
        <f aca="true" t="shared" si="62" ref="G234:O234">SUM(G126:G233)</f>
        <v>5988485</v>
      </c>
      <c r="H234" s="893">
        <f t="shared" si="62"/>
        <v>33868</v>
      </c>
      <c r="I234" s="893">
        <f t="shared" si="62"/>
        <v>6022353</v>
      </c>
      <c r="J234" s="893">
        <f t="shared" si="62"/>
        <v>-42384</v>
      </c>
      <c r="K234" s="893">
        <f t="shared" si="62"/>
        <v>0</v>
      </c>
      <c r="L234" s="893">
        <f t="shared" si="62"/>
        <v>-42384</v>
      </c>
      <c r="M234" s="893">
        <f t="shared" si="62"/>
        <v>5946101</v>
      </c>
      <c r="N234" s="893">
        <f t="shared" si="62"/>
        <v>33868</v>
      </c>
      <c r="O234" s="893">
        <f t="shared" si="62"/>
        <v>5979969</v>
      </c>
    </row>
    <row r="235" spans="1:15" ht="13.5">
      <c r="A235" s="894">
        <v>1</v>
      </c>
      <c r="B235" s="894">
        <v>17</v>
      </c>
      <c r="C235" s="764"/>
      <c r="D235" s="895" t="s">
        <v>770</v>
      </c>
      <c r="E235" s="896"/>
      <c r="F235" s="849"/>
      <c r="G235" s="726"/>
      <c r="H235" s="726"/>
      <c r="I235" s="897"/>
      <c r="J235" s="726"/>
      <c r="K235" s="726"/>
      <c r="L235" s="726"/>
      <c r="M235" s="726"/>
      <c r="N235" s="726"/>
      <c r="O235" s="726"/>
    </row>
    <row r="236" spans="1:15" ht="13.5">
      <c r="A236" s="894"/>
      <c r="B236" s="894"/>
      <c r="C236" s="764" t="s">
        <v>685</v>
      </c>
      <c r="D236" s="898" t="s">
        <v>532</v>
      </c>
      <c r="E236" s="896"/>
      <c r="F236" s="849"/>
      <c r="G236" s="726">
        <v>171958</v>
      </c>
      <c r="H236" s="726">
        <v>0</v>
      </c>
      <c r="I236" s="899">
        <f>SUM(G236:H236)</f>
        <v>171958</v>
      </c>
      <c r="J236" s="726"/>
      <c r="K236" s="726"/>
      <c r="L236" s="726">
        <f aca="true" t="shared" si="63" ref="L236:L244">SUM(J236:K236)</f>
        <v>0</v>
      </c>
      <c r="M236" s="726">
        <f>SUM(G236+J236)</f>
        <v>171958</v>
      </c>
      <c r="N236" s="726">
        <f>SUM(H236+K236)</f>
        <v>0</v>
      </c>
      <c r="O236" s="726">
        <f aca="true" t="shared" si="64" ref="O236:O244">SUM(M236:N236)</f>
        <v>171958</v>
      </c>
    </row>
    <row r="237" spans="1:15" ht="13.5">
      <c r="A237" s="894"/>
      <c r="B237" s="894"/>
      <c r="C237" s="764" t="s">
        <v>681</v>
      </c>
      <c r="D237" s="898" t="s">
        <v>843</v>
      </c>
      <c r="E237" s="896"/>
      <c r="F237" s="849"/>
      <c r="G237" s="726">
        <v>260</v>
      </c>
      <c r="H237" s="726"/>
      <c r="I237" s="899">
        <f>SUM(G237:H237)</f>
        <v>260</v>
      </c>
      <c r="J237" s="726"/>
      <c r="K237" s="726"/>
      <c r="L237" s="726">
        <f t="shared" si="63"/>
        <v>0</v>
      </c>
      <c r="M237" s="726">
        <f aca="true" t="shared" si="65" ref="M237:M244">SUM(G237+J237)</f>
        <v>260</v>
      </c>
      <c r="N237" s="726"/>
      <c r="O237" s="726">
        <f t="shared" si="64"/>
        <v>260</v>
      </c>
    </row>
    <row r="238" spans="1:15" ht="13.5">
      <c r="A238" s="894"/>
      <c r="B238" s="894"/>
      <c r="C238" s="764" t="s">
        <v>686</v>
      </c>
      <c r="D238" s="898" t="s">
        <v>557</v>
      </c>
      <c r="E238" s="896"/>
      <c r="F238" s="849" t="s">
        <v>809</v>
      </c>
      <c r="G238" s="726"/>
      <c r="H238" s="726"/>
      <c r="I238" s="899"/>
      <c r="J238" s="726">
        <v>2500</v>
      </c>
      <c r="K238" s="726"/>
      <c r="L238" s="726">
        <f t="shared" si="63"/>
        <v>2500</v>
      </c>
      <c r="M238" s="726">
        <f t="shared" si="65"/>
        <v>2500</v>
      </c>
      <c r="N238" s="726"/>
      <c r="O238" s="726">
        <f t="shared" si="64"/>
        <v>2500</v>
      </c>
    </row>
    <row r="239" spans="1:15" ht="13.5" customHeight="1">
      <c r="A239" s="791"/>
      <c r="B239" s="791"/>
      <c r="C239" s="764"/>
      <c r="D239" s="795" t="s">
        <v>327</v>
      </c>
      <c r="E239" s="888"/>
      <c r="F239" s="859"/>
      <c r="G239" s="726">
        <v>0</v>
      </c>
      <c r="H239" s="726">
        <v>0</v>
      </c>
      <c r="I239" s="899">
        <f aca="true" t="shared" si="66" ref="I239:I244">SUM(G239:H239)</f>
        <v>0</v>
      </c>
      <c r="J239" s="726"/>
      <c r="K239" s="726"/>
      <c r="L239" s="726">
        <f t="shared" si="63"/>
        <v>0</v>
      </c>
      <c r="M239" s="726">
        <f t="shared" si="65"/>
        <v>0</v>
      </c>
      <c r="N239" s="726">
        <f aca="true" t="shared" si="67" ref="N239:N244">SUM(H239+K239)</f>
        <v>0</v>
      </c>
      <c r="O239" s="726">
        <f t="shared" si="64"/>
        <v>0</v>
      </c>
    </row>
    <row r="240" spans="1:15" ht="24.75" customHeight="1">
      <c r="A240" s="791"/>
      <c r="B240" s="791"/>
      <c r="C240" s="764" t="s">
        <v>1336</v>
      </c>
      <c r="D240" s="900" t="s">
        <v>1268</v>
      </c>
      <c r="E240" s="888"/>
      <c r="F240" s="859"/>
      <c r="G240" s="726">
        <v>63299</v>
      </c>
      <c r="H240" s="726">
        <v>0</v>
      </c>
      <c r="I240" s="899">
        <f t="shared" si="66"/>
        <v>63299</v>
      </c>
      <c r="J240" s="726"/>
      <c r="K240" s="726"/>
      <c r="L240" s="726">
        <f t="shared" si="63"/>
        <v>0</v>
      </c>
      <c r="M240" s="726">
        <f t="shared" si="65"/>
        <v>63299</v>
      </c>
      <c r="N240" s="726">
        <f t="shared" si="67"/>
        <v>0</v>
      </c>
      <c r="O240" s="726">
        <f t="shared" si="64"/>
        <v>63299</v>
      </c>
    </row>
    <row r="241" spans="1:15" ht="15" customHeight="1">
      <c r="A241" s="791"/>
      <c r="B241" s="791"/>
      <c r="C241" s="764" t="s">
        <v>1249</v>
      </c>
      <c r="D241" s="872" t="s">
        <v>1085</v>
      </c>
      <c r="E241" s="888"/>
      <c r="F241" s="859"/>
      <c r="G241" s="726">
        <v>30000</v>
      </c>
      <c r="H241" s="726">
        <v>0</v>
      </c>
      <c r="I241" s="899">
        <f t="shared" si="66"/>
        <v>30000</v>
      </c>
      <c r="J241" s="726"/>
      <c r="K241" s="726"/>
      <c r="L241" s="726">
        <f t="shared" si="63"/>
        <v>0</v>
      </c>
      <c r="M241" s="726">
        <f t="shared" si="65"/>
        <v>30000</v>
      </c>
      <c r="N241" s="726">
        <f t="shared" si="67"/>
        <v>0</v>
      </c>
      <c r="O241" s="726">
        <f t="shared" si="64"/>
        <v>30000</v>
      </c>
    </row>
    <row r="242" spans="1:15" ht="15" customHeight="1">
      <c r="A242" s="791"/>
      <c r="B242" s="791"/>
      <c r="C242" s="764" t="s">
        <v>1250</v>
      </c>
      <c r="D242" s="900" t="s">
        <v>117</v>
      </c>
      <c r="E242" s="888"/>
      <c r="F242" s="859"/>
      <c r="G242" s="726">
        <v>80626</v>
      </c>
      <c r="H242" s="726">
        <v>0</v>
      </c>
      <c r="I242" s="899">
        <f t="shared" si="66"/>
        <v>80626</v>
      </c>
      <c r="J242" s="726"/>
      <c r="K242" s="726"/>
      <c r="L242" s="726">
        <f t="shared" si="63"/>
        <v>0</v>
      </c>
      <c r="M242" s="726">
        <f t="shared" si="65"/>
        <v>80626</v>
      </c>
      <c r="N242" s="726">
        <f t="shared" si="67"/>
        <v>0</v>
      </c>
      <c r="O242" s="726">
        <f t="shared" si="64"/>
        <v>80626</v>
      </c>
    </row>
    <row r="243" spans="1:15" ht="24.75" customHeight="1">
      <c r="A243" s="791"/>
      <c r="B243" s="791"/>
      <c r="C243" s="764" t="s">
        <v>1086</v>
      </c>
      <c r="D243" s="900" t="s">
        <v>1084</v>
      </c>
      <c r="E243" s="888"/>
      <c r="F243" s="859"/>
      <c r="G243" s="726">
        <v>103100</v>
      </c>
      <c r="H243" s="726">
        <v>0</v>
      </c>
      <c r="I243" s="899">
        <f t="shared" si="66"/>
        <v>103100</v>
      </c>
      <c r="J243" s="726"/>
      <c r="K243" s="726"/>
      <c r="L243" s="726">
        <f t="shared" si="63"/>
        <v>0</v>
      </c>
      <c r="M243" s="726">
        <f t="shared" si="65"/>
        <v>103100</v>
      </c>
      <c r="N243" s="726">
        <f t="shared" si="67"/>
        <v>0</v>
      </c>
      <c r="O243" s="726">
        <f t="shared" si="64"/>
        <v>103100</v>
      </c>
    </row>
    <row r="244" spans="1:15" ht="15" customHeight="1">
      <c r="A244" s="791"/>
      <c r="B244" s="791"/>
      <c r="C244" s="764" t="s">
        <v>1087</v>
      </c>
      <c r="D244" s="901" t="s">
        <v>490</v>
      </c>
      <c r="E244" s="888"/>
      <c r="F244" s="859"/>
      <c r="G244" s="726">
        <v>300</v>
      </c>
      <c r="H244" s="726">
        <v>0</v>
      </c>
      <c r="I244" s="899">
        <f t="shared" si="66"/>
        <v>300</v>
      </c>
      <c r="J244" s="726"/>
      <c r="K244" s="726"/>
      <c r="L244" s="726">
        <f t="shared" si="63"/>
        <v>0</v>
      </c>
      <c r="M244" s="726">
        <f t="shared" si="65"/>
        <v>300</v>
      </c>
      <c r="N244" s="726">
        <f t="shared" si="67"/>
        <v>0</v>
      </c>
      <c r="O244" s="726">
        <f t="shared" si="64"/>
        <v>300</v>
      </c>
    </row>
    <row r="245" spans="1:15" ht="12" customHeight="1">
      <c r="A245" s="892"/>
      <c r="B245" s="892"/>
      <c r="C245" s="778"/>
      <c r="D245" s="779" t="s">
        <v>282</v>
      </c>
      <c r="E245" s="780"/>
      <c r="F245" s="781"/>
      <c r="G245" s="893">
        <f aca="true" t="shared" si="68" ref="G245:O245">SUM(G236:G244)</f>
        <v>449543</v>
      </c>
      <c r="H245" s="893">
        <f t="shared" si="68"/>
        <v>0</v>
      </c>
      <c r="I245" s="893">
        <f t="shared" si="68"/>
        <v>449543</v>
      </c>
      <c r="J245" s="893">
        <f t="shared" si="68"/>
        <v>2500</v>
      </c>
      <c r="K245" s="893">
        <f t="shared" si="68"/>
        <v>0</v>
      </c>
      <c r="L245" s="893">
        <f t="shared" si="68"/>
        <v>2500</v>
      </c>
      <c r="M245" s="893">
        <f t="shared" si="68"/>
        <v>452043</v>
      </c>
      <c r="N245" s="893">
        <f t="shared" si="68"/>
        <v>0</v>
      </c>
      <c r="O245" s="893">
        <f t="shared" si="68"/>
        <v>452043</v>
      </c>
    </row>
    <row r="246" spans="1:15" ht="12" customHeight="1">
      <c r="A246" s="740">
        <v>1</v>
      </c>
      <c r="B246" s="740">
        <v>18</v>
      </c>
      <c r="C246" s="741"/>
      <c r="D246" s="902" t="s">
        <v>1346</v>
      </c>
      <c r="E246" s="903"/>
      <c r="F246" s="751"/>
      <c r="G246" s="904"/>
      <c r="H246" s="904"/>
      <c r="I246" s="904"/>
      <c r="J246" s="726"/>
      <c r="K246" s="726"/>
      <c r="L246" s="726"/>
      <c r="M246" s="726"/>
      <c r="N246" s="726"/>
      <c r="O246" s="726"/>
    </row>
    <row r="247" spans="1:15" ht="12" customHeight="1">
      <c r="A247" s="740"/>
      <c r="B247" s="740"/>
      <c r="C247" s="741" t="s">
        <v>685</v>
      </c>
      <c r="D247" s="795" t="s">
        <v>613</v>
      </c>
      <c r="E247" s="903"/>
      <c r="F247" s="751"/>
      <c r="G247" s="744">
        <v>500</v>
      </c>
      <c r="H247" s="744"/>
      <c r="I247" s="744">
        <v>500</v>
      </c>
      <c r="J247" s="726"/>
      <c r="K247" s="726"/>
      <c r="L247" s="726">
        <f>SUM(J247:K247)</f>
        <v>0</v>
      </c>
      <c r="M247" s="726">
        <f>SUM(G247+J247)</f>
        <v>500</v>
      </c>
      <c r="N247" s="726">
        <f>SUM(H247+K247)</f>
        <v>0</v>
      </c>
      <c r="O247" s="726">
        <f>SUM(M247:N247)</f>
        <v>500</v>
      </c>
    </row>
    <row r="248" spans="1:15" ht="12" customHeight="1">
      <c r="A248" s="905"/>
      <c r="B248" s="905"/>
      <c r="C248" s="778"/>
      <c r="D248" s="779" t="s">
        <v>91</v>
      </c>
      <c r="E248" s="780"/>
      <c r="F248" s="781"/>
      <c r="G248" s="893">
        <f>SUM(G247)</f>
        <v>500</v>
      </c>
      <c r="H248" s="893"/>
      <c r="I248" s="893">
        <f aca="true" t="shared" si="69" ref="I248:O248">SUM(I247)</f>
        <v>500</v>
      </c>
      <c r="J248" s="893">
        <f t="shared" si="69"/>
        <v>0</v>
      </c>
      <c r="K248" s="893">
        <f t="shared" si="69"/>
        <v>0</v>
      </c>
      <c r="L248" s="893">
        <f t="shared" si="69"/>
        <v>0</v>
      </c>
      <c r="M248" s="893">
        <f t="shared" si="69"/>
        <v>500</v>
      </c>
      <c r="N248" s="893">
        <f t="shared" si="69"/>
        <v>0</v>
      </c>
      <c r="O248" s="893">
        <f t="shared" si="69"/>
        <v>500</v>
      </c>
    </row>
    <row r="249" spans="1:15" ht="12" customHeight="1">
      <c r="A249" s="894">
        <v>1</v>
      </c>
      <c r="B249" s="894">
        <v>19</v>
      </c>
      <c r="C249" s="764"/>
      <c r="D249" s="895" t="s">
        <v>676</v>
      </c>
      <c r="E249" s="896"/>
      <c r="F249" s="849"/>
      <c r="G249" s="726"/>
      <c r="H249" s="726"/>
      <c r="I249" s="897"/>
      <c r="J249" s="726"/>
      <c r="K249" s="726"/>
      <c r="L249" s="726"/>
      <c r="M249" s="726"/>
      <c r="N249" s="726"/>
      <c r="O249" s="726"/>
    </row>
    <row r="250" spans="1:15" ht="12" customHeight="1">
      <c r="A250" s="894"/>
      <c r="B250" s="894"/>
      <c r="C250" s="764" t="s">
        <v>685</v>
      </c>
      <c r="D250" s="1430" t="s">
        <v>844</v>
      </c>
      <c r="E250" s="1459"/>
      <c r="F250" s="849" t="s">
        <v>809</v>
      </c>
      <c r="G250" s="726"/>
      <c r="H250" s="726">
        <v>7550</v>
      </c>
      <c r="I250" s="899">
        <f>SUM(H250)</f>
        <v>7550</v>
      </c>
      <c r="J250" s="726"/>
      <c r="K250" s="726"/>
      <c r="L250" s="726"/>
      <c r="M250" s="726"/>
      <c r="N250" s="726">
        <v>7550</v>
      </c>
      <c r="O250" s="726">
        <v>7550</v>
      </c>
    </row>
    <row r="251" spans="1:15" ht="12" customHeight="1">
      <c r="A251" s="894"/>
      <c r="B251" s="894"/>
      <c r="C251" s="764" t="s">
        <v>681</v>
      </c>
      <c r="D251" s="907" t="s">
        <v>558</v>
      </c>
      <c r="E251" s="908"/>
      <c r="F251" s="849" t="s">
        <v>809</v>
      </c>
      <c r="G251" s="726"/>
      <c r="H251" s="726"/>
      <c r="I251" s="899"/>
      <c r="J251" s="726"/>
      <c r="K251" s="726">
        <v>1000</v>
      </c>
      <c r="L251" s="726">
        <v>1000</v>
      </c>
      <c r="M251" s="726"/>
      <c r="N251" s="726">
        <v>1000</v>
      </c>
      <c r="O251" s="726">
        <v>1000</v>
      </c>
    </row>
    <row r="252" spans="1:15" ht="12" customHeight="1">
      <c r="A252" s="894"/>
      <c r="B252" s="894"/>
      <c r="C252" s="764"/>
      <c r="D252" s="795" t="s">
        <v>327</v>
      </c>
      <c r="E252" s="896"/>
      <c r="F252" s="849"/>
      <c r="G252" s="726"/>
      <c r="H252" s="726"/>
      <c r="I252" s="899">
        <f>SUM(H252)</f>
        <v>0</v>
      </c>
      <c r="J252" s="726"/>
      <c r="K252" s="726"/>
      <c r="L252" s="726"/>
      <c r="M252" s="726"/>
      <c r="N252" s="726"/>
      <c r="O252" s="726"/>
    </row>
    <row r="253" spans="1:15" ht="15" customHeight="1">
      <c r="A253" s="894"/>
      <c r="B253" s="894"/>
      <c r="C253" s="764" t="s">
        <v>537</v>
      </c>
      <c r="D253" s="909" t="s">
        <v>491</v>
      </c>
      <c r="E253" s="896"/>
      <c r="F253" s="849"/>
      <c r="G253" s="726">
        <v>0</v>
      </c>
      <c r="H253" s="765">
        <v>1500</v>
      </c>
      <c r="I253" s="899">
        <f>SUM(H253)</f>
        <v>1500</v>
      </c>
      <c r="J253" s="765"/>
      <c r="K253" s="765"/>
      <c r="L253" s="765">
        <f>SUM(J253:K253)</f>
        <v>0</v>
      </c>
      <c r="M253" s="765">
        <f>SUM(G253+J253)</f>
        <v>0</v>
      </c>
      <c r="N253" s="765">
        <f>SUM(H253+K253)</f>
        <v>1500</v>
      </c>
      <c r="O253" s="765">
        <f>SUM(M253:N253)</f>
        <v>1500</v>
      </c>
    </row>
    <row r="254" spans="1:15" ht="24.75" customHeight="1">
      <c r="A254" s="894"/>
      <c r="B254" s="894"/>
      <c r="C254" s="764" t="s">
        <v>291</v>
      </c>
      <c r="D254" s="910" t="s">
        <v>1341</v>
      </c>
      <c r="E254" s="896"/>
      <c r="F254" s="849"/>
      <c r="G254" s="765">
        <v>0</v>
      </c>
      <c r="H254" s="765">
        <v>3660</v>
      </c>
      <c r="I254" s="899">
        <f>SUM(H254)</f>
        <v>3660</v>
      </c>
      <c r="J254" s="765"/>
      <c r="K254" s="765">
        <v>-1000</v>
      </c>
      <c r="L254" s="765">
        <f>SUM(J254:K254)</f>
        <v>-1000</v>
      </c>
      <c r="M254" s="765">
        <f>SUM(G254+J254)</f>
        <v>0</v>
      </c>
      <c r="N254" s="765">
        <f>SUM(H254+K254)</f>
        <v>2660</v>
      </c>
      <c r="O254" s="765">
        <f>SUM(M254:N254)</f>
        <v>2660</v>
      </c>
    </row>
    <row r="255" spans="1:15" ht="12" customHeight="1">
      <c r="A255" s="905"/>
      <c r="B255" s="905"/>
      <c r="C255" s="778"/>
      <c r="D255" s="779" t="s">
        <v>678</v>
      </c>
      <c r="E255" s="780"/>
      <c r="F255" s="781"/>
      <c r="G255" s="893">
        <f aca="true" t="shared" si="70" ref="G255:O255">SUM(G250:G254)</f>
        <v>0</v>
      </c>
      <c r="H255" s="893">
        <f t="shared" si="70"/>
        <v>12710</v>
      </c>
      <c r="I255" s="893">
        <f t="shared" si="70"/>
        <v>12710</v>
      </c>
      <c r="J255" s="893">
        <f t="shared" si="70"/>
        <v>0</v>
      </c>
      <c r="K255" s="893">
        <f t="shared" si="70"/>
        <v>0</v>
      </c>
      <c r="L255" s="893">
        <f t="shared" si="70"/>
        <v>0</v>
      </c>
      <c r="M255" s="893">
        <f t="shared" si="70"/>
        <v>0</v>
      </c>
      <c r="N255" s="893">
        <f t="shared" si="70"/>
        <v>12710</v>
      </c>
      <c r="O255" s="893">
        <f t="shared" si="70"/>
        <v>12710</v>
      </c>
    </row>
    <row r="256" spans="1:15" ht="12" customHeight="1">
      <c r="A256" s="894">
        <v>1</v>
      </c>
      <c r="B256" s="894">
        <v>22</v>
      </c>
      <c r="C256" s="764"/>
      <c r="D256" s="895" t="s">
        <v>1279</v>
      </c>
      <c r="E256" s="896"/>
      <c r="F256" s="849"/>
      <c r="G256" s="726"/>
      <c r="H256" s="726"/>
      <c r="I256" s="899"/>
      <c r="J256" s="726"/>
      <c r="K256" s="726"/>
      <c r="L256" s="726"/>
      <c r="M256" s="726"/>
      <c r="N256" s="726"/>
      <c r="O256" s="726"/>
    </row>
    <row r="257" spans="1:15" ht="15" customHeight="1">
      <c r="A257" s="894"/>
      <c r="B257" s="894"/>
      <c r="C257" s="764" t="s">
        <v>685</v>
      </c>
      <c r="D257" s="872" t="s">
        <v>845</v>
      </c>
      <c r="E257" s="865"/>
      <c r="F257" s="866"/>
      <c r="G257" s="726">
        <v>250</v>
      </c>
      <c r="H257" s="726">
        <v>0</v>
      </c>
      <c r="I257" s="911">
        <f>SUM(G257:H257)</f>
        <v>250</v>
      </c>
      <c r="J257" s="726"/>
      <c r="K257" s="726">
        <v>130</v>
      </c>
      <c r="L257" s="726">
        <f>SUM(J257:K257)</f>
        <v>130</v>
      </c>
      <c r="M257" s="726">
        <f>SUM(G257+J257)</f>
        <v>250</v>
      </c>
      <c r="N257" s="726">
        <f>SUM(H257+K257)</f>
        <v>130</v>
      </c>
      <c r="O257" s="726">
        <f>SUM(M257:N257)</f>
        <v>380</v>
      </c>
    </row>
    <row r="258" spans="1:15" ht="12" customHeight="1">
      <c r="A258" s="905"/>
      <c r="B258" s="905"/>
      <c r="C258" s="778"/>
      <c r="D258" s="779" t="s">
        <v>1281</v>
      </c>
      <c r="E258" s="780"/>
      <c r="F258" s="781"/>
      <c r="G258" s="893">
        <f aca="true" t="shared" si="71" ref="G258:O258">SUM(G257)</f>
        <v>250</v>
      </c>
      <c r="H258" s="893">
        <f t="shared" si="71"/>
        <v>0</v>
      </c>
      <c r="I258" s="893">
        <f t="shared" si="71"/>
        <v>250</v>
      </c>
      <c r="J258" s="893">
        <f t="shared" si="71"/>
        <v>0</v>
      </c>
      <c r="K258" s="893">
        <f t="shared" si="71"/>
        <v>130</v>
      </c>
      <c r="L258" s="893">
        <f t="shared" si="71"/>
        <v>130</v>
      </c>
      <c r="M258" s="893">
        <f t="shared" si="71"/>
        <v>250</v>
      </c>
      <c r="N258" s="893">
        <f t="shared" si="71"/>
        <v>130</v>
      </c>
      <c r="O258" s="893">
        <f t="shared" si="71"/>
        <v>380</v>
      </c>
    </row>
    <row r="259" spans="1:15" ht="13.5">
      <c r="A259" s="912">
        <v>1</v>
      </c>
      <c r="B259" s="912">
        <v>3</v>
      </c>
      <c r="C259" s="767"/>
      <c r="D259" s="800" t="s">
        <v>1549</v>
      </c>
      <c r="E259" s="807"/>
      <c r="F259" s="808"/>
      <c r="G259" s="765"/>
      <c r="H259" s="765"/>
      <c r="I259" s="765"/>
      <c r="J259" s="726"/>
      <c r="K259" s="726"/>
      <c r="L259" s="726">
        <f>SUM(J259:K259)</f>
        <v>0</v>
      </c>
      <c r="M259" s="726">
        <f>SUM(G259+J259)</f>
        <v>0</v>
      </c>
      <c r="N259" s="726">
        <f>SUM(H259+K259)</f>
        <v>0</v>
      </c>
      <c r="O259" s="726">
        <f>SUM(M259:N259)</f>
        <v>0</v>
      </c>
    </row>
    <row r="260" spans="1:15" ht="13.5">
      <c r="A260" s="912"/>
      <c r="B260" s="912"/>
      <c r="C260" s="767"/>
      <c r="D260" s="913"/>
      <c r="E260" s="807"/>
      <c r="F260" s="808"/>
      <c r="G260" s="765"/>
      <c r="H260" s="765"/>
      <c r="I260" s="765"/>
      <c r="J260" s="726"/>
      <c r="K260" s="726"/>
      <c r="L260" s="726"/>
      <c r="M260" s="726"/>
      <c r="N260" s="726"/>
      <c r="O260" s="726"/>
    </row>
    <row r="261" spans="1:15" ht="12" customHeight="1">
      <c r="A261" s="914"/>
      <c r="B261" s="914"/>
      <c r="C261" s="905"/>
      <c r="D261" s="915" t="s">
        <v>1550</v>
      </c>
      <c r="E261" s="916"/>
      <c r="F261" s="917"/>
      <c r="G261" s="918">
        <f aca="true" t="shared" si="72" ref="G261:O261">SUM(G260:G260)</f>
        <v>0</v>
      </c>
      <c r="H261" s="918">
        <f t="shared" si="72"/>
        <v>0</v>
      </c>
      <c r="I261" s="918">
        <f t="shared" si="72"/>
        <v>0</v>
      </c>
      <c r="J261" s="918">
        <f t="shared" si="72"/>
        <v>0</v>
      </c>
      <c r="K261" s="918">
        <f t="shared" si="72"/>
        <v>0</v>
      </c>
      <c r="L261" s="918">
        <f t="shared" si="72"/>
        <v>0</v>
      </c>
      <c r="M261" s="918">
        <f t="shared" si="72"/>
        <v>0</v>
      </c>
      <c r="N261" s="918">
        <f t="shared" si="72"/>
        <v>0</v>
      </c>
      <c r="O261" s="918">
        <f t="shared" si="72"/>
        <v>0</v>
      </c>
    </row>
    <row r="262" spans="1:15" ht="13.5">
      <c r="A262" s="919"/>
      <c r="B262" s="919"/>
      <c r="C262" s="920"/>
      <c r="D262" s="921" t="s">
        <v>761</v>
      </c>
      <c r="E262" s="916"/>
      <c r="F262" s="917"/>
      <c r="G262" s="918">
        <f aca="true" t="shared" si="73" ref="G262:O262">SUM(G7+G33+G123+G234+G245+G248+G255+G258+G261)</f>
        <v>7144904</v>
      </c>
      <c r="H262" s="918">
        <f t="shared" si="73"/>
        <v>750741</v>
      </c>
      <c r="I262" s="918">
        <f t="shared" si="73"/>
        <v>7895645</v>
      </c>
      <c r="J262" s="918">
        <f t="shared" si="73"/>
        <v>-12445</v>
      </c>
      <c r="K262" s="918">
        <f t="shared" si="73"/>
        <v>-33856</v>
      </c>
      <c r="L262" s="918">
        <f t="shared" si="73"/>
        <v>-46301</v>
      </c>
      <c r="M262" s="918">
        <f t="shared" si="73"/>
        <v>7132459</v>
      </c>
      <c r="N262" s="918">
        <f t="shared" si="73"/>
        <v>716885</v>
      </c>
      <c r="O262" s="918">
        <f t="shared" si="73"/>
        <v>7849344</v>
      </c>
    </row>
    <row r="263" spans="1:15" ht="12.75">
      <c r="A263" s="922">
        <v>2</v>
      </c>
      <c r="B263" s="923">
        <v>2</v>
      </c>
      <c r="C263" s="924"/>
      <c r="D263" s="742" t="s">
        <v>1621</v>
      </c>
      <c r="E263" s="886"/>
      <c r="F263" s="886"/>
      <c r="G263" s="726">
        <v>110629</v>
      </c>
      <c r="H263" s="726">
        <v>0</v>
      </c>
      <c r="I263" s="726">
        <f>SUM(G263:H263)</f>
        <v>110629</v>
      </c>
      <c r="J263" s="726">
        <f>'[2]táj.2.'!H20</f>
        <v>37742</v>
      </c>
      <c r="K263" s="726">
        <f>'[2]táj.2.'!J20</f>
        <v>0</v>
      </c>
      <c r="L263" s="726">
        <f>SUM(J263:K263)</f>
        <v>37742</v>
      </c>
      <c r="M263" s="726">
        <f>SUM(G263+J263)</f>
        <v>148371</v>
      </c>
      <c r="N263" s="726">
        <f>SUM(H263+K263)</f>
        <v>0</v>
      </c>
      <c r="O263" s="726">
        <f>SUM(M263:N263)</f>
        <v>148371</v>
      </c>
    </row>
    <row r="264" spans="1:15" ht="13.5">
      <c r="A264" s="919"/>
      <c r="B264" s="919"/>
      <c r="C264" s="920"/>
      <c r="D264" s="915" t="s">
        <v>1599</v>
      </c>
      <c r="E264" s="916"/>
      <c r="F264" s="917"/>
      <c r="G264" s="918">
        <f aca="true" t="shared" si="74" ref="G264:O264">SUM(G262:G263)</f>
        <v>7255533</v>
      </c>
      <c r="H264" s="918">
        <f t="shared" si="74"/>
        <v>750741</v>
      </c>
      <c r="I264" s="918">
        <f t="shared" si="74"/>
        <v>8006274</v>
      </c>
      <c r="J264" s="918">
        <f t="shared" si="74"/>
        <v>25297</v>
      </c>
      <c r="K264" s="918">
        <f t="shared" si="74"/>
        <v>-33856</v>
      </c>
      <c r="L264" s="918">
        <f t="shared" si="74"/>
        <v>-8559</v>
      </c>
      <c r="M264" s="918">
        <f t="shared" si="74"/>
        <v>7280830</v>
      </c>
      <c r="N264" s="918">
        <f t="shared" si="74"/>
        <v>716885</v>
      </c>
      <c r="O264" s="918">
        <f t="shared" si="74"/>
        <v>7997715</v>
      </c>
    </row>
    <row r="265" spans="1:12" ht="15" customHeight="1">
      <c r="A265" s="318" t="s">
        <v>313</v>
      </c>
      <c r="B265" s="308"/>
      <c r="C265" s="308"/>
      <c r="D265" s="308"/>
      <c r="E265" s="308"/>
      <c r="F265" s="308"/>
      <c r="G265" s="308"/>
      <c r="H265" s="308"/>
      <c r="I265" s="308"/>
      <c r="L265" s="925"/>
    </row>
    <row r="266" spans="1:9" ht="12.75">
      <c r="A266" s="318"/>
      <c r="B266" s="318"/>
      <c r="C266" s="318"/>
      <c r="D266" s="318"/>
      <c r="E266" s="308"/>
      <c r="F266" s="308"/>
      <c r="G266" s="308"/>
      <c r="H266" s="308"/>
      <c r="I266" s="308"/>
    </row>
    <row r="267" spans="1:9" ht="12.75">
      <c r="A267" s="308"/>
      <c r="B267" s="308"/>
      <c r="C267" s="308"/>
      <c r="D267" s="308"/>
      <c r="E267" s="308"/>
      <c r="F267" s="308"/>
      <c r="G267" s="308"/>
      <c r="H267" s="308"/>
      <c r="I267" s="308"/>
    </row>
    <row r="268" spans="1:9" ht="12.75">
      <c r="A268" s="308"/>
      <c r="B268" s="308"/>
      <c r="C268" s="308"/>
      <c r="D268" s="308"/>
      <c r="E268" s="308"/>
      <c r="F268" s="308"/>
      <c r="G268" s="308"/>
      <c r="H268" s="308"/>
      <c r="I268" s="308"/>
    </row>
    <row r="269" spans="1:9" ht="12.75">
      <c r="A269" s="308"/>
      <c r="B269" s="308"/>
      <c r="C269" s="308"/>
      <c r="D269" s="308"/>
      <c r="E269" s="308"/>
      <c r="F269" s="308"/>
      <c r="G269" s="308"/>
      <c r="H269" s="308"/>
      <c r="I269" s="308"/>
    </row>
    <row r="270" spans="1:9" ht="13.5">
      <c r="A270" s="308"/>
      <c r="B270" s="308"/>
      <c r="C270" s="308"/>
      <c r="D270" s="308"/>
      <c r="E270" s="308"/>
      <c r="F270" s="308"/>
      <c r="G270" s="308"/>
      <c r="H270" s="308"/>
      <c r="I270" s="319"/>
    </row>
    <row r="271" spans="1:9" ht="13.5">
      <c r="A271" s="308"/>
      <c r="B271" s="308"/>
      <c r="C271" s="308"/>
      <c r="D271" s="308"/>
      <c r="E271" s="308"/>
      <c r="F271" s="308"/>
      <c r="G271" s="308"/>
      <c r="H271" s="308"/>
      <c r="I271" s="319"/>
    </row>
    <row r="272" spans="1:9" ht="12.75">
      <c r="A272" s="308"/>
      <c r="B272" s="308"/>
      <c r="C272" s="308"/>
      <c r="D272" s="308"/>
      <c r="E272" s="308"/>
      <c r="F272" s="308"/>
      <c r="G272" s="308"/>
      <c r="H272" s="308"/>
      <c r="I272" s="308"/>
    </row>
    <row r="273" spans="1:9" ht="12.75">
      <c r="A273" s="308"/>
      <c r="B273" s="308"/>
      <c r="C273" s="308"/>
      <c r="D273" s="308"/>
      <c r="E273" s="308"/>
      <c r="F273" s="308"/>
      <c r="G273" s="308"/>
      <c r="H273" s="308"/>
      <c r="I273" s="308"/>
    </row>
    <row r="274" spans="1:9" ht="12.75">
      <c r="A274" s="308"/>
      <c r="B274" s="308"/>
      <c r="C274" s="308"/>
      <c r="D274" s="308"/>
      <c r="E274" s="308"/>
      <c r="F274" s="308"/>
      <c r="G274" s="308"/>
      <c r="H274" s="308"/>
      <c r="I274" s="308"/>
    </row>
    <row r="275" spans="1:9" ht="12.75">
      <c r="A275" s="308"/>
      <c r="B275" s="308"/>
      <c r="C275" s="308"/>
      <c r="D275" s="308"/>
      <c r="E275" s="308"/>
      <c r="F275" s="308"/>
      <c r="G275" s="308"/>
      <c r="H275" s="308"/>
      <c r="I275" s="308"/>
    </row>
    <row r="276" spans="1:9" ht="12.75">
      <c r="A276" s="308"/>
      <c r="B276" s="308"/>
      <c r="C276" s="308"/>
      <c r="D276" s="308"/>
      <c r="E276" s="308"/>
      <c r="F276" s="308"/>
      <c r="G276" s="308"/>
      <c r="H276" s="308"/>
      <c r="I276" s="308"/>
    </row>
    <row r="277" spans="1:9" ht="12.75">
      <c r="A277" s="308"/>
      <c r="B277" s="308"/>
      <c r="C277" s="308"/>
      <c r="D277" s="308"/>
      <c r="E277" s="308"/>
      <c r="F277" s="308"/>
      <c r="G277" s="308"/>
      <c r="H277" s="308"/>
      <c r="I277" s="308"/>
    </row>
    <row r="278" spans="1:9" ht="12.75">
      <c r="A278" s="308"/>
      <c r="B278" s="308"/>
      <c r="C278" s="308"/>
      <c r="D278" s="308"/>
      <c r="E278" s="308"/>
      <c r="F278" s="308"/>
      <c r="G278" s="308"/>
      <c r="H278" s="308"/>
      <c r="I278" s="308"/>
    </row>
    <row r="279" spans="1:9" ht="12.75">
      <c r="A279" s="308"/>
      <c r="B279" s="308"/>
      <c r="C279" s="308"/>
      <c r="D279" s="308"/>
      <c r="E279" s="308"/>
      <c r="F279" s="308"/>
      <c r="G279" s="308"/>
      <c r="H279" s="308"/>
      <c r="I279" s="308"/>
    </row>
    <row r="280" spans="1:9" ht="12.75">
      <c r="A280" s="308"/>
      <c r="B280" s="308"/>
      <c r="C280" s="308"/>
      <c r="D280" s="308"/>
      <c r="E280" s="308"/>
      <c r="F280" s="308"/>
      <c r="G280" s="308"/>
      <c r="H280" s="308"/>
      <c r="I280" s="308"/>
    </row>
    <row r="281" spans="1:9" ht="12.75">
      <c r="A281" s="308"/>
      <c r="B281" s="308"/>
      <c r="C281" s="308"/>
      <c r="D281" s="308"/>
      <c r="E281" s="308"/>
      <c r="F281" s="308"/>
      <c r="G281" s="308"/>
      <c r="H281" s="308"/>
      <c r="I281" s="308"/>
    </row>
    <row r="282" spans="1:9" ht="12.75">
      <c r="A282" s="308"/>
      <c r="B282" s="308"/>
      <c r="C282" s="308"/>
      <c r="D282" s="308"/>
      <c r="E282" s="308"/>
      <c r="F282" s="308"/>
      <c r="G282" s="308"/>
      <c r="H282" s="308"/>
      <c r="I282" s="308"/>
    </row>
    <row r="283" spans="1:9" ht="12.75">
      <c r="A283" s="308"/>
      <c r="B283" s="308"/>
      <c r="C283" s="308"/>
      <c r="D283" s="308"/>
      <c r="E283" s="308"/>
      <c r="F283" s="308"/>
      <c r="G283" s="308"/>
      <c r="H283" s="308"/>
      <c r="I283" s="308"/>
    </row>
    <row r="284" spans="1:9" ht="12.75">
      <c r="A284" s="308"/>
      <c r="B284" s="308"/>
      <c r="C284" s="308"/>
      <c r="D284" s="308"/>
      <c r="E284" s="308"/>
      <c r="F284" s="308"/>
      <c r="G284" s="308"/>
      <c r="H284" s="308"/>
      <c r="I284" s="308"/>
    </row>
    <row r="285" spans="1:9" ht="12.75">
      <c r="A285" s="308"/>
      <c r="B285" s="308"/>
      <c r="C285" s="308"/>
      <c r="D285" s="308"/>
      <c r="E285" s="308"/>
      <c r="F285" s="308"/>
      <c r="G285" s="308"/>
      <c r="H285" s="308"/>
      <c r="I285" s="308"/>
    </row>
    <row r="286" spans="1:9" ht="12.75">
      <c r="A286" s="308"/>
      <c r="B286" s="308"/>
      <c r="C286" s="308"/>
      <c r="D286" s="308"/>
      <c r="E286" s="308"/>
      <c r="F286" s="308"/>
      <c r="G286" s="308"/>
      <c r="H286" s="308"/>
      <c r="I286" s="308"/>
    </row>
    <row r="287" spans="1:9" ht="12.75">
      <c r="A287" s="308"/>
      <c r="B287" s="308"/>
      <c r="C287" s="308"/>
      <c r="D287" s="308"/>
      <c r="E287" s="308"/>
      <c r="F287" s="308"/>
      <c r="G287" s="308"/>
      <c r="H287" s="308"/>
      <c r="I287" s="308"/>
    </row>
  </sheetData>
  <sheetProtection selectLockedCells="1" selectUnlockedCells="1"/>
  <mergeCells count="9">
    <mergeCell ref="A1:A2"/>
    <mergeCell ref="B1:B2"/>
    <mergeCell ref="C1:C2"/>
    <mergeCell ref="D250:E250"/>
    <mergeCell ref="D1:E2"/>
    <mergeCell ref="G1:I1"/>
    <mergeCell ref="J1:L1"/>
    <mergeCell ref="M1:O1"/>
    <mergeCell ref="F1:F2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0"/>
  <sheetViews>
    <sheetView workbookViewId="0" topLeftCell="B1">
      <pane ySplit="3" topLeftCell="BM10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5.875" style="307" customWidth="1"/>
    <col min="2" max="2" width="7.375" style="307" customWidth="1"/>
    <col min="3" max="3" width="7.50390625" style="307" customWidth="1"/>
    <col min="4" max="4" width="56.00390625" style="307" customWidth="1"/>
    <col min="5" max="5" width="3.125" style="307" customWidth="1"/>
    <col min="6" max="6" width="5.125" style="307" customWidth="1"/>
    <col min="7" max="7" width="11.375" style="307" customWidth="1"/>
    <col min="8" max="9" width="10.50390625" style="307" customWidth="1"/>
    <col min="10" max="10" width="9.375" style="307" customWidth="1"/>
    <col min="11" max="11" width="12.00390625" style="307" customWidth="1"/>
    <col min="12" max="12" width="10.375" style="307" customWidth="1"/>
    <col min="13" max="13" width="12.875" style="307" customWidth="1"/>
    <col min="14" max="14" width="13.00390625" style="307" customWidth="1"/>
    <col min="15" max="15" width="12.00390625" style="307" customWidth="1"/>
    <col min="16" max="16384" width="9.375" style="307" customWidth="1"/>
  </cols>
  <sheetData>
    <row r="1" spans="1:15" s="306" customFormat="1" ht="45.75" customHeight="1">
      <c r="A1" s="926"/>
      <c r="B1" s="927"/>
      <c r="C1" s="927"/>
      <c r="D1" s="928"/>
      <c r="E1" s="929"/>
      <c r="F1" s="1472" t="s">
        <v>808</v>
      </c>
      <c r="G1" s="1469" t="s">
        <v>547</v>
      </c>
      <c r="H1" s="1470"/>
      <c r="I1" s="1471"/>
      <c r="J1" s="1464" t="s">
        <v>548</v>
      </c>
      <c r="K1" s="1465"/>
      <c r="L1" s="1466"/>
      <c r="M1" s="1464" t="s">
        <v>788</v>
      </c>
      <c r="N1" s="1465"/>
      <c r="O1" s="1466"/>
    </row>
    <row r="2" spans="1:15" s="306" customFormat="1" ht="80.25" customHeight="1" thickBot="1">
      <c r="A2" s="930" t="s">
        <v>106</v>
      </c>
      <c r="B2" s="931" t="s">
        <v>107</v>
      </c>
      <c r="C2" s="931" t="s">
        <v>108</v>
      </c>
      <c r="D2" s="932" t="s">
        <v>86</v>
      </c>
      <c r="E2" s="933"/>
      <c r="F2" s="1473"/>
      <c r="G2" s="934" t="s">
        <v>87</v>
      </c>
      <c r="H2" s="934" t="s">
        <v>611</v>
      </c>
      <c r="I2" s="935" t="s">
        <v>109</v>
      </c>
      <c r="J2" s="934" t="s">
        <v>87</v>
      </c>
      <c r="K2" s="934" t="s">
        <v>611</v>
      </c>
      <c r="L2" s="935" t="s">
        <v>109</v>
      </c>
      <c r="M2" s="934" t="s">
        <v>87</v>
      </c>
      <c r="N2" s="934" t="s">
        <v>611</v>
      </c>
      <c r="O2" s="936" t="s">
        <v>109</v>
      </c>
    </row>
    <row r="3" spans="1:15" ht="12.75" customHeight="1">
      <c r="A3" s="937"/>
      <c r="B3" s="937"/>
      <c r="C3" s="937"/>
      <c r="D3" s="938" t="s">
        <v>1619</v>
      </c>
      <c r="E3" s="939"/>
      <c r="F3" s="940"/>
      <c r="G3" s="941"/>
      <c r="H3" s="941"/>
      <c r="I3" s="941"/>
      <c r="J3" s="899"/>
      <c r="K3" s="941"/>
      <c r="L3" s="941"/>
      <c r="M3" s="941"/>
      <c r="N3" s="941"/>
      <c r="O3" s="941"/>
    </row>
    <row r="4" spans="1:15" ht="15.75" customHeight="1">
      <c r="A4" s="942" t="s">
        <v>685</v>
      </c>
      <c r="B4" s="942">
        <v>13</v>
      </c>
      <c r="C4" s="942"/>
      <c r="D4" s="722" t="s">
        <v>20</v>
      </c>
      <c r="E4" s="845"/>
      <c r="F4" s="943"/>
      <c r="G4" s="944"/>
      <c r="H4" s="944"/>
      <c r="I4" s="944"/>
      <c r="J4" s="941"/>
      <c r="K4" s="941"/>
      <c r="L4" s="941"/>
      <c r="M4" s="941"/>
      <c r="N4" s="941"/>
      <c r="O4" s="941"/>
    </row>
    <row r="5" spans="1:15" ht="15.75" customHeight="1">
      <c r="A5" s="942"/>
      <c r="B5" s="942"/>
      <c r="C5" s="747" t="s">
        <v>685</v>
      </c>
      <c r="D5" s="945" t="s">
        <v>1027</v>
      </c>
      <c r="E5" s="946"/>
      <c r="F5" s="943"/>
      <c r="G5" s="944"/>
      <c r="H5" s="944"/>
      <c r="I5" s="944"/>
      <c r="J5" s="941"/>
      <c r="K5" s="941"/>
      <c r="L5" s="941"/>
      <c r="M5" s="941"/>
      <c r="N5" s="941"/>
      <c r="O5" s="941"/>
    </row>
    <row r="6" spans="1:15" ht="15.75" customHeight="1">
      <c r="A6" s="942"/>
      <c r="B6" s="942"/>
      <c r="C6" s="752" t="s">
        <v>682</v>
      </c>
      <c r="D6" s="947" t="s">
        <v>198</v>
      </c>
      <c r="E6" s="946"/>
      <c r="F6" s="943"/>
      <c r="G6" s="944"/>
      <c r="H6" s="944"/>
      <c r="I6" s="944"/>
      <c r="J6" s="941"/>
      <c r="K6" s="941"/>
      <c r="L6" s="941"/>
      <c r="M6" s="941"/>
      <c r="N6" s="941"/>
      <c r="O6" s="941"/>
    </row>
    <row r="7" spans="1:15" ht="27.75" customHeight="1">
      <c r="A7" s="942"/>
      <c r="B7" s="942"/>
      <c r="C7" s="948" t="s">
        <v>199</v>
      </c>
      <c r="D7" s="753" t="s">
        <v>326</v>
      </c>
      <c r="E7" s="845"/>
      <c r="F7" s="943"/>
      <c r="G7" s="949">
        <v>10000</v>
      </c>
      <c r="H7" s="949">
        <v>0</v>
      </c>
      <c r="I7" s="949">
        <v>10000</v>
      </c>
      <c r="J7" s="949"/>
      <c r="K7" s="949"/>
      <c r="L7" s="949">
        <f aca="true" t="shared" si="0" ref="L7:L17">SUM(J7:K7)</f>
        <v>0</v>
      </c>
      <c r="M7" s="949">
        <f aca="true" t="shared" si="1" ref="M7:M15">SUM(G7+J7)</f>
        <v>10000</v>
      </c>
      <c r="N7" s="949">
        <f aca="true" t="shared" si="2" ref="N7:N15">SUM(H7+K7)</f>
        <v>0</v>
      </c>
      <c r="O7" s="949">
        <f aca="true" t="shared" si="3" ref="O7:O17">SUM(M7:N7)</f>
        <v>10000</v>
      </c>
    </row>
    <row r="8" spans="1:15" ht="15" customHeight="1">
      <c r="A8" s="942"/>
      <c r="B8" s="942"/>
      <c r="C8" s="752" t="s">
        <v>200</v>
      </c>
      <c r="D8" s="950" t="s">
        <v>604</v>
      </c>
      <c r="E8" s="845"/>
      <c r="F8" s="951" t="s">
        <v>809</v>
      </c>
      <c r="G8" s="949">
        <v>15000</v>
      </c>
      <c r="H8" s="949">
        <v>0</v>
      </c>
      <c r="I8" s="949">
        <v>15000</v>
      </c>
      <c r="J8" s="949">
        <v>-15000</v>
      </c>
      <c r="K8" s="949"/>
      <c r="L8" s="949">
        <f t="shared" si="0"/>
        <v>-15000</v>
      </c>
      <c r="M8" s="949">
        <f t="shared" si="1"/>
        <v>0</v>
      </c>
      <c r="N8" s="949">
        <f t="shared" si="2"/>
        <v>0</v>
      </c>
      <c r="O8" s="949">
        <f t="shared" si="3"/>
        <v>0</v>
      </c>
    </row>
    <row r="9" spans="1:15" ht="15" customHeight="1">
      <c r="A9" s="942"/>
      <c r="B9" s="942"/>
      <c r="C9" s="752" t="s">
        <v>201</v>
      </c>
      <c r="D9" s="952" t="s">
        <v>460</v>
      </c>
      <c r="E9" s="845"/>
      <c r="F9" s="943"/>
      <c r="G9" s="949">
        <v>1000</v>
      </c>
      <c r="H9" s="949">
        <v>0</v>
      </c>
      <c r="I9" s="949">
        <v>1000</v>
      </c>
      <c r="J9" s="949"/>
      <c r="K9" s="949"/>
      <c r="L9" s="949">
        <f t="shared" si="0"/>
        <v>0</v>
      </c>
      <c r="M9" s="949">
        <f t="shared" si="1"/>
        <v>1000</v>
      </c>
      <c r="N9" s="949">
        <f t="shared" si="2"/>
        <v>0</v>
      </c>
      <c r="O9" s="949">
        <f t="shared" si="3"/>
        <v>1000</v>
      </c>
    </row>
    <row r="10" spans="1:15" ht="15" customHeight="1">
      <c r="A10" s="942"/>
      <c r="B10" s="942"/>
      <c r="C10" s="948" t="s">
        <v>202</v>
      </c>
      <c r="D10" s="953" t="s">
        <v>184</v>
      </c>
      <c r="E10" s="845"/>
      <c r="F10" s="943"/>
      <c r="G10" s="949">
        <v>500</v>
      </c>
      <c r="H10" s="949">
        <v>0</v>
      </c>
      <c r="I10" s="949">
        <v>500</v>
      </c>
      <c r="J10" s="949"/>
      <c r="K10" s="949"/>
      <c r="L10" s="949">
        <f t="shared" si="0"/>
        <v>0</v>
      </c>
      <c r="M10" s="949">
        <f t="shared" si="1"/>
        <v>500</v>
      </c>
      <c r="N10" s="949">
        <f t="shared" si="2"/>
        <v>0</v>
      </c>
      <c r="O10" s="949">
        <f t="shared" si="3"/>
        <v>500</v>
      </c>
    </row>
    <row r="11" spans="1:15" ht="15" customHeight="1">
      <c r="A11" s="942"/>
      <c r="B11" s="942"/>
      <c r="C11" s="752" t="s">
        <v>203</v>
      </c>
      <c r="D11" s="952" t="s">
        <v>559</v>
      </c>
      <c r="E11" s="845"/>
      <c r="F11" s="951" t="s">
        <v>809</v>
      </c>
      <c r="G11" s="949">
        <v>8500</v>
      </c>
      <c r="H11" s="949">
        <v>0</v>
      </c>
      <c r="I11" s="949">
        <v>8500</v>
      </c>
      <c r="J11" s="949">
        <v>8000</v>
      </c>
      <c r="K11" s="949"/>
      <c r="L11" s="949">
        <f t="shared" si="0"/>
        <v>8000</v>
      </c>
      <c r="M11" s="949">
        <f t="shared" si="1"/>
        <v>16500</v>
      </c>
      <c r="N11" s="949">
        <f t="shared" si="2"/>
        <v>0</v>
      </c>
      <c r="O11" s="949">
        <f t="shared" si="3"/>
        <v>16500</v>
      </c>
    </row>
    <row r="12" spans="1:15" ht="15" customHeight="1">
      <c r="A12" s="942"/>
      <c r="B12" s="942"/>
      <c r="C12" s="752" t="s">
        <v>204</v>
      </c>
      <c r="D12" s="952" t="s">
        <v>602</v>
      </c>
      <c r="E12" s="845"/>
      <c r="F12" s="951"/>
      <c r="G12" s="949">
        <v>2000</v>
      </c>
      <c r="H12" s="949">
        <v>0</v>
      </c>
      <c r="I12" s="949">
        <v>2000</v>
      </c>
      <c r="J12" s="949"/>
      <c r="K12" s="949"/>
      <c r="L12" s="949">
        <f t="shared" si="0"/>
        <v>0</v>
      </c>
      <c r="M12" s="949">
        <f t="shared" si="1"/>
        <v>2000</v>
      </c>
      <c r="N12" s="949">
        <f t="shared" si="2"/>
        <v>0</v>
      </c>
      <c r="O12" s="949">
        <f t="shared" si="3"/>
        <v>2000</v>
      </c>
    </row>
    <row r="13" spans="1:15" ht="24.75" customHeight="1">
      <c r="A13" s="942"/>
      <c r="B13" s="942"/>
      <c r="C13" s="948" t="s">
        <v>205</v>
      </c>
      <c r="D13" s="828" t="s">
        <v>603</v>
      </c>
      <c r="E13" s="845"/>
      <c r="F13" s="951"/>
      <c r="G13" s="949">
        <v>2000</v>
      </c>
      <c r="H13" s="949">
        <v>0</v>
      </c>
      <c r="I13" s="949">
        <v>2000</v>
      </c>
      <c r="J13" s="949"/>
      <c r="K13" s="949"/>
      <c r="L13" s="949">
        <f t="shared" si="0"/>
        <v>0</v>
      </c>
      <c r="M13" s="949">
        <f t="shared" si="1"/>
        <v>2000</v>
      </c>
      <c r="N13" s="949">
        <f t="shared" si="2"/>
        <v>0</v>
      </c>
      <c r="O13" s="949">
        <f t="shared" si="3"/>
        <v>2000</v>
      </c>
    </row>
    <row r="14" spans="1:15" ht="15" customHeight="1">
      <c r="A14" s="942"/>
      <c r="B14" s="942"/>
      <c r="C14" s="752" t="s">
        <v>206</v>
      </c>
      <c r="D14" s="828" t="s">
        <v>1202</v>
      </c>
      <c r="E14" s="845"/>
      <c r="F14" s="951"/>
      <c r="G14" s="949">
        <v>2000</v>
      </c>
      <c r="H14" s="949">
        <v>0</v>
      </c>
      <c r="I14" s="949">
        <v>2000</v>
      </c>
      <c r="J14" s="949"/>
      <c r="K14" s="949"/>
      <c r="L14" s="949">
        <f t="shared" si="0"/>
        <v>0</v>
      </c>
      <c r="M14" s="949">
        <f t="shared" si="1"/>
        <v>2000</v>
      </c>
      <c r="N14" s="949">
        <f t="shared" si="2"/>
        <v>0</v>
      </c>
      <c r="O14" s="949">
        <f t="shared" si="3"/>
        <v>2000</v>
      </c>
    </row>
    <row r="15" spans="1:15" ht="15" customHeight="1">
      <c r="A15" s="942"/>
      <c r="B15" s="942"/>
      <c r="C15" s="752" t="s">
        <v>207</v>
      </c>
      <c r="D15" s="722" t="s">
        <v>1169</v>
      </c>
      <c r="E15" s="845"/>
      <c r="F15" s="951"/>
      <c r="G15" s="949">
        <v>1000</v>
      </c>
      <c r="H15" s="949">
        <v>0</v>
      </c>
      <c r="I15" s="949">
        <v>1000</v>
      </c>
      <c r="J15" s="949"/>
      <c r="K15" s="949"/>
      <c r="L15" s="949">
        <f t="shared" si="0"/>
        <v>0</v>
      </c>
      <c r="M15" s="949">
        <f t="shared" si="1"/>
        <v>1000</v>
      </c>
      <c r="N15" s="949">
        <f t="shared" si="2"/>
        <v>0</v>
      </c>
      <c r="O15" s="949">
        <f t="shared" si="3"/>
        <v>1000</v>
      </c>
    </row>
    <row r="16" spans="1:15" ht="15" customHeight="1">
      <c r="A16" s="942"/>
      <c r="B16" s="942"/>
      <c r="C16" s="752" t="s">
        <v>560</v>
      </c>
      <c r="D16" s="954" t="s">
        <v>561</v>
      </c>
      <c r="E16" s="955"/>
      <c r="F16" s="951" t="s">
        <v>809</v>
      </c>
      <c r="G16" s="949"/>
      <c r="H16" s="949"/>
      <c r="I16" s="949"/>
      <c r="J16" s="949">
        <v>5000</v>
      </c>
      <c r="K16" s="949"/>
      <c r="L16" s="949">
        <f t="shared" si="0"/>
        <v>5000</v>
      </c>
      <c r="M16" s="949">
        <f>SUM(G16+J16)</f>
        <v>5000</v>
      </c>
      <c r="N16" s="949"/>
      <c r="O16" s="949">
        <f t="shared" si="3"/>
        <v>5000</v>
      </c>
    </row>
    <row r="17" spans="1:15" ht="15" customHeight="1">
      <c r="A17" s="942"/>
      <c r="B17" s="942"/>
      <c r="C17" s="752" t="s">
        <v>562</v>
      </c>
      <c r="D17" s="954" t="s">
        <v>563</v>
      </c>
      <c r="E17" s="956"/>
      <c r="F17" s="951" t="s">
        <v>809</v>
      </c>
      <c r="G17" s="949"/>
      <c r="H17" s="949"/>
      <c r="I17" s="949"/>
      <c r="J17" s="949">
        <v>2000</v>
      </c>
      <c r="K17" s="949"/>
      <c r="L17" s="949">
        <f t="shared" si="0"/>
        <v>2000</v>
      </c>
      <c r="M17" s="949">
        <f>SUM(G17+J17)</f>
        <v>2000</v>
      </c>
      <c r="N17" s="949"/>
      <c r="O17" s="949">
        <f t="shared" si="3"/>
        <v>2000</v>
      </c>
    </row>
    <row r="18" spans="1:15" ht="15" customHeight="1">
      <c r="A18" s="942"/>
      <c r="B18" s="942"/>
      <c r="C18" s="749" t="s">
        <v>208</v>
      </c>
      <c r="D18" s="750" t="s">
        <v>209</v>
      </c>
      <c r="E18" s="956"/>
      <c r="F18" s="943"/>
      <c r="G18" s="949"/>
      <c r="H18" s="949"/>
      <c r="I18" s="949"/>
      <c r="J18" s="949"/>
      <c r="K18" s="949"/>
      <c r="L18" s="949"/>
      <c r="M18" s="949"/>
      <c r="N18" s="949"/>
      <c r="O18" s="949"/>
    </row>
    <row r="19" spans="1:15" ht="15" customHeight="1">
      <c r="A19" s="942"/>
      <c r="B19" s="942"/>
      <c r="C19" s="752" t="s">
        <v>210</v>
      </c>
      <c r="D19" s="957" t="s">
        <v>605</v>
      </c>
      <c r="E19" s="958"/>
      <c r="F19" s="951" t="s">
        <v>809</v>
      </c>
      <c r="G19" s="949">
        <v>20000</v>
      </c>
      <c r="H19" s="949">
        <v>0</v>
      </c>
      <c r="I19" s="949">
        <v>20000</v>
      </c>
      <c r="J19" s="949">
        <v>-20000</v>
      </c>
      <c r="K19" s="949"/>
      <c r="L19" s="949">
        <f aca="true" t="shared" si="4" ref="L19:L27">SUM(J19:K19)</f>
        <v>-20000</v>
      </c>
      <c r="M19" s="949">
        <f aca="true" t="shared" si="5" ref="M19:N25">SUM(G19+J19)</f>
        <v>0</v>
      </c>
      <c r="N19" s="949">
        <f t="shared" si="5"/>
        <v>0</v>
      </c>
      <c r="O19" s="949">
        <f aca="true" t="shared" si="6" ref="O19:O27">SUM(M19:N19)</f>
        <v>0</v>
      </c>
    </row>
    <row r="20" spans="1:15" ht="15" customHeight="1">
      <c r="A20" s="942"/>
      <c r="B20" s="942"/>
      <c r="C20" s="752" t="s">
        <v>211</v>
      </c>
      <c r="D20" s="959" t="s">
        <v>606</v>
      </c>
      <c r="E20" s="846"/>
      <c r="F20" s="951"/>
      <c r="G20" s="949">
        <v>2000</v>
      </c>
      <c r="H20" s="949">
        <v>0</v>
      </c>
      <c r="I20" s="949">
        <v>2000</v>
      </c>
      <c r="J20" s="949"/>
      <c r="K20" s="949"/>
      <c r="L20" s="949">
        <f t="shared" si="4"/>
        <v>0</v>
      </c>
      <c r="M20" s="949">
        <f t="shared" si="5"/>
        <v>2000</v>
      </c>
      <c r="N20" s="949">
        <f t="shared" si="5"/>
        <v>0</v>
      </c>
      <c r="O20" s="949">
        <f t="shared" si="6"/>
        <v>2000</v>
      </c>
    </row>
    <row r="21" spans="1:15" ht="24.75" customHeight="1">
      <c r="A21" s="942"/>
      <c r="B21" s="942"/>
      <c r="C21" s="752" t="s">
        <v>212</v>
      </c>
      <c r="D21" s="960" t="s">
        <v>564</v>
      </c>
      <c r="E21" s="846"/>
      <c r="F21" s="951" t="s">
        <v>809</v>
      </c>
      <c r="G21" s="949">
        <v>6000</v>
      </c>
      <c r="H21" s="949">
        <v>0</v>
      </c>
      <c r="I21" s="949">
        <v>6000</v>
      </c>
      <c r="J21" s="949">
        <v>8500</v>
      </c>
      <c r="K21" s="949"/>
      <c r="L21" s="949">
        <f t="shared" si="4"/>
        <v>8500</v>
      </c>
      <c r="M21" s="949">
        <f t="shared" si="5"/>
        <v>14500</v>
      </c>
      <c r="N21" s="949">
        <f t="shared" si="5"/>
        <v>0</v>
      </c>
      <c r="O21" s="949">
        <f t="shared" si="6"/>
        <v>14500</v>
      </c>
    </row>
    <row r="22" spans="1:15" ht="15" customHeight="1">
      <c r="A22" s="942"/>
      <c r="B22" s="942"/>
      <c r="C22" s="752" t="s">
        <v>213</v>
      </c>
      <c r="D22" s="960" t="s">
        <v>607</v>
      </c>
      <c r="E22" s="846"/>
      <c r="F22" s="951" t="s">
        <v>809</v>
      </c>
      <c r="G22" s="949">
        <v>1000</v>
      </c>
      <c r="H22" s="949">
        <v>0</v>
      </c>
      <c r="I22" s="949">
        <v>1000</v>
      </c>
      <c r="J22" s="949">
        <v>-1000</v>
      </c>
      <c r="K22" s="949">
        <v>1000</v>
      </c>
      <c r="L22" s="949">
        <f t="shared" si="4"/>
        <v>0</v>
      </c>
      <c r="M22" s="949">
        <f t="shared" si="5"/>
        <v>0</v>
      </c>
      <c r="N22" s="949">
        <f t="shared" si="5"/>
        <v>1000</v>
      </c>
      <c r="O22" s="949">
        <f t="shared" si="6"/>
        <v>1000</v>
      </c>
    </row>
    <row r="23" spans="1:15" ht="15" customHeight="1">
      <c r="A23" s="942"/>
      <c r="B23" s="942"/>
      <c r="C23" s="752" t="s">
        <v>214</v>
      </c>
      <c r="D23" s="960" t="s">
        <v>608</v>
      </c>
      <c r="E23" s="846"/>
      <c r="F23" s="951"/>
      <c r="G23" s="949">
        <v>1000</v>
      </c>
      <c r="H23" s="949">
        <v>0</v>
      </c>
      <c r="I23" s="949">
        <v>1000</v>
      </c>
      <c r="J23" s="949"/>
      <c r="K23" s="949"/>
      <c r="L23" s="949">
        <f t="shared" si="4"/>
        <v>0</v>
      </c>
      <c r="M23" s="949">
        <f t="shared" si="5"/>
        <v>1000</v>
      </c>
      <c r="N23" s="949">
        <f t="shared" si="5"/>
        <v>0</v>
      </c>
      <c r="O23" s="949">
        <f t="shared" si="6"/>
        <v>1000</v>
      </c>
    </row>
    <row r="24" spans="1:15" ht="15" customHeight="1">
      <c r="A24" s="942"/>
      <c r="B24" s="942"/>
      <c r="C24" s="752" t="s">
        <v>215</v>
      </c>
      <c r="D24" s="960" t="s">
        <v>1203</v>
      </c>
      <c r="E24" s="846"/>
      <c r="F24" s="951" t="s">
        <v>809</v>
      </c>
      <c r="G24" s="949">
        <v>1000</v>
      </c>
      <c r="H24" s="949">
        <v>0</v>
      </c>
      <c r="I24" s="949">
        <v>1000</v>
      </c>
      <c r="J24" s="949">
        <v>-1000</v>
      </c>
      <c r="K24" s="949">
        <v>1000</v>
      </c>
      <c r="L24" s="949">
        <f t="shared" si="4"/>
        <v>0</v>
      </c>
      <c r="M24" s="949">
        <f t="shared" si="5"/>
        <v>0</v>
      </c>
      <c r="N24" s="949">
        <f t="shared" si="5"/>
        <v>1000</v>
      </c>
      <c r="O24" s="949">
        <f t="shared" si="6"/>
        <v>1000</v>
      </c>
    </row>
    <row r="25" spans="1:15" ht="15" customHeight="1">
      <c r="A25" s="942"/>
      <c r="B25" s="942"/>
      <c r="C25" s="752" t="s">
        <v>565</v>
      </c>
      <c r="D25" s="821" t="s">
        <v>1529</v>
      </c>
      <c r="E25" s="787"/>
      <c r="F25" s="827"/>
      <c r="G25" s="949">
        <v>2000</v>
      </c>
      <c r="H25" s="949">
        <v>0</v>
      </c>
      <c r="I25" s="949">
        <v>2000</v>
      </c>
      <c r="J25" s="949"/>
      <c r="K25" s="949"/>
      <c r="L25" s="949">
        <f t="shared" si="4"/>
        <v>0</v>
      </c>
      <c r="M25" s="949">
        <f t="shared" si="5"/>
        <v>2000</v>
      </c>
      <c r="N25" s="949">
        <f t="shared" si="5"/>
        <v>0</v>
      </c>
      <c r="O25" s="949">
        <f t="shared" si="6"/>
        <v>2000</v>
      </c>
    </row>
    <row r="26" spans="1:15" ht="15" customHeight="1">
      <c r="A26" s="942"/>
      <c r="B26" s="942"/>
      <c r="C26" s="752" t="s">
        <v>566</v>
      </c>
      <c r="D26" s="954" t="s">
        <v>567</v>
      </c>
      <c r="E26" s="961"/>
      <c r="F26" s="827" t="s">
        <v>809</v>
      </c>
      <c r="G26" s="949"/>
      <c r="H26" s="949"/>
      <c r="I26" s="949"/>
      <c r="J26" s="949">
        <v>8000</v>
      </c>
      <c r="K26" s="949"/>
      <c r="L26" s="949">
        <f t="shared" si="4"/>
        <v>8000</v>
      </c>
      <c r="M26" s="949">
        <f>SUM(G26+J26)</f>
        <v>8000</v>
      </c>
      <c r="N26" s="949"/>
      <c r="O26" s="949">
        <f t="shared" si="6"/>
        <v>8000</v>
      </c>
    </row>
    <row r="27" spans="1:15" ht="15" customHeight="1">
      <c r="A27" s="942"/>
      <c r="B27" s="942"/>
      <c r="C27" s="752" t="s">
        <v>568</v>
      </c>
      <c r="D27" s="954" t="s">
        <v>569</v>
      </c>
      <c r="E27" s="962"/>
      <c r="F27" s="827" t="s">
        <v>809</v>
      </c>
      <c r="G27" s="949"/>
      <c r="H27" s="949"/>
      <c r="I27" s="949"/>
      <c r="J27" s="949">
        <v>3500</v>
      </c>
      <c r="K27" s="949"/>
      <c r="L27" s="949">
        <f t="shared" si="4"/>
        <v>3500</v>
      </c>
      <c r="M27" s="949">
        <f>SUM(G27+J27)</f>
        <v>3500</v>
      </c>
      <c r="N27" s="949"/>
      <c r="O27" s="949">
        <f t="shared" si="6"/>
        <v>3500</v>
      </c>
    </row>
    <row r="28" spans="1:15" ht="18" customHeight="1">
      <c r="A28" s="942"/>
      <c r="B28" s="942"/>
      <c r="C28" s="749" t="s">
        <v>684</v>
      </c>
      <c r="D28" s="952" t="s">
        <v>239</v>
      </c>
      <c r="E28" s="963"/>
      <c r="F28" s="943"/>
      <c r="G28" s="949"/>
      <c r="H28" s="949"/>
      <c r="I28" s="949"/>
      <c r="J28" s="949"/>
      <c r="K28" s="949"/>
      <c r="L28" s="949"/>
      <c r="M28" s="949"/>
      <c r="N28" s="949"/>
      <c r="O28" s="949"/>
    </row>
    <row r="29" spans="1:15" ht="24.75" customHeight="1">
      <c r="A29" s="942"/>
      <c r="B29" s="942"/>
      <c r="C29" s="752" t="s">
        <v>216</v>
      </c>
      <c r="D29" s="753" t="s">
        <v>1204</v>
      </c>
      <c r="E29" s="845"/>
      <c r="F29" s="951"/>
      <c r="G29" s="949">
        <v>4100</v>
      </c>
      <c r="H29" s="949">
        <v>0</v>
      </c>
      <c r="I29" s="949">
        <v>4100</v>
      </c>
      <c r="J29" s="949"/>
      <c r="K29" s="949"/>
      <c r="L29" s="949">
        <f>SUM(J29:K29)</f>
        <v>0</v>
      </c>
      <c r="M29" s="949">
        <f>SUM(G29+J29)</f>
        <v>4100</v>
      </c>
      <c r="N29" s="949">
        <f>SUM(H29+K29)</f>
        <v>0</v>
      </c>
      <c r="O29" s="949">
        <f>SUM(M29:N29)</f>
        <v>4100</v>
      </c>
    </row>
    <row r="30" spans="1:15" ht="15.75" customHeight="1">
      <c r="A30" s="942"/>
      <c r="B30" s="942"/>
      <c r="C30" s="752" t="s">
        <v>217</v>
      </c>
      <c r="D30" s="960" t="s">
        <v>609</v>
      </c>
      <c r="E30" s="845"/>
      <c r="F30" s="951"/>
      <c r="G30" s="949">
        <v>30000</v>
      </c>
      <c r="H30" s="949">
        <v>0</v>
      </c>
      <c r="I30" s="949">
        <v>30000</v>
      </c>
      <c r="J30" s="949"/>
      <c r="K30" s="949"/>
      <c r="L30" s="949">
        <f>SUM(J30:K30)</f>
        <v>0</v>
      </c>
      <c r="M30" s="949">
        <f>SUM(G30+J30)</f>
        <v>30000</v>
      </c>
      <c r="N30" s="949">
        <f>SUM(H30+K30)</f>
        <v>0</v>
      </c>
      <c r="O30" s="949">
        <f>SUM(M30:N30)</f>
        <v>30000</v>
      </c>
    </row>
    <row r="31" spans="1:15" ht="15.75" customHeight="1">
      <c r="A31" s="942"/>
      <c r="B31" s="942"/>
      <c r="C31" s="752" t="s">
        <v>218</v>
      </c>
      <c r="D31" s="964" t="s">
        <v>1028</v>
      </c>
      <c r="E31" s="845"/>
      <c r="F31" s="951"/>
      <c r="G31" s="949"/>
      <c r="H31" s="949"/>
      <c r="I31" s="949"/>
      <c r="J31" s="949"/>
      <c r="K31" s="949"/>
      <c r="L31" s="949"/>
      <c r="M31" s="949"/>
      <c r="N31" s="949"/>
      <c r="O31" s="949"/>
    </row>
    <row r="32" spans="1:15" ht="24.75" customHeight="1">
      <c r="A32" s="942"/>
      <c r="B32" s="942"/>
      <c r="C32" s="948" t="s">
        <v>219</v>
      </c>
      <c r="D32" s="843" t="s">
        <v>1205</v>
      </c>
      <c r="E32" s="845"/>
      <c r="F32" s="951"/>
      <c r="G32" s="949">
        <v>28000</v>
      </c>
      <c r="H32" s="949">
        <v>0</v>
      </c>
      <c r="I32" s="949">
        <v>28000</v>
      </c>
      <c r="J32" s="949"/>
      <c r="K32" s="949"/>
      <c r="L32" s="949">
        <f>SUM(J32:K32)</f>
        <v>0</v>
      </c>
      <c r="M32" s="949">
        <f>SUM(G32+J32)</f>
        <v>28000</v>
      </c>
      <c r="N32" s="949">
        <f>SUM(H32+K32)</f>
        <v>0</v>
      </c>
      <c r="O32" s="949">
        <f>SUM(M32:N32)</f>
        <v>28000</v>
      </c>
    </row>
    <row r="33" spans="1:15" ht="16.5" customHeight="1">
      <c r="A33" s="942"/>
      <c r="B33" s="942"/>
      <c r="C33" s="948" t="s">
        <v>220</v>
      </c>
      <c r="D33" s="952" t="s">
        <v>221</v>
      </c>
      <c r="E33" s="845"/>
      <c r="F33" s="951"/>
      <c r="G33" s="949">
        <v>0</v>
      </c>
      <c r="H33" s="949">
        <v>2500</v>
      </c>
      <c r="I33" s="949">
        <v>2500</v>
      </c>
      <c r="J33" s="949"/>
      <c r="K33" s="949"/>
      <c r="L33" s="949">
        <f>SUM(J33:K33)</f>
        <v>0</v>
      </c>
      <c r="M33" s="949">
        <f>SUM(G33+J33)</f>
        <v>0</v>
      </c>
      <c r="N33" s="949">
        <f>SUM(H33+K33)</f>
        <v>2500</v>
      </c>
      <c r="O33" s="949">
        <f>SUM(M33:N33)</f>
        <v>2500</v>
      </c>
    </row>
    <row r="34" spans="1:15" ht="18.75" customHeight="1">
      <c r="A34" s="942"/>
      <c r="B34" s="942"/>
      <c r="C34" s="965" t="s">
        <v>686</v>
      </c>
      <c r="D34" s="1467" t="s">
        <v>1588</v>
      </c>
      <c r="E34" s="1468"/>
      <c r="F34" s="966"/>
      <c r="G34" s="949"/>
      <c r="H34" s="949"/>
      <c r="I34" s="949"/>
      <c r="J34" s="949"/>
      <c r="K34" s="949"/>
      <c r="L34" s="949"/>
      <c r="M34" s="949"/>
      <c r="N34" s="949"/>
      <c r="O34" s="949"/>
    </row>
    <row r="35" spans="1:15" ht="15" customHeight="1">
      <c r="A35" s="942"/>
      <c r="B35" s="942"/>
      <c r="C35" s="948" t="s">
        <v>222</v>
      </c>
      <c r="D35" s="967" t="s">
        <v>240</v>
      </c>
      <c r="E35" s="968"/>
      <c r="F35" s="966"/>
      <c r="G35" s="949"/>
      <c r="H35" s="949"/>
      <c r="I35" s="949"/>
      <c r="J35" s="949"/>
      <c r="K35" s="949"/>
      <c r="L35" s="949"/>
      <c r="M35" s="949"/>
      <c r="N35" s="949"/>
      <c r="O35" s="949"/>
    </row>
    <row r="36" spans="1:15" ht="16.5" customHeight="1">
      <c r="A36" s="942"/>
      <c r="B36" s="942"/>
      <c r="C36" s="948" t="s">
        <v>223</v>
      </c>
      <c r="D36" s="722" t="s">
        <v>1200</v>
      </c>
      <c r="E36" s="845"/>
      <c r="F36" s="951"/>
      <c r="G36" s="949">
        <v>8000</v>
      </c>
      <c r="H36" s="949">
        <v>0</v>
      </c>
      <c r="I36" s="949">
        <v>8000</v>
      </c>
      <c r="J36" s="949"/>
      <c r="K36" s="949"/>
      <c r="L36" s="949">
        <f>SUM(J36:K36)</f>
        <v>0</v>
      </c>
      <c r="M36" s="949">
        <f>SUM(G36+J36)</f>
        <v>8000</v>
      </c>
      <c r="N36" s="949">
        <f>SUM(H36+K36)</f>
        <v>0</v>
      </c>
      <c r="O36" s="949">
        <f>SUM(M36:N36)</f>
        <v>8000</v>
      </c>
    </row>
    <row r="37" spans="1:15" ht="16.5" customHeight="1">
      <c r="A37" s="942"/>
      <c r="B37" s="942"/>
      <c r="C37" s="948" t="s">
        <v>224</v>
      </c>
      <c r="D37" s="969" t="s">
        <v>241</v>
      </c>
      <c r="E37" s="845"/>
      <c r="F37" s="951"/>
      <c r="G37" s="949"/>
      <c r="H37" s="949"/>
      <c r="I37" s="949"/>
      <c r="J37" s="949"/>
      <c r="K37" s="949"/>
      <c r="L37" s="949"/>
      <c r="M37" s="949"/>
      <c r="N37" s="949"/>
      <c r="O37" s="949"/>
    </row>
    <row r="38" spans="1:15" ht="15.75" customHeight="1">
      <c r="A38" s="942"/>
      <c r="B38" s="942"/>
      <c r="C38" s="948" t="s">
        <v>225</v>
      </c>
      <c r="D38" s="722" t="s">
        <v>1201</v>
      </c>
      <c r="E38" s="845"/>
      <c r="F38" s="951" t="s">
        <v>828</v>
      </c>
      <c r="G38" s="949">
        <v>10000</v>
      </c>
      <c r="H38" s="949">
        <v>0</v>
      </c>
      <c r="I38" s="949">
        <v>10000</v>
      </c>
      <c r="J38" s="949">
        <v>-10000</v>
      </c>
      <c r="K38" s="949">
        <v>15000</v>
      </c>
      <c r="L38" s="949">
        <f>SUM(J38:K38)</f>
        <v>5000</v>
      </c>
      <c r="M38" s="949">
        <f aca="true" t="shared" si="7" ref="M38:N41">SUM(G38+J38)</f>
        <v>0</v>
      </c>
      <c r="N38" s="949">
        <f t="shared" si="7"/>
        <v>15000</v>
      </c>
      <c r="O38" s="949">
        <f>SUM(M38:N38)</f>
        <v>15000</v>
      </c>
    </row>
    <row r="39" spans="1:15" ht="15.75" customHeight="1">
      <c r="A39" s="942"/>
      <c r="B39" s="942"/>
      <c r="C39" s="948" t="s">
        <v>226</v>
      </c>
      <c r="D39" s="970" t="s">
        <v>601</v>
      </c>
      <c r="E39" s="845"/>
      <c r="F39" s="951" t="s">
        <v>828</v>
      </c>
      <c r="G39" s="949">
        <v>1000</v>
      </c>
      <c r="H39" s="949">
        <v>0</v>
      </c>
      <c r="I39" s="949">
        <v>1000</v>
      </c>
      <c r="J39" s="949">
        <v>-1000</v>
      </c>
      <c r="K39" s="949"/>
      <c r="L39" s="949">
        <f>SUM(J39:K39)</f>
        <v>-1000</v>
      </c>
      <c r="M39" s="949">
        <f t="shared" si="7"/>
        <v>0</v>
      </c>
      <c r="N39" s="949">
        <f t="shared" si="7"/>
        <v>0</v>
      </c>
      <c r="O39" s="949">
        <f>SUM(M39:N39)</f>
        <v>0</v>
      </c>
    </row>
    <row r="40" spans="1:15" ht="21.75" customHeight="1">
      <c r="A40" s="942"/>
      <c r="B40" s="942"/>
      <c r="C40" s="948" t="s">
        <v>227</v>
      </c>
      <c r="D40" s="971" t="s">
        <v>599</v>
      </c>
      <c r="E40" s="845"/>
      <c r="F40" s="951" t="s">
        <v>828</v>
      </c>
      <c r="G40" s="949">
        <v>2000</v>
      </c>
      <c r="H40" s="949">
        <v>0</v>
      </c>
      <c r="I40" s="949">
        <v>2000</v>
      </c>
      <c r="J40" s="949">
        <v>-2000</v>
      </c>
      <c r="K40" s="949"/>
      <c r="L40" s="949">
        <f>SUM(J40:K40)</f>
        <v>-2000</v>
      </c>
      <c r="M40" s="949">
        <f t="shared" si="7"/>
        <v>0</v>
      </c>
      <c r="N40" s="949">
        <f t="shared" si="7"/>
        <v>0</v>
      </c>
      <c r="O40" s="949">
        <f>SUM(M40:N40)</f>
        <v>0</v>
      </c>
    </row>
    <row r="41" spans="1:15" ht="30" customHeight="1">
      <c r="A41" s="942"/>
      <c r="B41" s="942"/>
      <c r="C41" s="948" t="s">
        <v>228</v>
      </c>
      <c r="D41" s="971" t="s">
        <v>600</v>
      </c>
      <c r="E41" s="845"/>
      <c r="F41" s="951" t="s">
        <v>828</v>
      </c>
      <c r="G41" s="949">
        <v>2000</v>
      </c>
      <c r="H41" s="949">
        <v>0</v>
      </c>
      <c r="I41" s="949">
        <v>2000</v>
      </c>
      <c r="J41" s="949">
        <v>-2000</v>
      </c>
      <c r="K41" s="949"/>
      <c r="L41" s="949">
        <f>SUM(J41:K41)</f>
        <v>-2000</v>
      </c>
      <c r="M41" s="949">
        <f t="shared" si="7"/>
        <v>0</v>
      </c>
      <c r="N41" s="949">
        <f t="shared" si="7"/>
        <v>0</v>
      </c>
      <c r="O41" s="949">
        <f>SUM(M41:N41)</f>
        <v>0</v>
      </c>
    </row>
    <row r="42" spans="1:15" ht="15.75" customHeight="1">
      <c r="A42" s="942"/>
      <c r="B42" s="942"/>
      <c r="C42" s="965" t="s">
        <v>229</v>
      </c>
      <c r="D42" s="950" t="s">
        <v>242</v>
      </c>
      <c r="E42" s="845"/>
      <c r="F42" s="951"/>
      <c r="G42" s="949"/>
      <c r="H42" s="949"/>
      <c r="I42" s="949"/>
      <c r="J42" s="949"/>
      <c r="K42" s="949"/>
      <c r="L42" s="949"/>
      <c r="M42" s="949"/>
      <c r="N42" s="949"/>
      <c r="O42" s="949"/>
    </row>
    <row r="43" spans="1:15" ht="15.75" customHeight="1">
      <c r="A43" s="942"/>
      <c r="B43" s="942"/>
      <c r="C43" s="948" t="s">
        <v>230</v>
      </c>
      <c r="D43" s="952" t="s">
        <v>1199</v>
      </c>
      <c r="E43" s="845"/>
      <c r="F43" s="951"/>
      <c r="G43" s="949">
        <v>5000</v>
      </c>
      <c r="H43" s="949">
        <v>0</v>
      </c>
      <c r="I43" s="949">
        <v>5000</v>
      </c>
      <c r="J43" s="949"/>
      <c r="K43" s="949"/>
      <c r="L43" s="949">
        <f>SUM(J43:K43)</f>
        <v>0</v>
      </c>
      <c r="M43" s="949">
        <f aca="true" t="shared" si="8" ref="M43:N47">SUM(G43+J43)</f>
        <v>5000</v>
      </c>
      <c r="N43" s="949">
        <f t="shared" si="8"/>
        <v>0</v>
      </c>
      <c r="O43" s="949">
        <f>SUM(M43:N43)</f>
        <v>5000</v>
      </c>
    </row>
    <row r="44" spans="1:15" ht="15.75" customHeight="1">
      <c r="A44" s="942"/>
      <c r="B44" s="942"/>
      <c r="C44" s="752" t="s">
        <v>231</v>
      </c>
      <c r="D44" s="969" t="s">
        <v>327</v>
      </c>
      <c r="E44" s="963"/>
      <c r="F44" s="951"/>
      <c r="G44" s="949">
        <v>0</v>
      </c>
      <c r="H44" s="949">
        <v>0</v>
      </c>
      <c r="I44" s="949">
        <v>0</v>
      </c>
      <c r="J44" s="949"/>
      <c r="K44" s="949"/>
      <c r="L44" s="949">
        <f>SUM(J44:K44)</f>
        <v>0</v>
      </c>
      <c r="M44" s="949">
        <f t="shared" si="8"/>
        <v>0</v>
      </c>
      <c r="N44" s="949">
        <f t="shared" si="8"/>
        <v>0</v>
      </c>
      <c r="O44" s="949">
        <f>SUM(M44:N44)</f>
        <v>0</v>
      </c>
    </row>
    <row r="45" spans="1:15" ht="21" customHeight="1">
      <c r="A45" s="942"/>
      <c r="B45" s="942"/>
      <c r="C45" s="942" t="s">
        <v>456</v>
      </c>
      <c r="D45" s="972" t="s">
        <v>232</v>
      </c>
      <c r="E45" s="973"/>
      <c r="F45" s="974"/>
      <c r="G45" s="949">
        <v>0</v>
      </c>
      <c r="H45" s="949">
        <v>21000</v>
      </c>
      <c r="I45" s="949">
        <v>21000</v>
      </c>
      <c r="J45" s="949"/>
      <c r="K45" s="949"/>
      <c r="L45" s="949">
        <f>SUM(J45:K45)</f>
        <v>0</v>
      </c>
      <c r="M45" s="949">
        <f t="shared" si="8"/>
        <v>0</v>
      </c>
      <c r="N45" s="949">
        <f t="shared" si="8"/>
        <v>21000</v>
      </c>
      <c r="O45" s="949">
        <f>SUM(M45:N45)</f>
        <v>21000</v>
      </c>
    </row>
    <row r="46" spans="1:15" ht="15" customHeight="1">
      <c r="A46" s="942"/>
      <c r="B46" s="942"/>
      <c r="C46" s="942" t="s">
        <v>470</v>
      </c>
      <c r="D46" s="972" t="s">
        <v>1168</v>
      </c>
      <c r="E46" s="975"/>
      <c r="F46" s="976"/>
      <c r="G46" s="949">
        <v>1072</v>
      </c>
      <c r="H46" s="949">
        <v>0</v>
      </c>
      <c r="I46" s="949">
        <v>1072</v>
      </c>
      <c r="J46" s="949"/>
      <c r="K46" s="949"/>
      <c r="L46" s="949">
        <f>SUM(J46:K46)</f>
        <v>0</v>
      </c>
      <c r="M46" s="949">
        <f t="shared" si="8"/>
        <v>1072</v>
      </c>
      <c r="N46" s="949">
        <f t="shared" si="8"/>
        <v>0</v>
      </c>
      <c r="O46" s="949">
        <f>SUM(M46:N46)</f>
        <v>1072</v>
      </c>
    </row>
    <row r="47" spans="1:15" ht="15" customHeight="1">
      <c r="A47" s="942"/>
      <c r="B47" s="942"/>
      <c r="C47" s="942" t="s">
        <v>471</v>
      </c>
      <c r="D47" s="977" t="s">
        <v>1206</v>
      </c>
      <c r="E47" s="975"/>
      <c r="F47" s="978"/>
      <c r="G47" s="949">
        <v>38523</v>
      </c>
      <c r="H47" s="949">
        <v>0</v>
      </c>
      <c r="I47" s="949">
        <v>38523</v>
      </c>
      <c r="J47" s="949"/>
      <c r="K47" s="949"/>
      <c r="L47" s="949">
        <f>SUM(J47:K47)</f>
        <v>0</v>
      </c>
      <c r="M47" s="949">
        <f t="shared" si="8"/>
        <v>38523</v>
      </c>
      <c r="N47" s="949">
        <f t="shared" si="8"/>
        <v>0</v>
      </c>
      <c r="O47" s="949">
        <f>SUM(M47:N47)</f>
        <v>38523</v>
      </c>
    </row>
    <row r="48" spans="1:15" ht="13.5" customHeight="1">
      <c r="A48" s="979"/>
      <c r="B48" s="979"/>
      <c r="C48" s="979"/>
      <c r="D48" s="980" t="s">
        <v>22</v>
      </c>
      <c r="E48" s="981"/>
      <c r="F48" s="982"/>
      <c r="G48" s="983">
        <f aca="true" t="shared" si="9" ref="G48:O48">SUM(G7:G47)</f>
        <v>204695</v>
      </c>
      <c r="H48" s="983">
        <f t="shared" si="9"/>
        <v>23500</v>
      </c>
      <c r="I48" s="983">
        <f t="shared" si="9"/>
        <v>228195</v>
      </c>
      <c r="J48" s="983">
        <f t="shared" si="9"/>
        <v>-17000</v>
      </c>
      <c r="K48" s="983">
        <f t="shared" si="9"/>
        <v>17000</v>
      </c>
      <c r="L48" s="983">
        <f t="shared" si="9"/>
        <v>0</v>
      </c>
      <c r="M48" s="983">
        <f t="shared" si="9"/>
        <v>187695</v>
      </c>
      <c r="N48" s="983">
        <f t="shared" si="9"/>
        <v>40500</v>
      </c>
      <c r="O48" s="983">
        <f t="shared" si="9"/>
        <v>228195</v>
      </c>
    </row>
    <row r="49" spans="1:15" ht="12.75" customHeight="1">
      <c r="A49" s="984">
        <v>1</v>
      </c>
      <c r="B49" s="984">
        <v>15</v>
      </c>
      <c r="C49" s="984"/>
      <c r="D49" s="785" t="s">
        <v>1350</v>
      </c>
      <c r="E49" s="845"/>
      <c r="F49" s="951"/>
      <c r="G49" s="944"/>
      <c r="H49" s="944"/>
      <c r="I49" s="944"/>
      <c r="J49" s="949"/>
      <c r="K49" s="949"/>
      <c r="L49" s="949"/>
      <c r="M49" s="949"/>
      <c r="N49" s="949"/>
      <c r="O49" s="949"/>
    </row>
    <row r="50" spans="1:15" ht="12.75" customHeight="1">
      <c r="A50" s="984"/>
      <c r="B50" s="984"/>
      <c r="C50" s="985">
        <v>1</v>
      </c>
      <c r="D50" s="938" t="s">
        <v>1347</v>
      </c>
      <c r="E50" s="845"/>
      <c r="F50" s="951"/>
      <c r="G50" s="944"/>
      <c r="H50" s="944"/>
      <c r="I50" s="944"/>
      <c r="J50" s="949"/>
      <c r="K50" s="949"/>
      <c r="L50" s="949"/>
      <c r="M50" s="949"/>
      <c r="N50" s="949"/>
      <c r="O50" s="949"/>
    </row>
    <row r="51" spans="1:15" ht="12.75" customHeight="1">
      <c r="A51" s="984"/>
      <c r="B51" s="984"/>
      <c r="C51" s="985" t="s">
        <v>682</v>
      </c>
      <c r="D51" s="844" t="s">
        <v>1516</v>
      </c>
      <c r="E51" s="845"/>
      <c r="F51" s="951"/>
      <c r="G51" s="949">
        <v>6000</v>
      </c>
      <c r="H51" s="949">
        <v>0</v>
      </c>
      <c r="I51" s="949">
        <v>6000</v>
      </c>
      <c r="J51" s="949"/>
      <c r="K51" s="949"/>
      <c r="L51" s="949">
        <f aca="true" t="shared" si="10" ref="L51:L58">SUM(J51:K51)</f>
        <v>0</v>
      </c>
      <c r="M51" s="949">
        <f aca="true" t="shared" si="11" ref="M51:N58">SUM(G51+J51)</f>
        <v>6000</v>
      </c>
      <c r="N51" s="949">
        <f t="shared" si="11"/>
        <v>0</v>
      </c>
      <c r="O51" s="949">
        <f aca="true" t="shared" si="12" ref="O51:O58">SUM(M51:N51)</f>
        <v>6000</v>
      </c>
    </row>
    <row r="52" spans="1:15" ht="12.75" customHeight="1">
      <c r="A52" s="984"/>
      <c r="B52" s="984"/>
      <c r="C52" s="985" t="s">
        <v>683</v>
      </c>
      <c r="D52" s="986" t="s">
        <v>1519</v>
      </c>
      <c r="E52" s="845"/>
      <c r="F52" s="951"/>
      <c r="G52" s="949">
        <v>2000</v>
      </c>
      <c r="H52" s="949">
        <v>0</v>
      </c>
      <c r="I52" s="949">
        <v>2000</v>
      </c>
      <c r="J52" s="949"/>
      <c r="K52" s="949"/>
      <c r="L52" s="949">
        <f t="shared" si="10"/>
        <v>0</v>
      </c>
      <c r="M52" s="949">
        <f t="shared" si="11"/>
        <v>2000</v>
      </c>
      <c r="N52" s="949">
        <f t="shared" si="11"/>
        <v>0</v>
      </c>
      <c r="O52" s="949">
        <f t="shared" si="12"/>
        <v>2000</v>
      </c>
    </row>
    <row r="53" spans="1:15" ht="12.75" customHeight="1">
      <c r="A53" s="984"/>
      <c r="B53" s="984"/>
      <c r="C53" s="985" t="s">
        <v>684</v>
      </c>
      <c r="D53" s="844" t="s">
        <v>233</v>
      </c>
      <c r="E53" s="845"/>
      <c r="F53" s="951"/>
      <c r="G53" s="949">
        <v>2000</v>
      </c>
      <c r="H53" s="949">
        <v>0</v>
      </c>
      <c r="I53" s="949">
        <v>2000</v>
      </c>
      <c r="J53" s="949"/>
      <c r="K53" s="949"/>
      <c r="L53" s="949">
        <f t="shared" si="10"/>
        <v>0</v>
      </c>
      <c r="M53" s="949">
        <f t="shared" si="11"/>
        <v>2000</v>
      </c>
      <c r="N53" s="949">
        <f t="shared" si="11"/>
        <v>0</v>
      </c>
      <c r="O53" s="949">
        <f t="shared" si="12"/>
        <v>2000</v>
      </c>
    </row>
    <row r="54" spans="1:15" ht="12.75" customHeight="1">
      <c r="A54" s="984"/>
      <c r="B54" s="984"/>
      <c r="C54" s="985"/>
      <c r="D54" s="987" t="s">
        <v>327</v>
      </c>
      <c r="E54" s="845"/>
      <c r="F54" s="951"/>
      <c r="G54" s="949">
        <v>0</v>
      </c>
      <c r="H54" s="949">
        <v>0</v>
      </c>
      <c r="I54" s="949">
        <v>0</v>
      </c>
      <c r="J54" s="949"/>
      <c r="K54" s="949"/>
      <c r="L54" s="949">
        <f t="shared" si="10"/>
        <v>0</v>
      </c>
      <c r="M54" s="949">
        <f t="shared" si="11"/>
        <v>0</v>
      </c>
      <c r="N54" s="949">
        <f t="shared" si="11"/>
        <v>0</v>
      </c>
      <c r="O54" s="949">
        <f t="shared" si="12"/>
        <v>0</v>
      </c>
    </row>
    <row r="55" spans="1:15" ht="12.75" customHeight="1">
      <c r="A55" s="984"/>
      <c r="B55" s="984"/>
      <c r="C55" s="988" t="s">
        <v>290</v>
      </c>
      <c r="D55" s="989" t="s">
        <v>234</v>
      </c>
      <c r="E55" s="845"/>
      <c r="F55" s="951"/>
      <c r="G55" s="949">
        <v>8219</v>
      </c>
      <c r="H55" s="949">
        <v>0</v>
      </c>
      <c r="I55" s="949">
        <v>8219</v>
      </c>
      <c r="J55" s="949"/>
      <c r="K55" s="949"/>
      <c r="L55" s="949">
        <f t="shared" si="10"/>
        <v>0</v>
      </c>
      <c r="M55" s="949">
        <f t="shared" si="11"/>
        <v>8219</v>
      </c>
      <c r="N55" s="949">
        <f t="shared" si="11"/>
        <v>0</v>
      </c>
      <c r="O55" s="949">
        <f t="shared" si="12"/>
        <v>8219</v>
      </c>
    </row>
    <row r="56" spans="1:15" ht="12.75" customHeight="1">
      <c r="A56" s="984"/>
      <c r="B56" s="984"/>
      <c r="C56" s="988" t="s">
        <v>291</v>
      </c>
      <c r="D56" s="793" t="s">
        <v>1037</v>
      </c>
      <c r="E56" s="786"/>
      <c r="F56" s="990"/>
      <c r="G56" s="949">
        <v>1300</v>
      </c>
      <c r="H56" s="949">
        <v>0</v>
      </c>
      <c r="I56" s="949">
        <v>1300</v>
      </c>
      <c r="J56" s="949"/>
      <c r="K56" s="949"/>
      <c r="L56" s="949">
        <f t="shared" si="10"/>
        <v>0</v>
      </c>
      <c r="M56" s="949">
        <f t="shared" si="11"/>
        <v>1300</v>
      </c>
      <c r="N56" s="949">
        <f t="shared" si="11"/>
        <v>0</v>
      </c>
      <c r="O56" s="949">
        <f t="shared" si="12"/>
        <v>1300</v>
      </c>
    </row>
    <row r="57" spans="1:15" ht="12.75" customHeight="1">
      <c r="A57" s="984"/>
      <c r="B57" s="984"/>
      <c r="C57" s="988" t="s">
        <v>292</v>
      </c>
      <c r="D57" s="793" t="s">
        <v>1036</v>
      </c>
      <c r="E57" s="786"/>
      <c r="F57" s="990"/>
      <c r="G57" s="949">
        <v>1800</v>
      </c>
      <c r="H57" s="949">
        <v>0</v>
      </c>
      <c r="I57" s="949">
        <v>1800</v>
      </c>
      <c r="J57" s="949"/>
      <c r="K57" s="949"/>
      <c r="L57" s="949">
        <f t="shared" si="10"/>
        <v>0</v>
      </c>
      <c r="M57" s="949">
        <f t="shared" si="11"/>
        <v>1800</v>
      </c>
      <c r="N57" s="949">
        <f t="shared" si="11"/>
        <v>0</v>
      </c>
      <c r="O57" s="949">
        <f t="shared" si="12"/>
        <v>1800</v>
      </c>
    </row>
    <row r="58" spans="1:15" ht="24.75" customHeight="1">
      <c r="A58" s="984"/>
      <c r="B58" s="984"/>
      <c r="C58" s="988" t="s">
        <v>293</v>
      </c>
      <c r="D58" s="991" t="s">
        <v>137</v>
      </c>
      <c r="E58" s="845"/>
      <c r="F58" s="951"/>
      <c r="G58" s="949">
        <v>790</v>
      </c>
      <c r="H58" s="949">
        <v>0</v>
      </c>
      <c r="I58" s="949">
        <v>790</v>
      </c>
      <c r="J58" s="949"/>
      <c r="K58" s="949"/>
      <c r="L58" s="949">
        <f t="shared" si="10"/>
        <v>0</v>
      </c>
      <c r="M58" s="949">
        <f t="shared" si="11"/>
        <v>790</v>
      </c>
      <c r="N58" s="949">
        <f t="shared" si="11"/>
        <v>0</v>
      </c>
      <c r="O58" s="949">
        <f t="shared" si="12"/>
        <v>790</v>
      </c>
    </row>
    <row r="59" spans="1:15" ht="12.75" customHeight="1">
      <c r="A59" s="984"/>
      <c r="B59" s="984"/>
      <c r="C59" s="992" t="s">
        <v>688</v>
      </c>
      <c r="D59" s="993" t="s">
        <v>1648</v>
      </c>
      <c r="E59" s="845"/>
      <c r="F59" s="951"/>
      <c r="G59" s="949"/>
      <c r="H59" s="949"/>
      <c r="I59" s="949"/>
      <c r="J59" s="949"/>
      <c r="K59" s="949"/>
      <c r="L59" s="949"/>
      <c r="M59" s="949"/>
      <c r="N59" s="949"/>
      <c r="O59" s="949"/>
    </row>
    <row r="60" spans="1:15" ht="12.75" customHeight="1">
      <c r="A60" s="984"/>
      <c r="B60" s="984"/>
      <c r="C60" s="942" t="s">
        <v>690</v>
      </c>
      <c r="D60" s="801" t="s">
        <v>193</v>
      </c>
      <c r="E60" s="846"/>
      <c r="F60" s="951"/>
      <c r="G60" s="949">
        <v>5000</v>
      </c>
      <c r="H60" s="949">
        <v>0</v>
      </c>
      <c r="I60" s="949">
        <v>5000</v>
      </c>
      <c r="J60" s="949"/>
      <c r="K60" s="949"/>
      <c r="L60" s="949">
        <f aca="true" t="shared" si="13" ref="L60:L91">SUM(J60:K60)</f>
        <v>0</v>
      </c>
      <c r="M60" s="949">
        <f aca="true" t="shared" si="14" ref="M60:M91">SUM(G60+J60)</f>
        <v>5000</v>
      </c>
      <c r="N60" s="949">
        <f aca="true" t="shared" si="15" ref="N60:N91">SUM(H60+K60)</f>
        <v>0</v>
      </c>
      <c r="O60" s="949">
        <f aca="true" t="shared" si="16" ref="O60:O91">SUM(M60:N60)</f>
        <v>5000</v>
      </c>
    </row>
    <row r="61" spans="1:15" ht="12.75" customHeight="1">
      <c r="A61" s="984"/>
      <c r="B61" s="984"/>
      <c r="C61" s="942" t="s">
        <v>1509</v>
      </c>
      <c r="D61" s="994" t="s">
        <v>235</v>
      </c>
      <c r="E61" s="846"/>
      <c r="F61" s="951" t="s">
        <v>828</v>
      </c>
      <c r="G61" s="949">
        <v>33000</v>
      </c>
      <c r="H61" s="949">
        <v>0</v>
      </c>
      <c r="I61" s="949">
        <v>33000</v>
      </c>
      <c r="J61" s="949">
        <v>-1192</v>
      </c>
      <c r="K61" s="949"/>
      <c r="L61" s="949">
        <f t="shared" si="13"/>
        <v>-1192</v>
      </c>
      <c r="M61" s="949">
        <f t="shared" si="14"/>
        <v>31808</v>
      </c>
      <c r="N61" s="949">
        <f t="shared" si="15"/>
        <v>0</v>
      </c>
      <c r="O61" s="949">
        <f t="shared" si="16"/>
        <v>31808</v>
      </c>
    </row>
    <row r="62" spans="1:15" ht="12.75" customHeight="1">
      <c r="A62" s="984"/>
      <c r="B62" s="984"/>
      <c r="C62" s="942" t="s">
        <v>1510</v>
      </c>
      <c r="D62" s="814" t="s">
        <v>400</v>
      </c>
      <c r="E62" s="846"/>
      <c r="F62" s="951"/>
      <c r="G62" s="949">
        <v>10000</v>
      </c>
      <c r="H62" s="949">
        <v>0</v>
      </c>
      <c r="I62" s="949">
        <v>10000</v>
      </c>
      <c r="J62" s="949"/>
      <c r="K62" s="949"/>
      <c r="L62" s="949">
        <f t="shared" si="13"/>
        <v>0</v>
      </c>
      <c r="M62" s="949">
        <f t="shared" si="14"/>
        <v>10000</v>
      </c>
      <c r="N62" s="949">
        <f t="shared" si="15"/>
        <v>0</v>
      </c>
      <c r="O62" s="949">
        <f t="shared" si="16"/>
        <v>10000</v>
      </c>
    </row>
    <row r="63" spans="1:15" ht="12.75" customHeight="1">
      <c r="A63" s="984"/>
      <c r="B63" s="984"/>
      <c r="C63" s="942" t="s">
        <v>1511</v>
      </c>
      <c r="D63" s="814" t="s">
        <v>401</v>
      </c>
      <c r="E63" s="846"/>
      <c r="F63" s="951"/>
      <c r="G63" s="949">
        <v>15770</v>
      </c>
      <c r="H63" s="949">
        <v>0</v>
      </c>
      <c r="I63" s="949">
        <v>15770</v>
      </c>
      <c r="J63" s="949"/>
      <c r="K63" s="949"/>
      <c r="L63" s="949">
        <f t="shared" si="13"/>
        <v>0</v>
      </c>
      <c r="M63" s="949">
        <f t="shared" si="14"/>
        <v>15770</v>
      </c>
      <c r="N63" s="949">
        <f t="shared" si="15"/>
        <v>0</v>
      </c>
      <c r="O63" s="949">
        <f t="shared" si="16"/>
        <v>15770</v>
      </c>
    </row>
    <row r="64" spans="1:15" ht="12.75" customHeight="1">
      <c r="A64" s="984"/>
      <c r="B64" s="984"/>
      <c r="C64" s="942" t="s">
        <v>1512</v>
      </c>
      <c r="D64" s="814" t="s">
        <v>402</v>
      </c>
      <c r="E64" s="846"/>
      <c r="F64" s="951"/>
      <c r="G64" s="949">
        <v>15500</v>
      </c>
      <c r="H64" s="949">
        <v>0</v>
      </c>
      <c r="I64" s="949">
        <v>15500</v>
      </c>
      <c r="J64" s="949"/>
      <c r="K64" s="949"/>
      <c r="L64" s="949">
        <f t="shared" si="13"/>
        <v>0</v>
      </c>
      <c r="M64" s="949">
        <f t="shared" si="14"/>
        <v>15500</v>
      </c>
      <c r="N64" s="949">
        <f t="shared" si="15"/>
        <v>0</v>
      </c>
      <c r="O64" s="949">
        <f t="shared" si="16"/>
        <v>15500</v>
      </c>
    </row>
    <row r="65" spans="1:15" ht="12.75" customHeight="1">
      <c r="A65" s="984"/>
      <c r="B65" s="984"/>
      <c r="C65" s="942" t="s">
        <v>1513</v>
      </c>
      <c r="D65" s="994" t="s">
        <v>403</v>
      </c>
      <c r="E65" s="846"/>
      <c r="F65" s="951" t="s">
        <v>828</v>
      </c>
      <c r="G65" s="949">
        <v>14000</v>
      </c>
      <c r="H65" s="949">
        <v>0</v>
      </c>
      <c r="I65" s="949">
        <v>14000</v>
      </c>
      <c r="J65" s="949">
        <v>869</v>
      </c>
      <c r="K65" s="949"/>
      <c r="L65" s="949">
        <f t="shared" si="13"/>
        <v>869</v>
      </c>
      <c r="M65" s="949">
        <f t="shared" si="14"/>
        <v>14869</v>
      </c>
      <c r="N65" s="949">
        <f t="shared" si="15"/>
        <v>0</v>
      </c>
      <c r="O65" s="949">
        <f t="shared" si="16"/>
        <v>14869</v>
      </c>
    </row>
    <row r="66" spans="1:15" ht="12.75" customHeight="1">
      <c r="A66" s="984"/>
      <c r="B66" s="984"/>
      <c r="C66" s="942" t="s">
        <v>1170</v>
      </c>
      <c r="D66" s="814" t="s">
        <v>404</v>
      </c>
      <c r="E66" s="846"/>
      <c r="F66" s="951"/>
      <c r="G66" s="949">
        <v>3000</v>
      </c>
      <c r="H66" s="949">
        <v>0</v>
      </c>
      <c r="I66" s="949">
        <v>3000</v>
      </c>
      <c r="J66" s="949"/>
      <c r="K66" s="949"/>
      <c r="L66" s="949">
        <f t="shared" si="13"/>
        <v>0</v>
      </c>
      <c r="M66" s="949">
        <f t="shared" si="14"/>
        <v>3000</v>
      </c>
      <c r="N66" s="949">
        <f t="shared" si="15"/>
        <v>0</v>
      </c>
      <c r="O66" s="949">
        <f t="shared" si="16"/>
        <v>3000</v>
      </c>
    </row>
    <row r="67" spans="1:15" ht="12.75" customHeight="1">
      <c r="A67" s="984"/>
      <c r="B67" s="984"/>
      <c r="C67" s="942" t="s">
        <v>1171</v>
      </c>
      <c r="D67" s="814" t="s">
        <v>151</v>
      </c>
      <c r="E67" s="846"/>
      <c r="F67" s="951"/>
      <c r="G67" s="949">
        <v>5000</v>
      </c>
      <c r="H67" s="949">
        <v>0</v>
      </c>
      <c r="I67" s="949">
        <v>5000</v>
      </c>
      <c r="J67" s="949"/>
      <c r="K67" s="949"/>
      <c r="L67" s="949">
        <f t="shared" si="13"/>
        <v>0</v>
      </c>
      <c r="M67" s="949">
        <f t="shared" si="14"/>
        <v>5000</v>
      </c>
      <c r="N67" s="949">
        <f t="shared" si="15"/>
        <v>0</v>
      </c>
      <c r="O67" s="949">
        <f t="shared" si="16"/>
        <v>5000</v>
      </c>
    </row>
    <row r="68" spans="1:15" ht="12.75" customHeight="1">
      <c r="A68" s="984"/>
      <c r="B68" s="984"/>
      <c r="C68" s="942" t="s">
        <v>1172</v>
      </c>
      <c r="D68" s="814" t="s">
        <v>405</v>
      </c>
      <c r="E68" s="846"/>
      <c r="F68" s="951"/>
      <c r="G68" s="949">
        <v>9564</v>
      </c>
      <c r="H68" s="949">
        <v>0</v>
      </c>
      <c r="I68" s="949">
        <v>9564</v>
      </c>
      <c r="J68" s="949"/>
      <c r="K68" s="949"/>
      <c r="L68" s="949">
        <f t="shared" si="13"/>
        <v>0</v>
      </c>
      <c r="M68" s="949">
        <f t="shared" si="14"/>
        <v>9564</v>
      </c>
      <c r="N68" s="949">
        <f t="shared" si="15"/>
        <v>0</v>
      </c>
      <c r="O68" s="949">
        <f t="shared" si="16"/>
        <v>9564</v>
      </c>
    </row>
    <row r="69" spans="1:15" ht="12.75" customHeight="1">
      <c r="A69" s="984"/>
      <c r="B69" s="984"/>
      <c r="C69" s="942" t="s">
        <v>1173</v>
      </c>
      <c r="D69" s="814" t="s">
        <v>406</v>
      </c>
      <c r="E69" s="846"/>
      <c r="F69" s="951"/>
      <c r="G69" s="949">
        <v>5000</v>
      </c>
      <c r="H69" s="949">
        <v>0</v>
      </c>
      <c r="I69" s="949">
        <v>5000</v>
      </c>
      <c r="J69" s="949"/>
      <c r="K69" s="949"/>
      <c r="L69" s="949">
        <f t="shared" si="13"/>
        <v>0</v>
      </c>
      <c r="M69" s="949">
        <f t="shared" si="14"/>
        <v>5000</v>
      </c>
      <c r="N69" s="949">
        <f t="shared" si="15"/>
        <v>0</v>
      </c>
      <c r="O69" s="949">
        <f t="shared" si="16"/>
        <v>5000</v>
      </c>
    </row>
    <row r="70" spans="1:15" ht="12.75" customHeight="1">
      <c r="A70" s="984"/>
      <c r="B70" s="984"/>
      <c r="C70" s="942" t="s">
        <v>1174</v>
      </c>
      <c r="D70" s="814" t="s">
        <v>407</v>
      </c>
      <c r="E70" s="846"/>
      <c r="F70" s="951"/>
      <c r="G70" s="949">
        <v>4000</v>
      </c>
      <c r="H70" s="949">
        <v>0</v>
      </c>
      <c r="I70" s="949">
        <v>4000</v>
      </c>
      <c r="J70" s="949"/>
      <c r="K70" s="949"/>
      <c r="L70" s="949">
        <f t="shared" si="13"/>
        <v>0</v>
      </c>
      <c r="M70" s="949">
        <f t="shared" si="14"/>
        <v>4000</v>
      </c>
      <c r="N70" s="949">
        <f t="shared" si="15"/>
        <v>0</v>
      </c>
      <c r="O70" s="949">
        <f t="shared" si="16"/>
        <v>4000</v>
      </c>
    </row>
    <row r="71" spans="1:15" ht="12.75" customHeight="1">
      <c r="A71" s="984"/>
      <c r="B71" s="984"/>
      <c r="C71" s="942" t="s">
        <v>1175</v>
      </c>
      <c r="D71" s="801" t="s">
        <v>972</v>
      </c>
      <c r="E71" s="846"/>
      <c r="F71" s="951" t="s">
        <v>828</v>
      </c>
      <c r="G71" s="949">
        <v>4000</v>
      </c>
      <c r="H71" s="949">
        <v>0</v>
      </c>
      <c r="I71" s="949">
        <v>4000</v>
      </c>
      <c r="J71" s="949">
        <v>1301</v>
      </c>
      <c r="K71" s="949"/>
      <c r="L71" s="949">
        <f t="shared" si="13"/>
        <v>1301</v>
      </c>
      <c r="M71" s="949">
        <f t="shared" si="14"/>
        <v>5301</v>
      </c>
      <c r="N71" s="949">
        <f t="shared" si="15"/>
        <v>0</v>
      </c>
      <c r="O71" s="949">
        <f t="shared" si="16"/>
        <v>5301</v>
      </c>
    </row>
    <row r="72" spans="1:15" ht="12.75" customHeight="1">
      <c r="A72" s="984"/>
      <c r="B72" s="984"/>
      <c r="C72" s="942" t="s">
        <v>1176</v>
      </c>
      <c r="D72" s="994" t="s">
        <v>973</v>
      </c>
      <c r="E72" s="846"/>
      <c r="F72" s="951"/>
      <c r="G72" s="949">
        <v>4000</v>
      </c>
      <c r="H72" s="949">
        <v>0</v>
      </c>
      <c r="I72" s="949">
        <v>4000</v>
      </c>
      <c r="J72" s="949"/>
      <c r="K72" s="949"/>
      <c r="L72" s="949">
        <f t="shared" si="13"/>
        <v>0</v>
      </c>
      <c r="M72" s="949">
        <f t="shared" si="14"/>
        <v>4000</v>
      </c>
      <c r="N72" s="949">
        <f t="shared" si="15"/>
        <v>0</v>
      </c>
      <c r="O72" s="949">
        <f t="shared" si="16"/>
        <v>4000</v>
      </c>
    </row>
    <row r="73" spans="1:15" ht="12.75" customHeight="1">
      <c r="A73" s="984"/>
      <c r="B73" s="984"/>
      <c r="C73" s="942" t="s">
        <v>711</v>
      </c>
      <c r="D73" s="801" t="s">
        <v>974</v>
      </c>
      <c r="E73" s="846"/>
      <c r="F73" s="951" t="s">
        <v>828</v>
      </c>
      <c r="G73" s="949">
        <v>3000</v>
      </c>
      <c r="H73" s="949">
        <v>0</v>
      </c>
      <c r="I73" s="949">
        <v>3000</v>
      </c>
      <c r="J73" s="949">
        <v>1909</v>
      </c>
      <c r="K73" s="949"/>
      <c r="L73" s="949">
        <f t="shared" si="13"/>
        <v>1909</v>
      </c>
      <c r="M73" s="949">
        <f t="shared" si="14"/>
        <v>4909</v>
      </c>
      <c r="N73" s="949">
        <f t="shared" si="15"/>
        <v>0</v>
      </c>
      <c r="O73" s="949">
        <f t="shared" si="16"/>
        <v>4909</v>
      </c>
    </row>
    <row r="74" spans="1:15" ht="12.75" customHeight="1">
      <c r="A74" s="984"/>
      <c r="B74" s="984"/>
      <c r="C74" s="942" t="s">
        <v>712</v>
      </c>
      <c r="D74" s="814" t="s">
        <v>975</v>
      </c>
      <c r="E74" s="846"/>
      <c r="F74" s="951"/>
      <c r="G74" s="949">
        <v>2000</v>
      </c>
      <c r="H74" s="949">
        <v>0</v>
      </c>
      <c r="I74" s="949">
        <v>2000</v>
      </c>
      <c r="J74" s="949"/>
      <c r="K74" s="949"/>
      <c r="L74" s="949">
        <f t="shared" si="13"/>
        <v>0</v>
      </c>
      <c r="M74" s="949">
        <f t="shared" si="14"/>
        <v>2000</v>
      </c>
      <c r="N74" s="949">
        <f t="shared" si="15"/>
        <v>0</v>
      </c>
      <c r="O74" s="949">
        <f t="shared" si="16"/>
        <v>2000</v>
      </c>
    </row>
    <row r="75" spans="1:15" ht="12.75" customHeight="1">
      <c r="A75" s="984"/>
      <c r="B75" s="984"/>
      <c r="C75" s="942" t="s">
        <v>713</v>
      </c>
      <c r="D75" s="814" t="s">
        <v>976</v>
      </c>
      <c r="E75" s="846"/>
      <c r="F75" s="951"/>
      <c r="G75" s="949">
        <v>5000</v>
      </c>
      <c r="H75" s="949">
        <v>0</v>
      </c>
      <c r="I75" s="949">
        <v>5000</v>
      </c>
      <c r="J75" s="949"/>
      <c r="K75" s="949"/>
      <c r="L75" s="949">
        <f t="shared" si="13"/>
        <v>0</v>
      </c>
      <c r="M75" s="949">
        <f t="shared" si="14"/>
        <v>5000</v>
      </c>
      <c r="N75" s="949">
        <f t="shared" si="15"/>
        <v>0</v>
      </c>
      <c r="O75" s="949">
        <f t="shared" si="16"/>
        <v>5000</v>
      </c>
    </row>
    <row r="76" spans="1:15" ht="12.75" customHeight="1">
      <c r="A76" s="984"/>
      <c r="B76" s="984"/>
      <c r="C76" s="942" t="s">
        <v>714</v>
      </c>
      <c r="D76" s="814" t="s">
        <v>977</v>
      </c>
      <c r="E76" s="846"/>
      <c r="F76" s="951"/>
      <c r="G76" s="949">
        <v>4000</v>
      </c>
      <c r="H76" s="949">
        <v>0</v>
      </c>
      <c r="I76" s="949">
        <v>4000</v>
      </c>
      <c r="J76" s="949"/>
      <c r="K76" s="949"/>
      <c r="L76" s="949">
        <f t="shared" si="13"/>
        <v>0</v>
      </c>
      <c r="M76" s="949">
        <f t="shared" si="14"/>
        <v>4000</v>
      </c>
      <c r="N76" s="949">
        <f t="shared" si="15"/>
        <v>0</v>
      </c>
      <c r="O76" s="949">
        <f t="shared" si="16"/>
        <v>4000</v>
      </c>
    </row>
    <row r="77" spans="1:15" ht="12.75" customHeight="1">
      <c r="A77" s="984"/>
      <c r="B77" s="984"/>
      <c r="C77" s="942" t="s">
        <v>672</v>
      </c>
      <c r="D77" s="814" t="s">
        <v>978</v>
      </c>
      <c r="E77" s="846"/>
      <c r="F77" s="951"/>
      <c r="G77" s="949">
        <v>2000</v>
      </c>
      <c r="H77" s="949">
        <v>0</v>
      </c>
      <c r="I77" s="949">
        <v>2000</v>
      </c>
      <c r="J77" s="949"/>
      <c r="K77" s="949"/>
      <c r="L77" s="949">
        <f t="shared" si="13"/>
        <v>0</v>
      </c>
      <c r="M77" s="949">
        <f t="shared" si="14"/>
        <v>2000</v>
      </c>
      <c r="N77" s="949">
        <f t="shared" si="15"/>
        <v>0</v>
      </c>
      <c r="O77" s="949">
        <f t="shared" si="16"/>
        <v>2000</v>
      </c>
    </row>
    <row r="78" spans="1:15" ht="12.75" customHeight="1">
      <c r="A78" s="984"/>
      <c r="B78" s="984"/>
      <c r="C78" s="942" t="s">
        <v>673</v>
      </c>
      <c r="D78" s="814" t="s">
        <v>979</v>
      </c>
      <c r="E78" s="846"/>
      <c r="F78" s="951"/>
      <c r="G78" s="949">
        <v>3000</v>
      </c>
      <c r="H78" s="949">
        <v>0</v>
      </c>
      <c r="I78" s="949">
        <v>3000</v>
      </c>
      <c r="J78" s="949"/>
      <c r="K78" s="949"/>
      <c r="L78" s="949">
        <f t="shared" si="13"/>
        <v>0</v>
      </c>
      <c r="M78" s="949">
        <f t="shared" si="14"/>
        <v>3000</v>
      </c>
      <c r="N78" s="949">
        <f t="shared" si="15"/>
        <v>0</v>
      </c>
      <c r="O78" s="949">
        <f t="shared" si="16"/>
        <v>3000</v>
      </c>
    </row>
    <row r="79" spans="1:15" ht="12.75" customHeight="1">
      <c r="A79" s="984"/>
      <c r="B79" s="984"/>
      <c r="C79" s="942" t="s">
        <v>1308</v>
      </c>
      <c r="D79" s="994" t="s">
        <v>980</v>
      </c>
      <c r="E79" s="846"/>
      <c r="F79" s="951"/>
      <c r="G79" s="949">
        <v>3000</v>
      </c>
      <c r="H79" s="949">
        <v>0</v>
      </c>
      <c r="I79" s="949">
        <v>3000</v>
      </c>
      <c r="J79" s="949"/>
      <c r="K79" s="949"/>
      <c r="L79" s="949">
        <f t="shared" si="13"/>
        <v>0</v>
      </c>
      <c r="M79" s="949">
        <f t="shared" si="14"/>
        <v>3000</v>
      </c>
      <c r="N79" s="949">
        <f t="shared" si="15"/>
        <v>0</v>
      </c>
      <c r="O79" s="949">
        <f t="shared" si="16"/>
        <v>3000</v>
      </c>
    </row>
    <row r="80" spans="1:15" ht="12.75" customHeight="1">
      <c r="A80" s="984"/>
      <c r="B80" s="984"/>
      <c r="C80" s="942" t="s">
        <v>1309</v>
      </c>
      <c r="D80" s="801" t="s">
        <v>981</v>
      </c>
      <c r="E80" s="846"/>
      <c r="F80" s="951"/>
      <c r="G80" s="949">
        <v>500</v>
      </c>
      <c r="H80" s="949">
        <v>0</v>
      </c>
      <c r="I80" s="949">
        <v>500</v>
      </c>
      <c r="J80" s="949"/>
      <c r="K80" s="949"/>
      <c r="L80" s="949">
        <f t="shared" si="13"/>
        <v>0</v>
      </c>
      <c r="M80" s="949">
        <f t="shared" si="14"/>
        <v>500</v>
      </c>
      <c r="N80" s="949">
        <f t="shared" si="15"/>
        <v>0</v>
      </c>
      <c r="O80" s="949">
        <f t="shared" si="16"/>
        <v>500</v>
      </c>
    </row>
    <row r="81" spans="1:15" ht="15" customHeight="1">
      <c r="A81" s="984"/>
      <c r="B81" s="984"/>
      <c r="C81" s="942" t="s">
        <v>1310</v>
      </c>
      <c r="D81" s="801" t="s">
        <v>982</v>
      </c>
      <c r="E81" s="846"/>
      <c r="F81" s="951"/>
      <c r="G81" s="949">
        <v>500</v>
      </c>
      <c r="H81" s="949">
        <v>0</v>
      </c>
      <c r="I81" s="949">
        <v>500</v>
      </c>
      <c r="J81" s="949"/>
      <c r="K81" s="949"/>
      <c r="L81" s="949">
        <f t="shared" si="13"/>
        <v>0</v>
      </c>
      <c r="M81" s="949">
        <f t="shared" si="14"/>
        <v>500</v>
      </c>
      <c r="N81" s="949">
        <f t="shared" si="15"/>
        <v>0</v>
      </c>
      <c r="O81" s="949">
        <f t="shared" si="16"/>
        <v>500</v>
      </c>
    </row>
    <row r="82" spans="1:15" ht="15" customHeight="1">
      <c r="A82" s="984"/>
      <c r="B82" s="984"/>
      <c r="C82" s="942" t="s">
        <v>1311</v>
      </c>
      <c r="D82" s="801" t="s">
        <v>983</v>
      </c>
      <c r="E82" s="846"/>
      <c r="F82" s="951"/>
      <c r="G82" s="949">
        <v>5000</v>
      </c>
      <c r="H82" s="949">
        <v>0</v>
      </c>
      <c r="I82" s="949">
        <v>5000</v>
      </c>
      <c r="J82" s="949"/>
      <c r="K82" s="949"/>
      <c r="L82" s="949">
        <f t="shared" si="13"/>
        <v>0</v>
      </c>
      <c r="M82" s="949">
        <f t="shared" si="14"/>
        <v>5000</v>
      </c>
      <c r="N82" s="949">
        <f t="shared" si="15"/>
        <v>0</v>
      </c>
      <c r="O82" s="949">
        <f t="shared" si="16"/>
        <v>5000</v>
      </c>
    </row>
    <row r="83" spans="1:15" ht="15" customHeight="1">
      <c r="A83" s="984"/>
      <c r="B83" s="984"/>
      <c r="C83" s="942" t="s">
        <v>1312</v>
      </c>
      <c r="D83" s="801" t="s">
        <v>984</v>
      </c>
      <c r="E83" s="846"/>
      <c r="F83" s="951"/>
      <c r="G83" s="949">
        <v>3000</v>
      </c>
      <c r="H83" s="949">
        <v>0</v>
      </c>
      <c r="I83" s="949">
        <v>3000</v>
      </c>
      <c r="J83" s="949"/>
      <c r="K83" s="949"/>
      <c r="L83" s="949">
        <f t="shared" si="13"/>
        <v>0</v>
      </c>
      <c r="M83" s="949">
        <f t="shared" si="14"/>
        <v>3000</v>
      </c>
      <c r="N83" s="949">
        <f t="shared" si="15"/>
        <v>0</v>
      </c>
      <c r="O83" s="949">
        <f t="shared" si="16"/>
        <v>3000</v>
      </c>
    </row>
    <row r="84" spans="1:15" ht="15" customHeight="1">
      <c r="A84" s="984"/>
      <c r="B84" s="984"/>
      <c r="C84" s="942" t="s">
        <v>1313</v>
      </c>
      <c r="D84" s="801" t="s">
        <v>985</v>
      </c>
      <c r="E84" s="846"/>
      <c r="F84" s="951"/>
      <c r="G84" s="949">
        <v>1000</v>
      </c>
      <c r="H84" s="949">
        <v>0</v>
      </c>
      <c r="I84" s="949">
        <v>1000</v>
      </c>
      <c r="J84" s="949"/>
      <c r="K84" s="949"/>
      <c r="L84" s="949">
        <f t="shared" si="13"/>
        <v>0</v>
      </c>
      <c r="M84" s="949">
        <f t="shared" si="14"/>
        <v>1000</v>
      </c>
      <c r="N84" s="949">
        <f t="shared" si="15"/>
        <v>0</v>
      </c>
      <c r="O84" s="949">
        <f t="shared" si="16"/>
        <v>1000</v>
      </c>
    </row>
    <row r="85" spans="1:15" ht="15" customHeight="1">
      <c r="A85" s="984"/>
      <c r="B85" s="984"/>
      <c r="C85" s="942" t="s">
        <v>1314</v>
      </c>
      <c r="D85" s="801" t="s">
        <v>986</v>
      </c>
      <c r="E85" s="846"/>
      <c r="F85" s="951"/>
      <c r="G85" s="949">
        <v>300</v>
      </c>
      <c r="H85" s="949">
        <v>0</v>
      </c>
      <c r="I85" s="949">
        <v>300</v>
      </c>
      <c r="J85" s="949"/>
      <c r="K85" s="949"/>
      <c r="L85" s="949">
        <f t="shared" si="13"/>
        <v>0</v>
      </c>
      <c r="M85" s="949">
        <f t="shared" si="14"/>
        <v>300</v>
      </c>
      <c r="N85" s="949">
        <f t="shared" si="15"/>
        <v>0</v>
      </c>
      <c r="O85" s="949">
        <f t="shared" si="16"/>
        <v>300</v>
      </c>
    </row>
    <row r="86" spans="1:15" ht="15" customHeight="1">
      <c r="A86" s="984"/>
      <c r="B86" s="984"/>
      <c r="C86" s="942" t="s">
        <v>1315</v>
      </c>
      <c r="D86" s="801" t="s">
        <v>987</v>
      </c>
      <c r="E86" s="846"/>
      <c r="F86" s="951"/>
      <c r="G86" s="949">
        <v>500</v>
      </c>
      <c r="H86" s="949">
        <v>0</v>
      </c>
      <c r="I86" s="949">
        <v>500</v>
      </c>
      <c r="J86" s="949"/>
      <c r="K86" s="949"/>
      <c r="L86" s="949">
        <f t="shared" si="13"/>
        <v>0</v>
      </c>
      <c r="M86" s="949">
        <f t="shared" si="14"/>
        <v>500</v>
      </c>
      <c r="N86" s="949">
        <f t="shared" si="15"/>
        <v>0</v>
      </c>
      <c r="O86" s="949">
        <f t="shared" si="16"/>
        <v>500</v>
      </c>
    </row>
    <row r="87" spans="1:15" ht="15" customHeight="1">
      <c r="A87" s="984"/>
      <c r="B87" s="984"/>
      <c r="C87" s="942" t="s">
        <v>1316</v>
      </c>
      <c r="D87" s="801" t="s">
        <v>988</v>
      </c>
      <c r="E87" s="846"/>
      <c r="F87" s="951"/>
      <c r="G87" s="949">
        <v>1500</v>
      </c>
      <c r="H87" s="949">
        <v>0</v>
      </c>
      <c r="I87" s="949">
        <v>1500</v>
      </c>
      <c r="J87" s="949"/>
      <c r="K87" s="949"/>
      <c r="L87" s="949">
        <f t="shared" si="13"/>
        <v>0</v>
      </c>
      <c r="M87" s="949">
        <f t="shared" si="14"/>
        <v>1500</v>
      </c>
      <c r="N87" s="949">
        <f t="shared" si="15"/>
        <v>0</v>
      </c>
      <c r="O87" s="949">
        <f t="shared" si="16"/>
        <v>1500</v>
      </c>
    </row>
    <row r="88" spans="1:15" ht="15" customHeight="1">
      <c r="A88" s="984"/>
      <c r="B88" s="984"/>
      <c r="C88" s="942" t="s">
        <v>1317</v>
      </c>
      <c r="D88" s="801" t="s">
        <v>989</v>
      </c>
      <c r="E88" s="846"/>
      <c r="F88" s="951"/>
      <c r="G88" s="949">
        <v>700</v>
      </c>
      <c r="H88" s="949">
        <v>0</v>
      </c>
      <c r="I88" s="949">
        <v>700</v>
      </c>
      <c r="J88" s="949"/>
      <c r="K88" s="949"/>
      <c r="L88" s="949">
        <f t="shared" si="13"/>
        <v>0</v>
      </c>
      <c r="M88" s="949">
        <f t="shared" si="14"/>
        <v>700</v>
      </c>
      <c r="N88" s="949">
        <f t="shared" si="15"/>
        <v>0</v>
      </c>
      <c r="O88" s="949">
        <f t="shared" si="16"/>
        <v>700</v>
      </c>
    </row>
    <row r="89" spans="1:15" ht="15" customHeight="1">
      <c r="A89" s="984"/>
      <c r="B89" s="984"/>
      <c r="C89" s="942" t="s">
        <v>1318</v>
      </c>
      <c r="D89" s="801" t="s">
        <v>990</v>
      </c>
      <c r="E89" s="846"/>
      <c r="F89" s="951"/>
      <c r="G89" s="949">
        <v>500</v>
      </c>
      <c r="H89" s="949">
        <v>0</v>
      </c>
      <c r="I89" s="949">
        <v>500</v>
      </c>
      <c r="J89" s="949"/>
      <c r="K89" s="949"/>
      <c r="L89" s="949">
        <f t="shared" si="13"/>
        <v>0</v>
      </c>
      <c r="M89" s="949">
        <f t="shared" si="14"/>
        <v>500</v>
      </c>
      <c r="N89" s="949">
        <f t="shared" si="15"/>
        <v>0</v>
      </c>
      <c r="O89" s="949">
        <f t="shared" si="16"/>
        <v>500</v>
      </c>
    </row>
    <row r="90" spans="1:15" ht="15" customHeight="1">
      <c r="A90" s="984"/>
      <c r="B90" s="984"/>
      <c r="C90" s="942" t="s">
        <v>1319</v>
      </c>
      <c r="D90" s="801" t="s">
        <v>1207</v>
      </c>
      <c r="E90" s="846"/>
      <c r="F90" s="951"/>
      <c r="G90" s="949">
        <v>5000</v>
      </c>
      <c r="H90" s="949">
        <v>0</v>
      </c>
      <c r="I90" s="949">
        <v>5000</v>
      </c>
      <c r="J90" s="949"/>
      <c r="K90" s="949"/>
      <c r="L90" s="949">
        <f t="shared" si="13"/>
        <v>0</v>
      </c>
      <c r="M90" s="949">
        <f t="shared" si="14"/>
        <v>5000</v>
      </c>
      <c r="N90" s="949">
        <f t="shared" si="15"/>
        <v>0</v>
      </c>
      <c r="O90" s="949">
        <f t="shared" si="16"/>
        <v>5000</v>
      </c>
    </row>
    <row r="91" spans="1:15" ht="15" customHeight="1">
      <c r="A91" s="984"/>
      <c r="B91" s="984"/>
      <c r="C91" s="942" t="s">
        <v>1320</v>
      </c>
      <c r="D91" s="801" t="s">
        <v>190</v>
      </c>
      <c r="E91" s="846"/>
      <c r="F91" s="951" t="s">
        <v>828</v>
      </c>
      <c r="G91" s="949">
        <v>8000</v>
      </c>
      <c r="H91" s="949">
        <v>0</v>
      </c>
      <c r="I91" s="949">
        <v>8000</v>
      </c>
      <c r="J91" s="949">
        <v>323</v>
      </c>
      <c r="K91" s="949"/>
      <c r="L91" s="949">
        <f t="shared" si="13"/>
        <v>323</v>
      </c>
      <c r="M91" s="949">
        <f t="shared" si="14"/>
        <v>8323</v>
      </c>
      <c r="N91" s="949">
        <f t="shared" si="15"/>
        <v>0</v>
      </c>
      <c r="O91" s="949">
        <f t="shared" si="16"/>
        <v>8323</v>
      </c>
    </row>
    <row r="92" spans="1:15" ht="15" customHeight="1">
      <c r="A92" s="984"/>
      <c r="B92" s="984"/>
      <c r="C92" s="942" t="s">
        <v>1321</v>
      </c>
      <c r="D92" s="801" t="s">
        <v>991</v>
      </c>
      <c r="E92" s="846"/>
      <c r="F92" s="951"/>
      <c r="G92" s="949">
        <v>2500</v>
      </c>
      <c r="H92" s="949">
        <v>0</v>
      </c>
      <c r="I92" s="949">
        <v>2500</v>
      </c>
      <c r="J92" s="949"/>
      <c r="K92" s="949"/>
      <c r="L92" s="949">
        <f aca="true" t="shared" si="17" ref="L92:L123">SUM(J92:K92)</f>
        <v>0</v>
      </c>
      <c r="M92" s="949">
        <f aca="true" t="shared" si="18" ref="M92:M119">SUM(G92+J92)</f>
        <v>2500</v>
      </c>
      <c r="N92" s="949">
        <f aca="true" t="shared" si="19" ref="N92:N119">SUM(H92+K92)</f>
        <v>0</v>
      </c>
      <c r="O92" s="949">
        <f aca="true" t="shared" si="20" ref="O92:O123">SUM(M92:N92)</f>
        <v>2500</v>
      </c>
    </row>
    <row r="93" spans="1:15" ht="15" customHeight="1">
      <c r="A93" s="984"/>
      <c r="B93" s="984"/>
      <c r="C93" s="942" t="s">
        <v>1322</v>
      </c>
      <c r="D93" s="801" t="s">
        <v>993</v>
      </c>
      <c r="E93" s="846"/>
      <c r="F93" s="951"/>
      <c r="G93" s="949">
        <v>700</v>
      </c>
      <c r="H93" s="949">
        <v>0</v>
      </c>
      <c r="I93" s="949">
        <v>700</v>
      </c>
      <c r="J93" s="949"/>
      <c r="K93" s="949"/>
      <c r="L93" s="949">
        <f t="shared" si="17"/>
        <v>0</v>
      </c>
      <c r="M93" s="949">
        <f t="shared" si="18"/>
        <v>700</v>
      </c>
      <c r="N93" s="949">
        <f t="shared" si="19"/>
        <v>0</v>
      </c>
      <c r="O93" s="949">
        <f t="shared" si="20"/>
        <v>700</v>
      </c>
    </row>
    <row r="94" spans="1:15" ht="15" customHeight="1">
      <c r="A94" s="984"/>
      <c r="B94" s="984"/>
      <c r="C94" s="942" t="s">
        <v>1323</v>
      </c>
      <c r="D94" s="801" t="s">
        <v>994</v>
      </c>
      <c r="E94" s="846"/>
      <c r="F94" s="951" t="s">
        <v>828</v>
      </c>
      <c r="G94" s="949">
        <v>4000</v>
      </c>
      <c r="H94" s="949">
        <v>0</v>
      </c>
      <c r="I94" s="949">
        <v>4000</v>
      </c>
      <c r="J94" s="949">
        <v>-1909</v>
      </c>
      <c r="K94" s="949"/>
      <c r="L94" s="949">
        <f t="shared" si="17"/>
        <v>-1909</v>
      </c>
      <c r="M94" s="949">
        <f t="shared" si="18"/>
        <v>2091</v>
      </c>
      <c r="N94" s="949">
        <f t="shared" si="19"/>
        <v>0</v>
      </c>
      <c r="O94" s="949">
        <f t="shared" si="20"/>
        <v>2091</v>
      </c>
    </row>
    <row r="95" spans="1:15" ht="15" customHeight="1">
      <c r="A95" s="984"/>
      <c r="B95" s="984"/>
      <c r="C95" s="942" t="s">
        <v>1324</v>
      </c>
      <c r="D95" s="801" t="s">
        <v>1208</v>
      </c>
      <c r="E95" s="846"/>
      <c r="F95" s="951"/>
      <c r="G95" s="949">
        <v>4000</v>
      </c>
      <c r="H95" s="949">
        <v>0</v>
      </c>
      <c r="I95" s="949">
        <v>4000</v>
      </c>
      <c r="J95" s="949"/>
      <c r="K95" s="949"/>
      <c r="L95" s="949">
        <f t="shared" si="17"/>
        <v>0</v>
      </c>
      <c r="M95" s="949">
        <f t="shared" si="18"/>
        <v>4000</v>
      </c>
      <c r="N95" s="949">
        <f t="shared" si="19"/>
        <v>0</v>
      </c>
      <c r="O95" s="949">
        <f t="shared" si="20"/>
        <v>4000</v>
      </c>
    </row>
    <row r="96" spans="1:15" ht="15" customHeight="1">
      <c r="A96" s="984"/>
      <c r="B96" s="984"/>
      <c r="C96" s="942" t="s">
        <v>1325</v>
      </c>
      <c r="D96" s="801" t="s">
        <v>995</v>
      </c>
      <c r="E96" s="846"/>
      <c r="F96" s="951"/>
      <c r="G96" s="949">
        <v>3000</v>
      </c>
      <c r="H96" s="949">
        <v>0</v>
      </c>
      <c r="I96" s="949">
        <v>3000</v>
      </c>
      <c r="J96" s="949"/>
      <c r="K96" s="949"/>
      <c r="L96" s="949">
        <f t="shared" si="17"/>
        <v>0</v>
      </c>
      <c r="M96" s="949">
        <f t="shared" si="18"/>
        <v>3000</v>
      </c>
      <c r="N96" s="949">
        <f t="shared" si="19"/>
        <v>0</v>
      </c>
      <c r="O96" s="949">
        <f t="shared" si="20"/>
        <v>3000</v>
      </c>
    </row>
    <row r="97" spans="1:15" ht="15" customHeight="1">
      <c r="A97" s="984"/>
      <c r="B97" s="984"/>
      <c r="C97" s="942" t="s">
        <v>1326</v>
      </c>
      <c r="D97" s="801" t="s">
        <v>996</v>
      </c>
      <c r="E97" s="846"/>
      <c r="F97" s="951"/>
      <c r="G97" s="949">
        <v>2000</v>
      </c>
      <c r="H97" s="949">
        <v>0</v>
      </c>
      <c r="I97" s="949">
        <v>2000</v>
      </c>
      <c r="J97" s="949"/>
      <c r="K97" s="949"/>
      <c r="L97" s="949">
        <f t="shared" si="17"/>
        <v>0</v>
      </c>
      <c r="M97" s="949">
        <f t="shared" si="18"/>
        <v>2000</v>
      </c>
      <c r="N97" s="949">
        <f t="shared" si="19"/>
        <v>0</v>
      </c>
      <c r="O97" s="949">
        <f t="shared" si="20"/>
        <v>2000</v>
      </c>
    </row>
    <row r="98" spans="1:15" ht="15" customHeight="1">
      <c r="A98" s="984"/>
      <c r="B98" s="984"/>
      <c r="C98" s="942" t="s">
        <v>1327</v>
      </c>
      <c r="D98" s="801" t="s">
        <v>997</v>
      </c>
      <c r="E98" s="846"/>
      <c r="F98" s="951"/>
      <c r="G98" s="949">
        <v>1500</v>
      </c>
      <c r="H98" s="949">
        <v>0</v>
      </c>
      <c r="I98" s="949">
        <v>1500</v>
      </c>
      <c r="J98" s="949"/>
      <c r="K98" s="949"/>
      <c r="L98" s="949">
        <f t="shared" si="17"/>
        <v>0</v>
      </c>
      <c r="M98" s="949">
        <f t="shared" si="18"/>
        <v>1500</v>
      </c>
      <c r="N98" s="949">
        <f t="shared" si="19"/>
        <v>0</v>
      </c>
      <c r="O98" s="949">
        <f t="shared" si="20"/>
        <v>1500</v>
      </c>
    </row>
    <row r="99" spans="1:15" ht="24.75" customHeight="1">
      <c r="A99" s="984"/>
      <c r="B99" s="984"/>
      <c r="C99" s="942" t="s">
        <v>1724</v>
      </c>
      <c r="D99" s="801" t="s">
        <v>998</v>
      </c>
      <c r="E99" s="846"/>
      <c r="F99" s="951" t="s">
        <v>828</v>
      </c>
      <c r="G99" s="949">
        <v>3000</v>
      </c>
      <c r="H99" s="949">
        <v>0</v>
      </c>
      <c r="I99" s="949">
        <v>3000</v>
      </c>
      <c r="J99" s="949">
        <v>-3000</v>
      </c>
      <c r="K99" s="949"/>
      <c r="L99" s="949">
        <f t="shared" si="17"/>
        <v>-3000</v>
      </c>
      <c r="M99" s="949">
        <f t="shared" si="18"/>
        <v>0</v>
      </c>
      <c r="N99" s="949">
        <f t="shared" si="19"/>
        <v>0</v>
      </c>
      <c r="O99" s="949">
        <f t="shared" si="20"/>
        <v>0</v>
      </c>
    </row>
    <row r="100" spans="1:15" ht="15" customHeight="1">
      <c r="A100" s="984"/>
      <c r="B100" s="984"/>
      <c r="C100" s="942" t="s">
        <v>999</v>
      </c>
      <c r="D100" s="814" t="s">
        <v>1005</v>
      </c>
      <c r="E100" s="846"/>
      <c r="F100" s="951"/>
      <c r="G100" s="949">
        <v>1000</v>
      </c>
      <c r="H100" s="949">
        <v>0</v>
      </c>
      <c r="I100" s="949">
        <v>1000</v>
      </c>
      <c r="J100" s="949"/>
      <c r="K100" s="949"/>
      <c r="L100" s="949">
        <f t="shared" si="17"/>
        <v>0</v>
      </c>
      <c r="M100" s="949">
        <f t="shared" si="18"/>
        <v>1000</v>
      </c>
      <c r="N100" s="949">
        <f t="shared" si="19"/>
        <v>0</v>
      </c>
      <c r="O100" s="949">
        <f t="shared" si="20"/>
        <v>1000</v>
      </c>
    </row>
    <row r="101" spans="1:15" ht="15" customHeight="1">
      <c r="A101" s="984"/>
      <c r="B101" s="984"/>
      <c r="C101" s="942" t="s">
        <v>1000</v>
      </c>
      <c r="D101" s="814" t="s">
        <v>191</v>
      </c>
      <c r="E101" s="846"/>
      <c r="F101" s="951"/>
      <c r="G101" s="949">
        <v>9000</v>
      </c>
      <c r="H101" s="949">
        <v>0</v>
      </c>
      <c r="I101" s="949">
        <v>9000</v>
      </c>
      <c r="J101" s="949"/>
      <c r="K101" s="949"/>
      <c r="L101" s="949">
        <f t="shared" si="17"/>
        <v>0</v>
      </c>
      <c r="M101" s="949">
        <f t="shared" si="18"/>
        <v>9000</v>
      </c>
      <c r="N101" s="949">
        <f t="shared" si="19"/>
        <v>0</v>
      </c>
      <c r="O101" s="949">
        <f t="shared" si="20"/>
        <v>9000</v>
      </c>
    </row>
    <row r="102" spans="1:15" ht="23.25" customHeight="1">
      <c r="A102" s="984"/>
      <c r="B102" s="984"/>
      <c r="C102" s="942" t="s">
        <v>1001</v>
      </c>
      <c r="D102" s="995" t="s">
        <v>941</v>
      </c>
      <c r="E102" s="846"/>
      <c r="F102" s="951" t="s">
        <v>828</v>
      </c>
      <c r="G102" s="949">
        <v>15367</v>
      </c>
      <c r="H102" s="949">
        <v>0</v>
      </c>
      <c r="I102" s="949">
        <v>15367</v>
      </c>
      <c r="J102" s="949">
        <v>-1301</v>
      </c>
      <c r="K102" s="949"/>
      <c r="L102" s="949">
        <f t="shared" si="17"/>
        <v>-1301</v>
      </c>
      <c r="M102" s="949">
        <f t="shared" si="18"/>
        <v>14066</v>
      </c>
      <c r="N102" s="949">
        <f t="shared" si="19"/>
        <v>0</v>
      </c>
      <c r="O102" s="949">
        <f t="shared" si="20"/>
        <v>14066</v>
      </c>
    </row>
    <row r="103" spans="1:15" ht="15" customHeight="1">
      <c r="A103" s="984"/>
      <c r="B103" s="984"/>
      <c r="C103" s="942" t="s">
        <v>1002</v>
      </c>
      <c r="D103" s="814" t="s">
        <v>1008</v>
      </c>
      <c r="E103" s="846"/>
      <c r="F103" s="951"/>
      <c r="G103" s="949">
        <v>3000</v>
      </c>
      <c r="H103" s="949">
        <v>0</v>
      </c>
      <c r="I103" s="949">
        <v>3000</v>
      </c>
      <c r="J103" s="949"/>
      <c r="K103" s="949"/>
      <c r="L103" s="949">
        <f t="shared" si="17"/>
        <v>0</v>
      </c>
      <c r="M103" s="949">
        <f t="shared" si="18"/>
        <v>3000</v>
      </c>
      <c r="N103" s="949">
        <f t="shared" si="19"/>
        <v>0</v>
      </c>
      <c r="O103" s="949">
        <f t="shared" si="20"/>
        <v>3000</v>
      </c>
    </row>
    <row r="104" spans="1:15" ht="15" customHeight="1">
      <c r="A104" s="984"/>
      <c r="B104" s="984"/>
      <c r="C104" s="942" t="s">
        <v>1003</v>
      </c>
      <c r="D104" s="814" t="s">
        <v>1009</v>
      </c>
      <c r="E104" s="846"/>
      <c r="F104" s="951"/>
      <c r="G104" s="949">
        <v>8000</v>
      </c>
      <c r="H104" s="949">
        <v>0</v>
      </c>
      <c r="I104" s="949">
        <v>8000</v>
      </c>
      <c r="J104" s="949"/>
      <c r="K104" s="949"/>
      <c r="L104" s="949">
        <f t="shared" si="17"/>
        <v>0</v>
      </c>
      <c r="M104" s="949">
        <f t="shared" si="18"/>
        <v>8000</v>
      </c>
      <c r="N104" s="949">
        <f t="shared" si="19"/>
        <v>0</v>
      </c>
      <c r="O104" s="949">
        <f t="shared" si="20"/>
        <v>8000</v>
      </c>
    </row>
    <row r="105" spans="1:15" ht="15" customHeight="1">
      <c r="A105" s="984"/>
      <c r="B105" s="984"/>
      <c r="C105" s="942" t="s">
        <v>1004</v>
      </c>
      <c r="D105" s="814" t="s">
        <v>1010</v>
      </c>
      <c r="E105" s="846"/>
      <c r="F105" s="951"/>
      <c r="G105" s="949">
        <v>500</v>
      </c>
      <c r="H105" s="949">
        <v>0</v>
      </c>
      <c r="I105" s="949">
        <v>500</v>
      </c>
      <c r="J105" s="949"/>
      <c r="K105" s="949"/>
      <c r="L105" s="949">
        <f t="shared" si="17"/>
        <v>0</v>
      </c>
      <c r="M105" s="949">
        <f t="shared" si="18"/>
        <v>500</v>
      </c>
      <c r="N105" s="949">
        <f t="shared" si="19"/>
        <v>0</v>
      </c>
      <c r="O105" s="949">
        <f t="shared" si="20"/>
        <v>500</v>
      </c>
    </row>
    <row r="106" spans="1:15" ht="15" customHeight="1">
      <c r="A106" s="984"/>
      <c r="B106" s="984"/>
      <c r="C106" s="942" t="s">
        <v>1394</v>
      </c>
      <c r="D106" s="814" t="s">
        <v>1011</v>
      </c>
      <c r="E106" s="846"/>
      <c r="F106" s="951"/>
      <c r="G106" s="949">
        <v>5000</v>
      </c>
      <c r="H106" s="949">
        <v>0</v>
      </c>
      <c r="I106" s="949">
        <v>5000</v>
      </c>
      <c r="J106" s="949"/>
      <c r="K106" s="949"/>
      <c r="L106" s="949">
        <f t="shared" si="17"/>
        <v>0</v>
      </c>
      <c r="M106" s="949">
        <f t="shared" si="18"/>
        <v>5000</v>
      </c>
      <c r="N106" s="949">
        <f t="shared" si="19"/>
        <v>0</v>
      </c>
      <c r="O106" s="949">
        <f t="shared" si="20"/>
        <v>5000</v>
      </c>
    </row>
    <row r="107" spans="1:15" ht="12.75" customHeight="1">
      <c r="A107" s="984"/>
      <c r="B107" s="984"/>
      <c r="C107" s="942" t="s">
        <v>1395</v>
      </c>
      <c r="D107" s="814" t="s">
        <v>1387</v>
      </c>
      <c r="E107" s="846"/>
      <c r="F107" s="951"/>
      <c r="G107" s="949">
        <v>5000</v>
      </c>
      <c r="H107" s="949">
        <v>0</v>
      </c>
      <c r="I107" s="949">
        <v>5000</v>
      </c>
      <c r="J107" s="949"/>
      <c r="K107" s="949"/>
      <c r="L107" s="949">
        <f t="shared" si="17"/>
        <v>0</v>
      </c>
      <c r="M107" s="949">
        <f t="shared" si="18"/>
        <v>5000</v>
      </c>
      <c r="N107" s="949">
        <f t="shared" si="19"/>
        <v>0</v>
      </c>
      <c r="O107" s="949">
        <f t="shared" si="20"/>
        <v>5000</v>
      </c>
    </row>
    <row r="108" spans="1:15" ht="24.75" customHeight="1">
      <c r="A108" s="984"/>
      <c r="B108" s="984"/>
      <c r="C108" s="942" t="s">
        <v>1396</v>
      </c>
      <c r="D108" s="814" t="s">
        <v>236</v>
      </c>
      <c r="E108" s="846"/>
      <c r="F108" s="951"/>
      <c r="G108" s="949">
        <v>5000</v>
      </c>
      <c r="H108" s="949">
        <v>0</v>
      </c>
      <c r="I108" s="949">
        <v>5000</v>
      </c>
      <c r="J108" s="949"/>
      <c r="K108" s="949"/>
      <c r="L108" s="949">
        <f t="shared" si="17"/>
        <v>0</v>
      </c>
      <c r="M108" s="949">
        <f t="shared" si="18"/>
        <v>5000</v>
      </c>
      <c r="N108" s="949">
        <f t="shared" si="19"/>
        <v>0</v>
      </c>
      <c r="O108" s="949">
        <f t="shared" si="20"/>
        <v>5000</v>
      </c>
    </row>
    <row r="109" spans="1:15" ht="15" customHeight="1">
      <c r="A109" s="984"/>
      <c r="B109" s="984"/>
      <c r="C109" s="942" t="s">
        <v>492</v>
      </c>
      <c r="D109" s="814" t="s">
        <v>192</v>
      </c>
      <c r="E109" s="846"/>
      <c r="F109" s="951"/>
      <c r="G109" s="949">
        <v>5351</v>
      </c>
      <c r="H109" s="949">
        <v>0</v>
      </c>
      <c r="I109" s="949">
        <v>5351</v>
      </c>
      <c r="J109" s="949"/>
      <c r="K109" s="949"/>
      <c r="L109" s="949">
        <f t="shared" si="17"/>
        <v>0</v>
      </c>
      <c r="M109" s="949">
        <f t="shared" si="18"/>
        <v>5351</v>
      </c>
      <c r="N109" s="949">
        <f t="shared" si="19"/>
        <v>0</v>
      </c>
      <c r="O109" s="949">
        <f t="shared" si="20"/>
        <v>5351</v>
      </c>
    </row>
    <row r="110" spans="1:15" ht="12.75" customHeight="1">
      <c r="A110" s="984"/>
      <c r="B110" s="984"/>
      <c r="C110" s="942" t="s">
        <v>493</v>
      </c>
      <c r="D110" s="996" t="s">
        <v>1012</v>
      </c>
      <c r="E110" s="846"/>
      <c r="F110" s="951"/>
      <c r="G110" s="949">
        <v>3500</v>
      </c>
      <c r="H110" s="949">
        <v>0</v>
      </c>
      <c r="I110" s="949">
        <v>3500</v>
      </c>
      <c r="J110" s="949"/>
      <c r="K110" s="949"/>
      <c r="L110" s="949">
        <f t="shared" si="17"/>
        <v>0</v>
      </c>
      <c r="M110" s="949">
        <f t="shared" si="18"/>
        <v>3500</v>
      </c>
      <c r="N110" s="949">
        <f t="shared" si="19"/>
        <v>0</v>
      </c>
      <c r="O110" s="949">
        <f t="shared" si="20"/>
        <v>3500</v>
      </c>
    </row>
    <row r="111" spans="1:15" ht="12.75" customHeight="1">
      <c r="A111" s="984"/>
      <c r="B111" s="984"/>
      <c r="C111" s="942" t="s">
        <v>494</v>
      </c>
      <c r="D111" s="996" t="s">
        <v>1013</v>
      </c>
      <c r="E111" s="846"/>
      <c r="F111" s="951"/>
      <c r="G111" s="949">
        <v>500</v>
      </c>
      <c r="H111" s="949">
        <v>0</v>
      </c>
      <c r="I111" s="949">
        <v>500</v>
      </c>
      <c r="J111" s="949"/>
      <c r="K111" s="949"/>
      <c r="L111" s="949">
        <f t="shared" si="17"/>
        <v>0</v>
      </c>
      <c r="M111" s="949">
        <f t="shared" si="18"/>
        <v>500</v>
      </c>
      <c r="N111" s="949">
        <f t="shared" si="19"/>
        <v>0</v>
      </c>
      <c r="O111" s="949">
        <f t="shared" si="20"/>
        <v>500</v>
      </c>
    </row>
    <row r="112" spans="1:15" ht="15" customHeight="1">
      <c r="A112" s="984"/>
      <c r="B112" s="984"/>
      <c r="C112" s="942" t="s">
        <v>495</v>
      </c>
      <c r="D112" s="995" t="s">
        <v>1386</v>
      </c>
      <c r="E112" s="845"/>
      <c r="F112" s="951"/>
      <c r="G112" s="949">
        <v>9700</v>
      </c>
      <c r="H112" s="949">
        <v>0</v>
      </c>
      <c r="I112" s="949">
        <v>9700</v>
      </c>
      <c r="J112" s="949"/>
      <c r="K112" s="949"/>
      <c r="L112" s="949">
        <f t="shared" si="17"/>
        <v>0</v>
      </c>
      <c r="M112" s="949">
        <f t="shared" si="18"/>
        <v>9700</v>
      </c>
      <c r="N112" s="949">
        <f t="shared" si="19"/>
        <v>0</v>
      </c>
      <c r="O112" s="949">
        <f t="shared" si="20"/>
        <v>9700</v>
      </c>
    </row>
    <row r="113" spans="1:15" ht="24.75" customHeight="1">
      <c r="A113" s="984"/>
      <c r="B113" s="984"/>
      <c r="C113" s="942" t="s">
        <v>496</v>
      </c>
      <c r="D113" s="814" t="s">
        <v>1388</v>
      </c>
      <c r="E113" s="845"/>
      <c r="F113" s="951"/>
      <c r="G113" s="949">
        <v>2000</v>
      </c>
      <c r="H113" s="949">
        <v>0</v>
      </c>
      <c r="I113" s="949">
        <v>2000</v>
      </c>
      <c r="J113" s="949"/>
      <c r="K113" s="949"/>
      <c r="L113" s="949">
        <f t="shared" si="17"/>
        <v>0</v>
      </c>
      <c r="M113" s="949">
        <f t="shared" si="18"/>
        <v>2000</v>
      </c>
      <c r="N113" s="949">
        <f t="shared" si="19"/>
        <v>0</v>
      </c>
      <c r="O113" s="949">
        <f t="shared" si="20"/>
        <v>2000</v>
      </c>
    </row>
    <row r="114" spans="1:15" ht="15" customHeight="1">
      <c r="A114" s="984"/>
      <c r="B114" s="984"/>
      <c r="C114" s="942" t="s">
        <v>497</v>
      </c>
      <c r="D114" s="814" t="s">
        <v>1389</v>
      </c>
      <c r="E114" s="845"/>
      <c r="F114" s="951"/>
      <c r="G114" s="949">
        <v>4000</v>
      </c>
      <c r="H114" s="949">
        <v>0</v>
      </c>
      <c r="I114" s="949">
        <v>4000</v>
      </c>
      <c r="J114" s="949"/>
      <c r="K114" s="949"/>
      <c r="L114" s="949">
        <f t="shared" si="17"/>
        <v>0</v>
      </c>
      <c r="M114" s="949">
        <f t="shared" si="18"/>
        <v>4000</v>
      </c>
      <c r="N114" s="949">
        <f t="shared" si="19"/>
        <v>0</v>
      </c>
      <c r="O114" s="949">
        <f t="shared" si="20"/>
        <v>4000</v>
      </c>
    </row>
    <row r="115" spans="1:15" ht="15" customHeight="1">
      <c r="A115" s="984"/>
      <c r="B115" s="984"/>
      <c r="C115" s="942" t="s">
        <v>498</v>
      </c>
      <c r="D115" s="814" t="s">
        <v>1390</v>
      </c>
      <c r="E115" s="845"/>
      <c r="F115" s="951"/>
      <c r="G115" s="949">
        <v>1720</v>
      </c>
      <c r="H115" s="949">
        <v>0</v>
      </c>
      <c r="I115" s="949">
        <v>1720</v>
      </c>
      <c r="J115" s="949"/>
      <c r="K115" s="949"/>
      <c r="L115" s="949">
        <f t="shared" si="17"/>
        <v>0</v>
      </c>
      <c r="M115" s="949">
        <f t="shared" si="18"/>
        <v>1720</v>
      </c>
      <c r="N115" s="949">
        <f t="shared" si="19"/>
        <v>0</v>
      </c>
      <c r="O115" s="949">
        <f t="shared" si="20"/>
        <v>1720</v>
      </c>
    </row>
    <row r="116" spans="1:15" ht="15" customHeight="1">
      <c r="A116" s="984"/>
      <c r="B116" s="984"/>
      <c r="C116" s="942" t="s">
        <v>499</v>
      </c>
      <c r="D116" s="814" t="s">
        <v>1391</v>
      </c>
      <c r="E116" s="845"/>
      <c r="F116" s="951"/>
      <c r="G116" s="949">
        <v>1500</v>
      </c>
      <c r="H116" s="949">
        <v>0</v>
      </c>
      <c r="I116" s="949">
        <v>1500</v>
      </c>
      <c r="J116" s="949"/>
      <c r="K116" s="949"/>
      <c r="L116" s="949">
        <f t="shared" si="17"/>
        <v>0</v>
      </c>
      <c r="M116" s="949">
        <f t="shared" si="18"/>
        <v>1500</v>
      </c>
      <c r="N116" s="949">
        <f t="shared" si="19"/>
        <v>0</v>
      </c>
      <c r="O116" s="949">
        <f t="shared" si="20"/>
        <v>1500</v>
      </c>
    </row>
    <row r="117" spans="1:15" ht="15" customHeight="1">
      <c r="A117" s="984"/>
      <c r="B117" s="984"/>
      <c r="C117" s="942" t="s">
        <v>500</v>
      </c>
      <c r="D117" s="814" t="s">
        <v>1392</v>
      </c>
      <c r="E117" s="845"/>
      <c r="F117" s="951"/>
      <c r="G117" s="949">
        <v>3000</v>
      </c>
      <c r="H117" s="949">
        <v>0</v>
      </c>
      <c r="I117" s="949">
        <v>3000</v>
      </c>
      <c r="J117" s="949"/>
      <c r="K117" s="949"/>
      <c r="L117" s="949">
        <f t="shared" si="17"/>
        <v>0</v>
      </c>
      <c r="M117" s="949">
        <f t="shared" si="18"/>
        <v>3000</v>
      </c>
      <c r="N117" s="949">
        <f t="shared" si="19"/>
        <v>0</v>
      </c>
      <c r="O117" s="949">
        <f t="shared" si="20"/>
        <v>3000</v>
      </c>
    </row>
    <row r="118" spans="1:15" ht="15" customHeight="1">
      <c r="A118" s="984"/>
      <c r="B118" s="984"/>
      <c r="C118" s="942" t="s">
        <v>501</v>
      </c>
      <c r="D118" s="814" t="s">
        <v>183</v>
      </c>
      <c r="E118" s="845"/>
      <c r="F118" s="951"/>
      <c r="G118" s="949">
        <v>3000</v>
      </c>
      <c r="H118" s="949">
        <v>0</v>
      </c>
      <c r="I118" s="949">
        <v>3000</v>
      </c>
      <c r="J118" s="949"/>
      <c r="K118" s="949"/>
      <c r="L118" s="949">
        <f t="shared" si="17"/>
        <v>0</v>
      </c>
      <c r="M118" s="949">
        <f t="shared" si="18"/>
        <v>3000</v>
      </c>
      <c r="N118" s="949">
        <f t="shared" si="19"/>
        <v>0</v>
      </c>
      <c r="O118" s="949">
        <f t="shared" si="20"/>
        <v>3000</v>
      </c>
    </row>
    <row r="119" spans="1:15" ht="15" customHeight="1">
      <c r="A119" s="984"/>
      <c r="B119" s="984"/>
      <c r="C119" s="942" t="s">
        <v>502</v>
      </c>
      <c r="D119" s="997" t="s">
        <v>1393</v>
      </c>
      <c r="E119" s="845"/>
      <c r="F119" s="951"/>
      <c r="G119" s="949">
        <v>2000</v>
      </c>
      <c r="H119" s="949">
        <v>0</v>
      </c>
      <c r="I119" s="949">
        <v>2000</v>
      </c>
      <c r="J119" s="949"/>
      <c r="K119" s="949"/>
      <c r="L119" s="949">
        <f t="shared" si="17"/>
        <v>0</v>
      </c>
      <c r="M119" s="949">
        <f t="shared" si="18"/>
        <v>2000</v>
      </c>
      <c r="N119" s="949">
        <f t="shared" si="19"/>
        <v>0</v>
      </c>
      <c r="O119" s="949">
        <f t="shared" si="20"/>
        <v>2000</v>
      </c>
    </row>
    <row r="120" spans="1:15" ht="15" customHeight="1">
      <c r="A120" s="984"/>
      <c r="B120" s="984"/>
      <c r="C120" s="942" t="s">
        <v>846</v>
      </c>
      <c r="D120" s="997" t="s">
        <v>847</v>
      </c>
      <c r="E120" s="845"/>
      <c r="F120" s="951"/>
      <c r="G120" s="949">
        <v>2000</v>
      </c>
      <c r="H120" s="949"/>
      <c r="I120" s="949">
        <v>2000</v>
      </c>
      <c r="J120" s="949"/>
      <c r="K120" s="949"/>
      <c r="L120" s="949">
        <f t="shared" si="17"/>
        <v>0</v>
      </c>
      <c r="M120" s="949">
        <f aca="true" t="shared" si="21" ref="M120:M133">SUM(G120+J120)</f>
        <v>2000</v>
      </c>
      <c r="N120" s="949"/>
      <c r="O120" s="949">
        <f t="shared" si="20"/>
        <v>2000</v>
      </c>
    </row>
    <row r="121" spans="1:15" ht="12.75" customHeight="1">
      <c r="A121" s="984"/>
      <c r="B121" s="984"/>
      <c r="C121" s="984"/>
      <c r="D121" s="998" t="s">
        <v>327</v>
      </c>
      <c r="E121" s="845"/>
      <c r="F121" s="951"/>
      <c r="G121" s="949">
        <v>0</v>
      </c>
      <c r="H121" s="949">
        <v>0</v>
      </c>
      <c r="I121" s="949">
        <v>0</v>
      </c>
      <c r="J121" s="949"/>
      <c r="K121" s="949"/>
      <c r="L121" s="949">
        <f t="shared" si="17"/>
        <v>0</v>
      </c>
      <c r="M121" s="949">
        <f t="shared" si="21"/>
        <v>0</v>
      </c>
      <c r="N121" s="949">
        <f aca="true" t="shared" si="22" ref="N121:N133">SUM(H121+K121)</f>
        <v>0</v>
      </c>
      <c r="O121" s="949">
        <f t="shared" si="20"/>
        <v>0</v>
      </c>
    </row>
    <row r="122" spans="1:15" ht="12.75" customHeight="1">
      <c r="A122" s="984"/>
      <c r="B122" s="984"/>
      <c r="C122" s="942" t="s">
        <v>1331</v>
      </c>
      <c r="D122" s="995" t="s">
        <v>447</v>
      </c>
      <c r="E122" s="845"/>
      <c r="F122" s="951"/>
      <c r="G122" s="949">
        <v>1191</v>
      </c>
      <c r="H122" s="949">
        <v>0</v>
      </c>
      <c r="I122" s="949">
        <v>1191</v>
      </c>
      <c r="J122" s="949"/>
      <c r="K122" s="949"/>
      <c r="L122" s="949">
        <f t="shared" si="17"/>
        <v>0</v>
      </c>
      <c r="M122" s="949">
        <f t="shared" si="21"/>
        <v>1191</v>
      </c>
      <c r="N122" s="949">
        <f t="shared" si="22"/>
        <v>0</v>
      </c>
      <c r="O122" s="949">
        <f t="shared" si="20"/>
        <v>1191</v>
      </c>
    </row>
    <row r="123" spans="1:15" ht="12.75" customHeight="1">
      <c r="A123" s="984"/>
      <c r="B123" s="984"/>
      <c r="C123" s="942" t="s">
        <v>1332</v>
      </c>
      <c r="D123" s="995" t="s">
        <v>237</v>
      </c>
      <c r="E123" s="845"/>
      <c r="F123" s="951"/>
      <c r="G123" s="949">
        <v>183</v>
      </c>
      <c r="H123" s="949">
        <v>0</v>
      </c>
      <c r="I123" s="949">
        <v>183</v>
      </c>
      <c r="J123" s="949"/>
      <c r="K123" s="949"/>
      <c r="L123" s="949">
        <f t="shared" si="17"/>
        <v>0</v>
      </c>
      <c r="M123" s="949">
        <f t="shared" si="21"/>
        <v>183</v>
      </c>
      <c r="N123" s="949">
        <f t="shared" si="22"/>
        <v>0</v>
      </c>
      <c r="O123" s="949">
        <f t="shared" si="20"/>
        <v>183</v>
      </c>
    </row>
    <row r="124" spans="1:15" ht="15" customHeight="1">
      <c r="A124" s="984"/>
      <c r="B124" s="984"/>
      <c r="C124" s="942" t="s">
        <v>1333</v>
      </c>
      <c r="D124" s="995" t="s">
        <v>448</v>
      </c>
      <c r="E124" s="845"/>
      <c r="F124" s="951"/>
      <c r="G124" s="949">
        <v>3925</v>
      </c>
      <c r="H124" s="949">
        <v>0</v>
      </c>
      <c r="I124" s="949">
        <v>3925</v>
      </c>
      <c r="J124" s="949"/>
      <c r="K124" s="949"/>
      <c r="L124" s="949">
        <f aca="true" t="shared" si="23" ref="L124:L133">SUM(J124:K124)</f>
        <v>0</v>
      </c>
      <c r="M124" s="949">
        <f t="shared" si="21"/>
        <v>3925</v>
      </c>
      <c r="N124" s="949">
        <f t="shared" si="22"/>
        <v>0</v>
      </c>
      <c r="O124" s="949">
        <f aca="true" t="shared" si="24" ref="O124:O133">SUM(M124:N124)</f>
        <v>3925</v>
      </c>
    </row>
    <row r="125" spans="1:15" ht="12.75" customHeight="1">
      <c r="A125" s="984"/>
      <c r="B125" s="984"/>
      <c r="C125" s="942" t="s">
        <v>134</v>
      </c>
      <c r="D125" s="999" t="s">
        <v>449</v>
      </c>
      <c r="E125" s="845"/>
      <c r="F125" s="951"/>
      <c r="G125" s="949">
        <v>19791</v>
      </c>
      <c r="H125" s="949">
        <v>0</v>
      </c>
      <c r="I125" s="949">
        <v>19791</v>
      </c>
      <c r="J125" s="949"/>
      <c r="K125" s="949"/>
      <c r="L125" s="949">
        <f t="shared" si="23"/>
        <v>0</v>
      </c>
      <c r="M125" s="949">
        <f t="shared" si="21"/>
        <v>19791</v>
      </c>
      <c r="N125" s="949">
        <f t="shared" si="22"/>
        <v>0</v>
      </c>
      <c r="O125" s="949">
        <f t="shared" si="24"/>
        <v>19791</v>
      </c>
    </row>
    <row r="126" spans="1:15" ht="24.75" customHeight="1">
      <c r="A126" s="984"/>
      <c r="B126" s="984"/>
      <c r="C126" s="942" t="s">
        <v>135</v>
      </c>
      <c r="D126" s="1000" t="s">
        <v>450</v>
      </c>
      <c r="E126" s="845"/>
      <c r="F126" s="951"/>
      <c r="G126" s="949">
        <v>380</v>
      </c>
      <c r="H126" s="949">
        <v>0</v>
      </c>
      <c r="I126" s="949">
        <v>380</v>
      </c>
      <c r="J126" s="949"/>
      <c r="K126" s="949"/>
      <c r="L126" s="949">
        <f t="shared" si="23"/>
        <v>0</v>
      </c>
      <c r="M126" s="949">
        <f t="shared" si="21"/>
        <v>380</v>
      </c>
      <c r="N126" s="949">
        <f t="shared" si="22"/>
        <v>0</v>
      </c>
      <c r="O126" s="949">
        <f t="shared" si="24"/>
        <v>380</v>
      </c>
    </row>
    <row r="127" spans="1:15" ht="12.75" customHeight="1">
      <c r="A127" s="984"/>
      <c r="B127" s="984"/>
      <c r="C127" s="942" t="s">
        <v>136</v>
      </c>
      <c r="D127" s="1001" t="s">
        <v>451</v>
      </c>
      <c r="E127" s="845"/>
      <c r="F127" s="951"/>
      <c r="G127" s="949">
        <v>13014</v>
      </c>
      <c r="H127" s="949">
        <v>0</v>
      </c>
      <c r="I127" s="949">
        <v>13014</v>
      </c>
      <c r="J127" s="949"/>
      <c r="K127" s="949"/>
      <c r="L127" s="949">
        <f t="shared" si="23"/>
        <v>0</v>
      </c>
      <c r="M127" s="949">
        <f t="shared" si="21"/>
        <v>13014</v>
      </c>
      <c r="N127" s="949">
        <f t="shared" si="22"/>
        <v>0</v>
      </c>
      <c r="O127" s="949">
        <f t="shared" si="24"/>
        <v>13014</v>
      </c>
    </row>
    <row r="128" spans="1:15" ht="12.75" customHeight="1">
      <c r="A128" s="984"/>
      <c r="B128" s="984"/>
      <c r="C128" s="942" t="s">
        <v>145</v>
      </c>
      <c r="D128" s="995" t="s">
        <v>942</v>
      </c>
      <c r="E128" s="845"/>
      <c r="F128" s="951"/>
      <c r="G128" s="949">
        <v>387</v>
      </c>
      <c r="H128" s="949">
        <v>0</v>
      </c>
      <c r="I128" s="949">
        <v>387</v>
      </c>
      <c r="J128" s="949"/>
      <c r="K128" s="949"/>
      <c r="L128" s="949">
        <f t="shared" si="23"/>
        <v>0</v>
      </c>
      <c r="M128" s="949">
        <f t="shared" si="21"/>
        <v>387</v>
      </c>
      <c r="N128" s="949">
        <f t="shared" si="22"/>
        <v>0</v>
      </c>
      <c r="O128" s="949">
        <f t="shared" si="24"/>
        <v>387</v>
      </c>
    </row>
    <row r="129" spans="1:15" ht="12.75" customHeight="1">
      <c r="A129" s="984"/>
      <c r="B129" s="984"/>
      <c r="C129" s="942" t="s">
        <v>146</v>
      </c>
      <c r="D129" s="995" t="s">
        <v>452</v>
      </c>
      <c r="E129" s="845"/>
      <c r="F129" s="951"/>
      <c r="G129" s="949">
        <v>5000</v>
      </c>
      <c r="H129" s="949">
        <v>0</v>
      </c>
      <c r="I129" s="949">
        <v>5000</v>
      </c>
      <c r="J129" s="949"/>
      <c r="K129" s="949"/>
      <c r="L129" s="949">
        <f t="shared" si="23"/>
        <v>0</v>
      </c>
      <c r="M129" s="949">
        <f t="shared" si="21"/>
        <v>5000</v>
      </c>
      <c r="N129" s="949">
        <f t="shared" si="22"/>
        <v>0</v>
      </c>
      <c r="O129" s="949">
        <f t="shared" si="24"/>
        <v>5000</v>
      </c>
    </row>
    <row r="130" spans="1:15" ht="12.75" customHeight="1">
      <c r="A130" s="984"/>
      <c r="B130" s="984"/>
      <c r="C130" s="942" t="s">
        <v>147</v>
      </c>
      <c r="D130" s="995" t="s">
        <v>453</v>
      </c>
      <c r="E130" s="845"/>
      <c r="F130" s="951"/>
      <c r="G130" s="949">
        <v>6934</v>
      </c>
      <c r="H130" s="949">
        <v>0</v>
      </c>
      <c r="I130" s="949">
        <v>6934</v>
      </c>
      <c r="J130" s="949"/>
      <c r="K130" s="949"/>
      <c r="L130" s="949">
        <f t="shared" si="23"/>
        <v>0</v>
      </c>
      <c r="M130" s="949">
        <f t="shared" si="21"/>
        <v>6934</v>
      </c>
      <c r="N130" s="949">
        <f t="shared" si="22"/>
        <v>0</v>
      </c>
      <c r="O130" s="949">
        <f t="shared" si="24"/>
        <v>6934</v>
      </c>
    </row>
    <row r="131" spans="1:15" ht="15" customHeight="1">
      <c r="A131" s="984"/>
      <c r="B131" s="984"/>
      <c r="C131" s="942" t="s">
        <v>148</v>
      </c>
      <c r="D131" s="1002" t="s">
        <v>454</v>
      </c>
      <c r="E131" s="845"/>
      <c r="F131" s="951"/>
      <c r="G131" s="949">
        <v>273</v>
      </c>
      <c r="H131" s="949">
        <v>0</v>
      </c>
      <c r="I131" s="949">
        <v>273</v>
      </c>
      <c r="J131" s="949"/>
      <c r="K131" s="949"/>
      <c r="L131" s="949">
        <f t="shared" si="23"/>
        <v>0</v>
      </c>
      <c r="M131" s="949">
        <f t="shared" si="21"/>
        <v>273</v>
      </c>
      <c r="N131" s="949">
        <f t="shared" si="22"/>
        <v>0</v>
      </c>
      <c r="O131" s="949">
        <f t="shared" si="24"/>
        <v>273</v>
      </c>
    </row>
    <row r="132" spans="1:15" ht="24.75" customHeight="1">
      <c r="A132" s="984"/>
      <c r="B132" s="984"/>
      <c r="C132" s="942" t="s">
        <v>149</v>
      </c>
      <c r="D132" s="1003" t="s">
        <v>1209</v>
      </c>
      <c r="E132" s="845"/>
      <c r="F132" s="951"/>
      <c r="G132" s="949">
        <v>536</v>
      </c>
      <c r="H132" s="949">
        <v>0</v>
      </c>
      <c r="I132" s="949">
        <v>536</v>
      </c>
      <c r="J132" s="949"/>
      <c r="K132" s="949"/>
      <c r="L132" s="949">
        <f t="shared" si="23"/>
        <v>0</v>
      </c>
      <c r="M132" s="949">
        <f t="shared" si="21"/>
        <v>536</v>
      </c>
      <c r="N132" s="949">
        <f t="shared" si="22"/>
        <v>0</v>
      </c>
      <c r="O132" s="949">
        <f t="shared" si="24"/>
        <v>536</v>
      </c>
    </row>
    <row r="133" spans="1:15" ht="12.75" customHeight="1">
      <c r="A133" s="984"/>
      <c r="B133" s="984"/>
      <c r="C133" s="942" t="s">
        <v>150</v>
      </c>
      <c r="D133" s="1003" t="s">
        <v>455</v>
      </c>
      <c r="E133" s="845"/>
      <c r="F133" s="951"/>
      <c r="G133" s="949">
        <v>2000</v>
      </c>
      <c r="H133" s="949">
        <v>0</v>
      </c>
      <c r="I133" s="949">
        <v>2000</v>
      </c>
      <c r="J133" s="949"/>
      <c r="K133" s="949"/>
      <c r="L133" s="949">
        <f t="shared" si="23"/>
        <v>0</v>
      </c>
      <c r="M133" s="949">
        <f t="shared" si="21"/>
        <v>2000</v>
      </c>
      <c r="N133" s="949">
        <f t="shared" si="22"/>
        <v>0</v>
      </c>
      <c r="O133" s="949">
        <f t="shared" si="24"/>
        <v>2000</v>
      </c>
    </row>
    <row r="134" spans="1:15" ht="12.75" customHeight="1">
      <c r="A134" s="984"/>
      <c r="B134" s="984"/>
      <c r="C134" s="804" t="s">
        <v>1180</v>
      </c>
      <c r="D134" s="805" t="s">
        <v>1342</v>
      </c>
      <c r="E134" s="1004"/>
      <c r="F134" s="827"/>
      <c r="G134" s="949"/>
      <c r="H134" s="949"/>
      <c r="I134" s="949"/>
      <c r="J134" s="949"/>
      <c r="K134" s="949"/>
      <c r="L134" s="949"/>
      <c r="M134" s="949"/>
      <c r="N134" s="949"/>
      <c r="O134" s="949"/>
    </row>
    <row r="135" spans="1:15" ht="12.75" customHeight="1">
      <c r="A135" s="984"/>
      <c r="B135" s="984"/>
      <c r="C135" s="811" t="s">
        <v>1177</v>
      </c>
      <c r="D135" s="844" t="s">
        <v>1517</v>
      </c>
      <c r="E135" s="1004"/>
      <c r="F135" s="827"/>
      <c r="G135" s="949">
        <v>2000</v>
      </c>
      <c r="H135" s="949">
        <v>0</v>
      </c>
      <c r="I135" s="949">
        <v>2000</v>
      </c>
      <c r="J135" s="949"/>
      <c r="K135" s="949"/>
      <c r="L135" s="949">
        <f aca="true" t="shared" si="25" ref="L135:L144">SUM(J135:K135)</f>
        <v>0</v>
      </c>
      <c r="M135" s="949">
        <f aca="true" t="shared" si="26" ref="M135:M144">SUM(G135+J135)</f>
        <v>2000</v>
      </c>
      <c r="N135" s="949">
        <f aca="true" t="shared" si="27" ref="N135:N144">SUM(H135+K135)</f>
        <v>0</v>
      </c>
      <c r="O135" s="949">
        <f aca="true" t="shared" si="28" ref="O135:O144">SUM(M135:N135)</f>
        <v>2000</v>
      </c>
    </row>
    <row r="136" spans="1:15" ht="12.75" customHeight="1">
      <c r="A136" s="984"/>
      <c r="B136" s="984"/>
      <c r="C136" s="811" t="s">
        <v>1328</v>
      </c>
      <c r="D136" s="844" t="s">
        <v>1524</v>
      </c>
      <c r="E136" s="1004"/>
      <c r="F136" s="827"/>
      <c r="G136" s="949">
        <v>2000</v>
      </c>
      <c r="H136" s="949">
        <v>0</v>
      </c>
      <c r="I136" s="949">
        <v>2000</v>
      </c>
      <c r="J136" s="949"/>
      <c r="K136" s="949"/>
      <c r="L136" s="949">
        <f t="shared" si="25"/>
        <v>0</v>
      </c>
      <c r="M136" s="949">
        <f t="shared" si="26"/>
        <v>2000</v>
      </c>
      <c r="N136" s="949">
        <f t="shared" si="27"/>
        <v>0</v>
      </c>
      <c r="O136" s="949">
        <f t="shared" si="28"/>
        <v>2000</v>
      </c>
    </row>
    <row r="137" spans="1:15" ht="12.75" customHeight="1">
      <c r="A137" s="984"/>
      <c r="B137" s="984"/>
      <c r="C137" s="811" t="s">
        <v>1329</v>
      </c>
      <c r="D137" s="844" t="s">
        <v>1520</v>
      </c>
      <c r="E137" s="1004"/>
      <c r="F137" s="827"/>
      <c r="G137" s="949">
        <v>1500</v>
      </c>
      <c r="H137" s="949">
        <v>0</v>
      </c>
      <c r="I137" s="949">
        <v>1500</v>
      </c>
      <c r="J137" s="949"/>
      <c r="K137" s="949"/>
      <c r="L137" s="949">
        <f t="shared" si="25"/>
        <v>0</v>
      </c>
      <c r="M137" s="949">
        <f t="shared" si="26"/>
        <v>1500</v>
      </c>
      <c r="N137" s="949">
        <f t="shared" si="27"/>
        <v>0</v>
      </c>
      <c r="O137" s="949">
        <f t="shared" si="28"/>
        <v>1500</v>
      </c>
    </row>
    <row r="138" spans="1:15" ht="12.75" customHeight="1">
      <c r="A138" s="984"/>
      <c r="B138" s="984"/>
      <c r="C138" s="811" t="s">
        <v>1330</v>
      </c>
      <c r="D138" s="793" t="s">
        <v>1521</v>
      </c>
      <c r="E138" s="1004"/>
      <c r="F138" s="827"/>
      <c r="G138" s="949">
        <v>800</v>
      </c>
      <c r="H138" s="949">
        <v>0</v>
      </c>
      <c r="I138" s="949">
        <v>800</v>
      </c>
      <c r="J138" s="949"/>
      <c r="K138" s="949"/>
      <c r="L138" s="949">
        <f t="shared" si="25"/>
        <v>0</v>
      </c>
      <c r="M138" s="949">
        <f t="shared" si="26"/>
        <v>800</v>
      </c>
      <c r="N138" s="949">
        <f t="shared" si="27"/>
        <v>0</v>
      </c>
      <c r="O138" s="949">
        <f t="shared" si="28"/>
        <v>800</v>
      </c>
    </row>
    <row r="139" spans="1:15" ht="12.75" customHeight="1">
      <c r="A139" s="984"/>
      <c r="B139" s="984"/>
      <c r="C139" s="811" t="s">
        <v>635</v>
      </c>
      <c r="D139" s="793" t="s">
        <v>1523</v>
      </c>
      <c r="E139" s="1004"/>
      <c r="F139" s="827"/>
      <c r="G139" s="949">
        <v>500</v>
      </c>
      <c r="H139" s="949">
        <v>0</v>
      </c>
      <c r="I139" s="949">
        <v>500</v>
      </c>
      <c r="J139" s="949"/>
      <c r="K139" s="949"/>
      <c r="L139" s="949">
        <f t="shared" si="25"/>
        <v>0</v>
      </c>
      <c r="M139" s="949">
        <f t="shared" si="26"/>
        <v>500</v>
      </c>
      <c r="N139" s="949">
        <f t="shared" si="27"/>
        <v>0</v>
      </c>
      <c r="O139" s="949">
        <f t="shared" si="28"/>
        <v>500</v>
      </c>
    </row>
    <row r="140" spans="1:15" ht="12.75" customHeight="1">
      <c r="A140" s="984"/>
      <c r="B140" s="984"/>
      <c r="C140" s="811" t="s">
        <v>636</v>
      </c>
      <c r="D140" s="819" t="s">
        <v>1527</v>
      </c>
      <c r="E140" s="1004"/>
      <c r="F140" s="827"/>
      <c r="G140" s="949">
        <v>2400</v>
      </c>
      <c r="H140" s="949">
        <v>0</v>
      </c>
      <c r="I140" s="949">
        <v>2400</v>
      </c>
      <c r="J140" s="949"/>
      <c r="K140" s="949"/>
      <c r="L140" s="949">
        <f t="shared" si="25"/>
        <v>0</v>
      </c>
      <c r="M140" s="949">
        <f t="shared" si="26"/>
        <v>2400</v>
      </c>
      <c r="N140" s="949">
        <f t="shared" si="27"/>
        <v>0</v>
      </c>
      <c r="O140" s="949">
        <f t="shared" si="28"/>
        <v>2400</v>
      </c>
    </row>
    <row r="141" spans="1:15" ht="12.75" customHeight="1">
      <c r="A141" s="984"/>
      <c r="B141" s="984"/>
      <c r="C141" s="811" t="s">
        <v>637</v>
      </c>
      <c r="D141" s="819" t="s">
        <v>1528</v>
      </c>
      <c r="E141" s="1004"/>
      <c r="F141" s="827"/>
      <c r="G141" s="949">
        <v>600</v>
      </c>
      <c r="H141" s="949">
        <v>0</v>
      </c>
      <c r="I141" s="949">
        <v>600</v>
      </c>
      <c r="J141" s="949"/>
      <c r="K141" s="949"/>
      <c r="L141" s="949">
        <f t="shared" si="25"/>
        <v>0</v>
      </c>
      <c r="M141" s="949">
        <f t="shared" si="26"/>
        <v>600</v>
      </c>
      <c r="N141" s="949">
        <f t="shared" si="27"/>
        <v>0</v>
      </c>
      <c r="O141" s="949">
        <f t="shared" si="28"/>
        <v>600</v>
      </c>
    </row>
    <row r="142" spans="1:15" ht="12.75" customHeight="1">
      <c r="A142" s="984"/>
      <c r="B142" s="984"/>
      <c r="C142" s="811" t="s">
        <v>639</v>
      </c>
      <c r="D142" s="1005" t="s">
        <v>1530</v>
      </c>
      <c r="E142" s="1004"/>
      <c r="F142" s="827" t="s">
        <v>809</v>
      </c>
      <c r="G142" s="949">
        <v>7000</v>
      </c>
      <c r="H142" s="949">
        <v>0</v>
      </c>
      <c r="I142" s="949">
        <v>7000</v>
      </c>
      <c r="J142" s="949">
        <v>531</v>
      </c>
      <c r="K142" s="949"/>
      <c r="L142" s="949">
        <f t="shared" si="25"/>
        <v>531</v>
      </c>
      <c r="M142" s="949">
        <f t="shared" si="26"/>
        <v>7531</v>
      </c>
      <c r="N142" s="949">
        <f t="shared" si="27"/>
        <v>0</v>
      </c>
      <c r="O142" s="949">
        <f t="shared" si="28"/>
        <v>7531</v>
      </c>
    </row>
    <row r="143" spans="1:15" ht="12.75" customHeight="1">
      <c r="A143" s="984"/>
      <c r="B143" s="984"/>
      <c r="C143" s="811"/>
      <c r="D143" s="998" t="s">
        <v>327</v>
      </c>
      <c r="E143" s="1004"/>
      <c r="F143" s="827"/>
      <c r="G143" s="949">
        <v>0</v>
      </c>
      <c r="H143" s="949">
        <v>0</v>
      </c>
      <c r="I143" s="949">
        <v>0</v>
      </c>
      <c r="J143" s="949"/>
      <c r="K143" s="949"/>
      <c r="L143" s="949">
        <f t="shared" si="25"/>
        <v>0</v>
      </c>
      <c r="M143" s="949">
        <f t="shared" si="26"/>
        <v>0</v>
      </c>
      <c r="N143" s="949">
        <f t="shared" si="27"/>
        <v>0</v>
      </c>
      <c r="O143" s="949">
        <f t="shared" si="28"/>
        <v>0</v>
      </c>
    </row>
    <row r="144" spans="1:15" ht="15" customHeight="1">
      <c r="A144" s="984"/>
      <c r="B144" s="984"/>
      <c r="C144" s="811" t="s">
        <v>456</v>
      </c>
      <c r="D144" s="1006" t="s">
        <v>1725</v>
      </c>
      <c r="E144" s="1004"/>
      <c r="F144" s="827"/>
      <c r="G144" s="949">
        <v>2900</v>
      </c>
      <c r="H144" s="949">
        <v>0</v>
      </c>
      <c r="I144" s="949">
        <v>2900</v>
      </c>
      <c r="J144" s="949"/>
      <c r="K144" s="949"/>
      <c r="L144" s="949">
        <f t="shared" si="25"/>
        <v>0</v>
      </c>
      <c r="M144" s="949">
        <f t="shared" si="26"/>
        <v>2900</v>
      </c>
      <c r="N144" s="949">
        <f t="shared" si="27"/>
        <v>0</v>
      </c>
      <c r="O144" s="949">
        <f t="shared" si="28"/>
        <v>2900</v>
      </c>
    </row>
    <row r="145" spans="1:15" ht="12.75" customHeight="1">
      <c r="A145" s="984"/>
      <c r="B145" s="984"/>
      <c r="C145" s="1007" t="s">
        <v>1185</v>
      </c>
      <c r="D145" s="1008" t="s">
        <v>1186</v>
      </c>
      <c r="E145" s="845"/>
      <c r="F145" s="951"/>
      <c r="G145" s="949"/>
      <c r="H145" s="949"/>
      <c r="I145" s="949"/>
      <c r="J145" s="949"/>
      <c r="K145" s="949"/>
      <c r="L145" s="949"/>
      <c r="M145" s="949"/>
      <c r="N145" s="949"/>
      <c r="O145" s="949"/>
    </row>
    <row r="146" spans="1:15" ht="12.75" customHeight="1">
      <c r="A146" s="984"/>
      <c r="B146" s="984"/>
      <c r="C146" s="1007" t="s">
        <v>669</v>
      </c>
      <c r="D146" s="760" t="s">
        <v>651</v>
      </c>
      <c r="E146" s="845"/>
      <c r="F146" s="951"/>
      <c r="G146" s="949">
        <v>3000</v>
      </c>
      <c r="H146" s="949">
        <v>0</v>
      </c>
      <c r="I146" s="949">
        <v>3000</v>
      </c>
      <c r="J146" s="949"/>
      <c r="K146" s="949"/>
      <c r="L146" s="949">
        <f aca="true" t="shared" si="29" ref="L146:L151">SUM(J146:K146)</f>
        <v>0</v>
      </c>
      <c r="M146" s="949">
        <f aca="true" t="shared" si="30" ref="M146:N151">SUM(G146+J146)</f>
        <v>3000</v>
      </c>
      <c r="N146" s="949">
        <f t="shared" si="30"/>
        <v>0</v>
      </c>
      <c r="O146" s="949">
        <f aca="true" t="shared" si="31" ref="O146:O151">SUM(M146:N146)</f>
        <v>3000</v>
      </c>
    </row>
    <row r="147" spans="1:15" ht="12.75" customHeight="1">
      <c r="A147" s="984"/>
      <c r="B147" s="984"/>
      <c r="C147" s="1007" t="s">
        <v>670</v>
      </c>
      <c r="D147" s="1009" t="s">
        <v>652</v>
      </c>
      <c r="E147" s="845"/>
      <c r="F147" s="951"/>
      <c r="G147" s="949">
        <v>3000</v>
      </c>
      <c r="H147" s="949">
        <v>0</v>
      </c>
      <c r="I147" s="949">
        <v>3000</v>
      </c>
      <c r="J147" s="949"/>
      <c r="K147" s="949"/>
      <c r="L147" s="949">
        <f t="shared" si="29"/>
        <v>0</v>
      </c>
      <c r="M147" s="949">
        <f t="shared" si="30"/>
        <v>3000</v>
      </c>
      <c r="N147" s="949">
        <f t="shared" si="30"/>
        <v>0</v>
      </c>
      <c r="O147" s="949">
        <f t="shared" si="31"/>
        <v>3000</v>
      </c>
    </row>
    <row r="148" spans="1:15" ht="12.75" customHeight="1">
      <c r="A148" s="984"/>
      <c r="B148" s="984"/>
      <c r="C148" s="1007" t="s">
        <v>188</v>
      </c>
      <c r="D148" s="844" t="s">
        <v>653</v>
      </c>
      <c r="E148" s="845"/>
      <c r="F148" s="951"/>
      <c r="G148" s="949">
        <v>1000</v>
      </c>
      <c r="H148" s="949">
        <v>0</v>
      </c>
      <c r="I148" s="949">
        <v>1000</v>
      </c>
      <c r="J148" s="949"/>
      <c r="K148" s="949"/>
      <c r="L148" s="949">
        <f t="shared" si="29"/>
        <v>0</v>
      </c>
      <c r="M148" s="949">
        <f t="shared" si="30"/>
        <v>1000</v>
      </c>
      <c r="N148" s="949">
        <f t="shared" si="30"/>
        <v>0</v>
      </c>
      <c r="O148" s="949">
        <f t="shared" si="31"/>
        <v>1000</v>
      </c>
    </row>
    <row r="149" spans="1:15" ht="12.75" customHeight="1">
      <c r="A149" s="984"/>
      <c r="B149" s="984"/>
      <c r="C149" s="1007" t="s">
        <v>189</v>
      </c>
      <c r="D149" s="844" t="s">
        <v>1606</v>
      </c>
      <c r="E149" s="845"/>
      <c r="F149" s="951"/>
      <c r="G149" s="949">
        <v>500</v>
      </c>
      <c r="H149" s="949">
        <v>0</v>
      </c>
      <c r="I149" s="949">
        <v>500</v>
      </c>
      <c r="J149" s="949"/>
      <c r="K149" s="949"/>
      <c r="L149" s="949">
        <f t="shared" si="29"/>
        <v>0</v>
      </c>
      <c r="M149" s="949">
        <f t="shared" si="30"/>
        <v>500</v>
      </c>
      <c r="N149" s="949">
        <f t="shared" si="30"/>
        <v>0</v>
      </c>
      <c r="O149" s="949">
        <f t="shared" si="31"/>
        <v>500</v>
      </c>
    </row>
    <row r="150" spans="1:15" ht="12.75" customHeight="1">
      <c r="A150" s="984"/>
      <c r="B150" s="984"/>
      <c r="C150" s="1007" t="s">
        <v>1526</v>
      </c>
      <c r="D150" s="844" t="s">
        <v>1514</v>
      </c>
      <c r="E150" s="845"/>
      <c r="F150" s="951"/>
      <c r="G150" s="949">
        <v>1000</v>
      </c>
      <c r="H150" s="949">
        <v>0</v>
      </c>
      <c r="I150" s="949">
        <v>1000</v>
      </c>
      <c r="J150" s="949"/>
      <c r="K150" s="949"/>
      <c r="L150" s="949">
        <f t="shared" si="29"/>
        <v>0</v>
      </c>
      <c r="M150" s="949">
        <f t="shared" si="30"/>
        <v>1000</v>
      </c>
      <c r="N150" s="949">
        <f t="shared" si="30"/>
        <v>0</v>
      </c>
      <c r="O150" s="949">
        <f t="shared" si="31"/>
        <v>1000</v>
      </c>
    </row>
    <row r="151" spans="1:15" ht="12.75" customHeight="1">
      <c r="A151" s="984"/>
      <c r="B151" s="984"/>
      <c r="C151" s="1007" t="s">
        <v>1605</v>
      </c>
      <c r="D151" s="819" t="s">
        <v>1525</v>
      </c>
      <c r="E151" s="845"/>
      <c r="F151" s="951"/>
      <c r="G151" s="949">
        <v>0</v>
      </c>
      <c r="H151" s="949">
        <v>0</v>
      </c>
      <c r="I151" s="949">
        <v>0</v>
      </c>
      <c r="J151" s="949"/>
      <c r="K151" s="949"/>
      <c r="L151" s="949">
        <f t="shared" si="29"/>
        <v>0</v>
      </c>
      <c r="M151" s="949">
        <f t="shared" si="30"/>
        <v>0</v>
      </c>
      <c r="N151" s="949">
        <f t="shared" si="30"/>
        <v>0</v>
      </c>
      <c r="O151" s="949">
        <f t="shared" si="31"/>
        <v>0</v>
      </c>
    </row>
    <row r="152" spans="1:15" ht="12.75" customHeight="1">
      <c r="A152" s="984"/>
      <c r="B152" s="984"/>
      <c r="C152" s="804" t="s">
        <v>1187</v>
      </c>
      <c r="D152" s="813" t="s">
        <v>1192</v>
      </c>
      <c r="E152" s="845"/>
      <c r="F152" s="951"/>
      <c r="G152" s="949"/>
      <c r="H152" s="949"/>
      <c r="I152" s="949"/>
      <c r="J152" s="949"/>
      <c r="K152" s="949"/>
      <c r="L152" s="949"/>
      <c r="M152" s="949"/>
      <c r="N152" s="949"/>
      <c r="O152" s="949"/>
    </row>
    <row r="153" spans="1:15" ht="12.75" customHeight="1">
      <c r="A153" s="984"/>
      <c r="B153" s="984"/>
      <c r="C153" s="984" t="s">
        <v>1188</v>
      </c>
      <c r="D153" s="952" t="s">
        <v>1532</v>
      </c>
      <c r="E153" s="845"/>
      <c r="F153" s="951" t="s">
        <v>848</v>
      </c>
      <c r="G153" s="949">
        <v>1150</v>
      </c>
      <c r="H153" s="949">
        <v>0</v>
      </c>
      <c r="I153" s="949">
        <v>1150</v>
      </c>
      <c r="J153" s="949">
        <v>250</v>
      </c>
      <c r="K153" s="949"/>
      <c r="L153" s="949">
        <f>SUM(J153:K153)</f>
        <v>250</v>
      </c>
      <c r="M153" s="949">
        <f aca="true" t="shared" si="32" ref="M153:N156">SUM(G153+J153)</f>
        <v>1400</v>
      </c>
      <c r="N153" s="949">
        <f t="shared" si="32"/>
        <v>0</v>
      </c>
      <c r="O153" s="949">
        <f>SUM(M153:N153)</f>
        <v>1400</v>
      </c>
    </row>
    <row r="154" spans="1:15" ht="12.75" customHeight="1">
      <c r="A154" s="984"/>
      <c r="B154" s="984"/>
      <c r="C154" s="984" t="s">
        <v>1189</v>
      </c>
      <c r="D154" s="952" t="s">
        <v>1531</v>
      </c>
      <c r="E154" s="845"/>
      <c r="F154" s="951"/>
      <c r="G154" s="949">
        <v>0</v>
      </c>
      <c r="H154" s="949">
        <v>500</v>
      </c>
      <c r="I154" s="949">
        <v>500</v>
      </c>
      <c r="J154" s="949"/>
      <c r="K154" s="949"/>
      <c r="L154" s="949">
        <f>SUM(J154:K154)</f>
        <v>0</v>
      </c>
      <c r="M154" s="949">
        <f t="shared" si="32"/>
        <v>0</v>
      </c>
      <c r="N154" s="949">
        <f t="shared" si="32"/>
        <v>500</v>
      </c>
      <c r="O154" s="949">
        <f>SUM(M154:N154)</f>
        <v>500</v>
      </c>
    </row>
    <row r="155" spans="1:15" ht="12.75" customHeight="1">
      <c r="A155" s="984"/>
      <c r="B155" s="984"/>
      <c r="C155" s="984" t="s">
        <v>1190</v>
      </c>
      <c r="D155" s="953" t="s">
        <v>1198</v>
      </c>
      <c r="E155" s="845"/>
      <c r="F155" s="951"/>
      <c r="G155" s="949">
        <v>1200</v>
      </c>
      <c r="H155" s="949">
        <v>3800</v>
      </c>
      <c r="I155" s="949">
        <v>5000</v>
      </c>
      <c r="J155" s="949"/>
      <c r="K155" s="949"/>
      <c r="L155" s="949">
        <f>SUM(J155:K155)</f>
        <v>0</v>
      </c>
      <c r="M155" s="949">
        <f t="shared" si="32"/>
        <v>1200</v>
      </c>
      <c r="N155" s="949">
        <f t="shared" si="32"/>
        <v>3800</v>
      </c>
      <c r="O155" s="949">
        <f>SUM(M155:N155)</f>
        <v>5000</v>
      </c>
    </row>
    <row r="156" spans="1:15" ht="12.75" customHeight="1">
      <c r="A156" s="984"/>
      <c r="B156" s="984"/>
      <c r="C156" s="984" t="s">
        <v>1193</v>
      </c>
      <c r="D156" s="1010" t="s">
        <v>238</v>
      </c>
      <c r="E156" s="845"/>
      <c r="F156" s="951"/>
      <c r="G156" s="949">
        <v>0</v>
      </c>
      <c r="H156" s="949">
        <v>1000</v>
      </c>
      <c r="I156" s="949">
        <v>1000</v>
      </c>
      <c r="J156" s="949"/>
      <c r="K156" s="949"/>
      <c r="L156" s="949">
        <f>SUM(J156:K156)</f>
        <v>0</v>
      </c>
      <c r="M156" s="949">
        <f t="shared" si="32"/>
        <v>0</v>
      </c>
      <c r="N156" s="949">
        <f t="shared" si="32"/>
        <v>1000</v>
      </c>
      <c r="O156" s="949">
        <f>SUM(M156:N156)</f>
        <v>1000</v>
      </c>
    </row>
    <row r="157" spans="1:15" ht="12.75" customHeight="1">
      <c r="A157" s="984"/>
      <c r="B157" s="984"/>
      <c r="C157" s="984"/>
      <c r="D157" s="969" t="s">
        <v>327</v>
      </c>
      <c r="E157" s="845"/>
      <c r="F157" s="951"/>
      <c r="G157" s="949"/>
      <c r="H157" s="949"/>
      <c r="I157" s="949"/>
      <c r="J157" s="949"/>
      <c r="K157" s="949"/>
      <c r="L157" s="949"/>
      <c r="M157" s="949"/>
      <c r="N157" s="949"/>
      <c r="O157" s="949"/>
    </row>
    <row r="158" spans="1:15" ht="12.75" customHeight="1">
      <c r="A158" s="984"/>
      <c r="B158" s="984"/>
      <c r="C158" s="984" t="s">
        <v>289</v>
      </c>
      <c r="D158" s="1011" t="s">
        <v>457</v>
      </c>
      <c r="E158" s="845"/>
      <c r="F158" s="951"/>
      <c r="G158" s="949">
        <v>5167</v>
      </c>
      <c r="H158" s="949">
        <v>0</v>
      </c>
      <c r="I158" s="949">
        <v>5167</v>
      </c>
      <c r="J158" s="949"/>
      <c r="K158" s="949"/>
      <c r="L158" s="949">
        <f>SUM(J158:K158)</f>
        <v>0</v>
      </c>
      <c r="M158" s="949">
        <f>SUM(G158+J158)</f>
        <v>5167</v>
      </c>
      <c r="N158" s="949">
        <f>SUM(H158+K158)</f>
        <v>0</v>
      </c>
      <c r="O158" s="949">
        <f>SUM(M158:N158)</f>
        <v>5167</v>
      </c>
    </row>
    <row r="159" spans="1:15" ht="12.75" customHeight="1">
      <c r="A159" s="1012"/>
      <c r="B159" s="1012"/>
      <c r="C159" s="1012"/>
      <c r="D159" s="836" t="s">
        <v>284</v>
      </c>
      <c r="E159" s="981"/>
      <c r="F159" s="982"/>
      <c r="G159" s="983">
        <f aca="true" t="shared" si="33" ref="G159:O159">SUM(G50:G158)</f>
        <v>398612</v>
      </c>
      <c r="H159" s="983">
        <f t="shared" si="33"/>
        <v>5300</v>
      </c>
      <c r="I159" s="983">
        <f t="shared" si="33"/>
        <v>403912</v>
      </c>
      <c r="J159" s="983">
        <f t="shared" si="33"/>
        <v>-2219</v>
      </c>
      <c r="K159" s="983">
        <f t="shared" si="33"/>
        <v>0</v>
      </c>
      <c r="L159" s="983">
        <f t="shared" si="33"/>
        <v>-2219</v>
      </c>
      <c r="M159" s="983">
        <f t="shared" si="33"/>
        <v>396393</v>
      </c>
      <c r="N159" s="983">
        <f t="shared" si="33"/>
        <v>5300</v>
      </c>
      <c r="O159" s="983">
        <f t="shared" si="33"/>
        <v>401693</v>
      </c>
    </row>
    <row r="160" spans="1:15" ht="12.75" customHeight="1">
      <c r="A160" s="992">
        <v>1</v>
      </c>
      <c r="B160" s="992">
        <v>16</v>
      </c>
      <c r="C160" s="992"/>
      <c r="D160" s="1013" t="s">
        <v>1195</v>
      </c>
      <c r="E160" s="1014"/>
      <c r="F160" s="1015"/>
      <c r="G160" s="1016"/>
      <c r="H160" s="1016"/>
      <c r="I160" s="1016"/>
      <c r="J160" s="949"/>
      <c r="K160" s="949"/>
      <c r="L160" s="949"/>
      <c r="M160" s="949"/>
      <c r="N160" s="949"/>
      <c r="O160" s="949"/>
    </row>
    <row r="161" spans="1:15" ht="12.75" customHeight="1">
      <c r="A161" s="992"/>
      <c r="B161" s="992"/>
      <c r="C161" s="804" t="s">
        <v>688</v>
      </c>
      <c r="D161" s="805" t="s">
        <v>1689</v>
      </c>
      <c r="E161" s="1014"/>
      <c r="F161" s="1015"/>
      <c r="G161" s="1016"/>
      <c r="H161" s="1016"/>
      <c r="I161" s="1016"/>
      <c r="J161" s="949"/>
      <c r="K161" s="949"/>
      <c r="L161" s="949"/>
      <c r="M161" s="949"/>
      <c r="N161" s="949"/>
      <c r="O161" s="949"/>
    </row>
    <row r="162" spans="1:15" ht="12.75" customHeight="1">
      <c r="A162" s="992"/>
      <c r="B162" s="992"/>
      <c r="C162" s="992" t="s">
        <v>690</v>
      </c>
      <c r="D162" s="801" t="s">
        <v>992</v>
      </c>
      <c r="E162" s="846"/>
      <c r="F162" s="951"/>
      <c r="G162" s="949">
        <v>0</v>
      </c>
      <c r="H162" s="949">
        <v>0</v>
      </c>
      <c r="I162" s="949">
        <v>0</v>
      </c>
      <c r="J162" s="949"/>
      <c r="K162" s="949"/>
      <c r="L162" s="949">
        <f>SUM(J162:K162)</f>
        <v>0</v>
      </c>
      <c r="M162" s="949">
        <f aca="true" t="shared" si="34" ref="M162:N164">SUM(G162+J162)</f>
        <v>0</v>
      </c>
      <c r="N162" s="949">
        <f t="shared" si="34"/>
        <v>0</v>
      </c>
      <c r="O162" s="949">
        <f>SUM(M162:N162)</f>
        <v>0</v>
      </c>
    </row>
    <row r="163" spans="1:15" ht="12.75" customHeight="1">
      <c r="A163" s="992"/>
      <c r="B163" s="992"/>
      <c r="C163" s="992" t="s">
        <v>1509</v>
      </c>
      <c r="D163" s="814" t="s">
        <v>1006</v>
      </c>
      <c r="E163" s="846"/>
      <c r="F163" s="951"/>
      <c r="G163" s="949">
        <v>1500</v>
      </c>
      <c r="H163" s="949">
        <v>0</v>
      </c>
      <c r="I163" s="949">
        <v>1500</v>
      </c>
      <c r="J163" s="949"/>
      <c r="K163" s="949"/>
      <c r="L163" s="949">
        <f>SUM(J163:K163)</f>
        <v>0</v>
      </c>
      <c r="M163" s="949">
        <f t="shared" si="34"/>
        <v>1500</v>
      </c>
      <c r="N163" s="949">
        <f t="shared" si="34"/>
        <v>0</v>
      </c>
      <c r="O163" s="949">
        <f>SUM(M163:N163)</f>
        <v>1500</v>
      </c>
    </row>
    <row r="164" spans="1:15" ht="12.75" customHeight="1">
      <c r="A164" s="992"/>
      <c r="B164" s="992"/>
      <c r="C164" s="992" t="s">
        <v>1510</v>
      </c>
      <c r="D164" s="814" t="s">
        <v>1007</v>
      </c>
      <c r="E164" s="846"/>
      <c r="F164" s="951"/>
      <c r="G164" s="949">
        <v>2000</v>
      </c>
      <c r="H164" s="949">
        <v>0</v>
      </c>
      <c r="I164" s="949">
        <v>2000</v>
      </c>
      <c r="J164" s="949"/>
      <c r="K164" s="949"/>
      <c r="L164" s="949">
        <f>SUM(J164:K164)</f>
        <v>0</v>
      </c>
      <c r="M164" s="949">
        <f t="shared" si="34"/>
        <v>2000</v>
      </c>
      <c r="N164" s="949">
        <f t="shared" si="34"/>
        <v>0</v>
      </c>
      <c r="O164" s="949">
        <f>SUM(M164:N164)</f>
        <v>2000</v>
      </c>
    </row>
    <row r="165" spans="1:15" ht="12.75" customHeight="1">
      <c r="A165" s="992"/>
      <c r="B165" s="992"/>
      <c r="C165" s="992"/>
      <c r="D165" s="998" t="s">
        <v>327</v>
      </c>
      <c r="E165" s="846"/>
      <c r="F165" s="951"/>
      <c r="G165" s="949"/>
      <c r="H165" s="949"/>
      <c r="I165" s="949"/>
      <c r="J165" s="949"/>
      <c r="K165" s="949"/>
      <c r="L165" s="949"/>
      <c r="M165" s="949"/>
      <c r="N165" s="949"/>
      <c r="O165" s="949"/>
    </row>
    <row r="166" spans="1:15" ht="12.75" customHeight="1">
      <c r="A166" s="992"/>
      <c r="B166" s="992"/>
      <c r="C166" s="992" t="s">
        <v>849</v>
      </c>
      <c r="D166" s="1017" t="s">
        <v>850</v>
      </c>
      <c r="E166" s="846"/>
      <c r="F166" s="951"/>
      <c r="G166" s="949">
        <v>292</v>
      </c>
      <c r="H166" s="949"/>
      <c r="I166" s="949">
        <v>292</v>
      </c>
      <c r="J166" s="949"/>
      <c r="K166" s="949"/>
      <c r="L166" s="949">
        <f>SUM(J166:K166)</f>
        <v>0</v>
      </c>
      <c r="M166" s="949">
        <f>SUM(G166+J166)</f>
        <v>292</v>
      </c>
      <c r="N166" s="949"/>
      <c r="O166" s="949">
        <f>SUM(M166:N166)</f>
        <v>292</v>
      </c>
    </row>
    <row r="167" spans="1:15" ht="12.75" customHeight="1">
      <c r="A167" s="992"/>
      <c r="B167" s="992"/>
      <c r="C167" s="804" t="s">
        <v>1180</v>
      </c>
      <c r="D167" s="813" t="s">
        <v>1342</v>
      </c>
      <c r="E167" s="1014"/>
      <c r="F167" s="1015"/>
      <c r="G167" s="949"/>
      <c r="H167" s="949"/>
      <c r="I167" s="949"/>
      <c r="J167" s="949"/>
      <c r="K167" s="949"/>
      <c r="L167" s="949"/>
      <c r="M167" s="949"/>
      <c r="N167" s="949"/>
      <c r="O167" s="949"/>
    </row>
    <row r="168" spans="1:15" ht="24.75" customHeight="1">
      <c r="A168" s="992"/>
      <c r="B168" s="992"/>
      <c r="C168" s="992" t="s">
        <v>186</v>
      </c>
      <c r="D168" s="793" t="s">
        <v>1522</v>
      </c>
      <c r="E168" s="1004"/>
      <c r="F168" s="827"/>
      <c r="G168" s="949">
        <v>3000</v>
      </c>
      <c r="H168" s="949">
        <v>0</v>
      </c>
      <c r="I168" s="949">
        <v>3000</v>
      </c>
      <c r="J168" s="949"/>
      <c r="K168" s="949"/>
      <c r="L168" s="949">
        <f>SUM(J168:K168)</f>
        <v>0</v>
      </c>
      <c r="M168" s="949">
        <f aca="true" t="shared" si="35" ref="M168:N170">SUM(G168+J168)</f>
        <v>3000</v>
      </c>
      <c r="N168" s="949">
        <f t="shared" si="35"/>
        <v>0</v>
      </c>
      <c r="O168" s="949">
        <f>SUM(M168:N168)</f>
        <v>3000</v>
      </c>
    </row>
    <row r="169" spans="1:15" ht="12.75" customHeight="1">
      <c r="A169" s="992"/>
      <c r="B169" s="992"/>
      <c r="C169" s="992"/>
      <c r="D169" s="969" t="s">
        <v>327</v>
      </c>
      <c r="E169" s="1004"/>
      <c r="F169" s="827"/>
      <c r="G169" s="949">
        <v>0</v>
      </c>
      <c r="H169" s="949">
        <v>0</v>
      </c>
      <c r="I169" s="949">
        <v>0</v>
      </c>
      <c r="J169" s="949"/>
      <c r="K169" s="949"/>
      <c r="L169" s="949">
        <f>SUM(J169:K169)</f>
        <v>0</v>
      </c>
      <c r="M169" s="949">
        <f t="shared" si="35"/>
        <v>0</v>
      </c>
      <c r="N169" s="949">
        <f t="shared" si="35"/>
        <v>0</v>
      </c>
      <c r="O169" s="949">
        <f>SUM(M169:N169)</f>
        <v>0</v>
      </c>
    </row>
    <row r="170" spans="1:15" ht="12.75" customHeight="1">
      <c r="A170" s="992"/>
      <c r="B170" s="992"/>
      <c r="C170" s="992" t="s">
        <v>456</v>
      </c>
      <c r="D170" s="1011" t="s">
        <v>458</v>
      </c>
      <c r="E170" s="1004"/>
      <c r="F170" s="827"/>
      <c r="G170" s="949">
        <v>2000</v>
      </c>
      <c r="H170" s="949">
        <v>0</v>
      </c>
      <c r="I170" s="949">
        <v>2000</v>
      </c>
      <c r="J170" s="949"/>
      <c r="K170" s="949"/>
      <c r="L170" s="949">
        <f>SUM(J170:K170)</f>
        <v>0</v>
      </c>
      <c r="M170" s="949">
        <f t="shared" si="35"/>
        <v>2000</v>
      </c>
      <c r="N170" s="949">
        <f t="shared" si="35"/>
        <v>0</v>
      </c>
      <c r="O170" s="949">
        <f>SUM(M170:N170)</f>
        <v>2000</v>
      </c>
    </row>
    <row r="171" spans="1:15" ht="12.75" customHeight="1">
      <c r="A171" s="992"/>
      <c r="B171" s="992"/>
      <c r="C171" s="804" t="s">
        <v>1178</v>
      </c>
      <c r="D171" s="805" t="s">
        <v>1343</v>
      </c>
      <c r="E171" s="1014"/>
      <c r="F171" s="1015"/>
      <c r="G171" s="949"/>
      <c r="H171" s="949"/>
      <c r="I171" s="949"/>
      <c r="J171" s="949"/>
      <c r="K171" s="949"/>
      <c r="L171" s="949"/>
      <c r="M171" s="949"/>
      <c r="N171" s="949"/>
      <c r="O171" s="949"/>
    </row>
    <row r="172" spans="1:15" ht="12.75" customHeight="1">
      <c r="A172" s="992"/>
      <c r="B172" s="992"/>
      <c r="C172" s="811" t="s">
        <v>851</v>
      </c>
      <c r="D172" s="884" t="s">
        <v>852</v>
      </c>
      <c r="E172" s="1014"/>
      <c r="F172" s="1015"/>
      <c r="G172" s="949">
        <v>11000</v>
      </c>
      <c r="H172" s="949"/>
      <c r="I172" s="949">
        <v>11000</v>
      </c>
      <c r="J172" s="949"/>
      <c r="K172" s="949"/>
      <c r="L172" s="949">
        <f>SUM(J172:K172)</f>
        <v>0</v>
      </c>
      <c r="M172" s="949">
        <f>SUM(G172+J172)</f>
        <v>11000</v>
      </c>
      <c r="N172" s="949"/>
      <c r="O172" s="949">
        <f>SUM(M172:N172)</f>
        <v>11000</v>
      </c>
    </row>
    <row r="173" spans="1:15" ht="12.75" customHeight="1">
      <c r="A173" s="992"/>
      <c r="B173" s="992"/>
      <c r="C173" s="804" t="s">
        <v>1187</v>
      </c>
      <c r="D173" s="805" t="s">
        <v>1192</v>
      </c>
      <c r="E173" s="1014"/>
      <c r="F173" s="1015"/>
      <c r="G173" s="949"/>
      <c r="H173" s="949"/>
      <c r="I173" s="949"/>
      <c r="J173" s="949"/>
      <c r="K173" s="949"/>
      <c r="L173" s="949"/>
      <c r="M173" s="949"/>
      <c r="N173" s="949"/>
      <c r="O173" s="949"/>
    </row>
    <row r="174" spans="1:15" ht="12.75" customHeight="1">
      <c r="A174" s="992"/>
      <c r="B174" s="992"/>
      <c r="C174" s="811" t="s">
        <v>1188</v>
      </c>
      <c r="D174" s="868" t="s">
        <v>530</v>
      </c>
      <c r="E174" s="1014"/>
      <c r="F174" s="1015"/>
      <c r="G174" s="949">
        <v>0</v>
      </c>
      <c r="H174" s="949">
        <v>8000</v>
      </c>
      <c r="I174" s="949">
        <v>8000</v>
      </c>
      <c r="J174" s="949"/>
      <c r="K174" s="949"/>
      <c r="L174" s="949">
        <f>SUM(J174:K174)</f>
        <v>0</v>
      </c>
      <c r="M174" s="949">
        <f aca="true" t="shared" si="36" ref="M174:N176">SUM(G174+J174)</f>
        <v>0</v>
      </c>
      <c r="N174" s="949">
        <f t="shared" si="36"/>
        <v>8000</v>
      </c>
      <c r="O174" s="949">
        <f>SUM(M174:N174)</f>
        <v>8000</v>
      </c>
    </row>
    <row r="175" spans="1:15" ht="12.75" customHeight="1">
      <c r="A175" s="992"/>
      <c r="B175" s="992"/>
      <c r="C175" s="811" t="s">
        <v>1189</v>
      </c>
      <c r="D175" s="1018" t="s">
        <v>1583</v>
      </c>
      <c r="E175" s="845"/>
      <c r="F175" s="951"/>
      <c r="G175" s="949">
        <v>2000</v>
      </c>
      <c r="H175" s="949">
        <v>0</v>
      </c>
      <c r="I175" s="949">
        <v>2000</v>
      </c>
      <c r="J175" s="949"/>
      <c r="K175" s="949"/>
      <c r="L175" s="949">
        <f>SUM(J175:K175)</f>
        <v>0</v>
      </c>
      <c r="M175" s="949">
        <f t="shared" si="36"/>
        <v>2000</v>
      </c>
      <c r="N175" s="949">
        <f t="shared" si="36"/>
        <v>0</v>
      </c>
      <c r="O175" s="949">
        <f>SUM(M175:N175)</f>
        <v>2000</v>
      </c>
    </row>
    <row r="176" spans="1:15" ht="12.75" customHeight="1">
      <c r="A176" s="992"/>
      <c r="B176" s="992"/>
      <c r="C176" s="811" t="s">
        <v>1190</v>
      </c>
      <c r="D176" s="1011" t="s">
        <v>1656</v>
      </c>
      <c r="E176" s="888"/>
      <c r="F176" s="1019"/>
      <c r="G176" s="949">
        <v>2587</v>
      </c>
      <c r="H176" s="949">
        <v>0</v>
      </c>
      <c r="I176" s="949">
        <v>2587</v>
      </c>
      <c r="J176" s="949"/>
      <c r="K176" s="949"/>
      <c r="L176" s="949">
        <f>SUM(J176:K176)</f>
        <v>0</v>
      </c>
      <c r="M176" s="949">
        <f t="shared" si="36"/>
        <v>2587</v>
      </c>
      <c r="N176" s="949">
        <f t="shared" si="36"/>
        <v>0</v>
      </c>
      <c r="O176" s="949">
        <f>SUM(M176:N176)</f>
        <v>2587</v>
      </c>
    </row>
    <row r="177" spans="1:15" ht="12.75" customHeight="1">
      <c r="A177" s="992"/>
      <c r="B177" s="992"/>
      <c r="C177" s="804"/>
      <c r="D177" s="998" t="s">
        <v>327</v>
      </c>
      <c r="E177" s="1014"/>
      <c r="F177" s="1015"/>
      <c r="G177" s="949"/>
      <c r="H177" s="949"/>
      <c r="I177" s="949"/>
      <c r="J177" s="949"/>
      <c r="K177" s="949"/>
      <c r="L177" s="949"/>
      <c r="M177" s="949"/>
      <c r="N177" s="949"/>
      <c r="O177" s="949"/>
    </row>
    <row r="178" spans="1:15" ht="12.75" customHeight="1">
      <c r="A178" s="992"/>
      <c r="B178" s="992"/>
      <c r="C178" s="811" t="s">
        <v>289</v>
      </c>
      <c r="D178" s="1020" t="s">
        <v>459</v>
      </c>
      <c r="E178" s="1014"/>
      <c r="F178" s="1015"/>
      <c r="G178" s="949">
        <v>0</v>
      </c>
      <c r="H178" s="949">
        <v>412</v>
      </c>
      <c r="I178" s="949">
        <v>412</v>
      </c>
      <c r="J178" s="949"/>
      <c r="K178" s="949"/>
      <c r="L178" s="949">
        <f>SUM(J178:K178)</f>
        <v>0</v>
      </c>
      <c r="M178" s="949">
        <f>SUM(G178+J178)</f>
        <v>0</v>
      </c>
      <c r="N178" s="949">
        <f>SUM(H178+K178)</f>
        <v>412</v>
      </c>
      <c r="O178" s="949">
        <f>SUM(M178:N178)</f>
        <v>412</v>
      </c>
    </row>
    <row r="179" spans="1:15" ht="12.75" customHeight="1">
      <c r="A179" s="1012"/>
      <c r="B179" s="1012"/>
      <c r="C179" s="1021"/>
      <c r="D179" s="1022" t="s">
        <v>105</v>
      </c>
      <c r="E179" s="1023"/>
      <c r="F179" s="1024"/>
      <c r="G179" s="1025">
        <f aca="true" t="shared" si="37" ref="G179:O179">SUM(G161:G178)</f>
        <v>24379</v>
      </c>
      <c r="H179" s="1025">
        <f t="shared" si="37"/>
        <v>8412</v>
      </c>
      <c r="I179" s="1025">
        <f t="shared" si="37"/>
        <v>32791</v>
      </c>
      <c r="J179" s="1025">
        <f t="shared" si="37"/>
        <v>0</v>
      </c>
      <c r="K179" s="1025">
        <f t="shared" si="37"/>
        <v>0</v>
      </c>
      <c r="L179" s="1025">
        <f t="shared" si="37"/>
        <v>0</v>
      </c>
      <c r="M179" s="1025">
        <f t="shared" si="37"/>
        <v>24379</v>
      </c>
      <c r="N179" s="1025">
        <f t="shared" si="37"/>
        <v>8412</v>
      </c>
      <c r="O179" s="1025">
        <f t="shared" si="37"/>
        <v>32791</v>
      </c>
    </row>
    <row r="180" spans="1:15" ht="12.75" customHeight="1">
      <c r="A180" s="984">
        <v>1</v>
      </c>
      <c r="B180" s="984">
        <v>17</v>
      </c>
      <c r="C180" s="1026"/>
      <c r="D180" s="1008" t="s">
        <v>1351</v>
      </c>
      <c r="E180" s="1027"/>
      <c r="F180" s="1028"/>
      <c r="G180" s="1029"/>
      <c r="H180" s="1029"/>
      <c r="I180" s="1029"/>
      <c r="J180" s="949"/>
      <c r="K180" s="949"/>
      <c r="L180" s="949"/>
      <c r="M180" s="949"/>
      <c r="N180" s="949"/>
      <c r="O180" s="949"/>
    </row>
    <row r="181" spans="1:15" ht="12.75" customHeight="1">
      <c r="A181" s="984"/>
      <c r="B181" s="984"/>
      <c r="C181" s="1026"/>
      <c r="D181" s="1008" t="s">
        <v>114</v>
      </c>
      <c r="E181" s="1027"/>
      <c r="F181" s="1028"/>
      <c r="G181" s="1029"/>
      <c r="H181" s="1029"/>
      <c r="I181" s="1029"/>
      <c r="J181" s="949"/>
      <c r="K181" s="949"/>
      <c r="L181" s="949"/>
      <c r="M181" s="949"/>
      <c r="N181" s="949"/>
      <c r="O181" s="949"/>
    </row>
    <row r="182" spans="1:15" ht="24.75" customHeight="1">
      <c r="A182" s="984"/>
      <c r="B182" s="984"/>
      <c r="C182" s="1030" t="s">
        <v>685</v>
      </c>
      <c r="D182" s="1031" t="s">
        <v>1655</v>
      </c>
      <c r="E182" s="1032"/>
      <c r="F182" s="1028"/>
      <c r="G182" s="949">
        <v>31564</v>
      </c>
      <c r="H182" s="949">
        <v>0</v>
      </c>
      <c r="I182" s="949">
        <v>31564</v>
      </c>
      <c r="J182" s="949"/>
      <c r="K182" s="949"/>
      <c r="L182" s="949">
        <f>SUM(J182:K182)</f>
        <v>0</v>
      </c>
      <c r="M182" s="949">
        <f>SUM(G182+J182)</f>
        <v>31564</v>
      </c>
      <c r="N182" s="949">
        <f>SUM(H182+K182)</f>
        <v>0</v>
      </c>
      <c r="O182" s="949">
        <f>SUM(M182:N182)</f>
        <v>31564</v>
      </c>
    </row>
    <row r="183" spans="1:15" ht="36" customHeight="1">
      <c r="A183" s="984"/>
      <c r="B183" s="984"/>
      <c r="C183" s="1030" t="s">
        <v>681</v>
      </c>
      <c r="D183" s="1031" t="s">
        <v>120</v>
      </c>
      <c r="E183" s="1032"/>
      <c r="F183" s="1028"/>
      <c r="G183" s="949">
        <v>0</v>
      </c>
      <c r="H183" s="949">
        <v>11131</v>
      </c>
      <c r="I183" s="949">
        <v>11131</v>
      </c>
      <c r="J183" s="949"/>
      <c r="K183" s="949"/>
      <c r="L183" s="949">
        <f>SUM(J183:K183)</f>
        <v>0</v>
      </c>
      <c r="M183" s="949">
        <f>SUM(G183+J183)</f>
        <v>0</v>
      </c>
      <c r="N183" s="949">
        <f>SUM(H183+K183)</f>
        <v>11131</v>
      </c>
      <c r="O183" s="949">
        <f>SUM(M183:N183)</f>
        <v>11131</v>
      </c>
    </row>
    <row r="184" spans="1:15" ht="24.75" customHeight="1">
      <c r="A184" s="984"/>
      <c r="B184" s="984"/>
      <c r="C184" s="1030" t="s">
        <v>686</v>
      </c>
      <c r="D184" s="1031" t="s">
        <v>853</v>
      </c>
      <c r="E184" s="1032"/>
      <c r="F184" s="1028"/>
      <c r="G184" s="949"/>
      <c r="H184" s="949">
        <v>13970</v>
      </c>
      <c r="I184" s="949">
        <v>13970</v>
      </c>
      <c r="J184" s="949"/>
      <c r="K184" s="949"/>
      <c r="L184" s="949">
        <f>SUM(J184:K184)</f>
        <v>0</v>
      </c>
      <c r="M184" s="949"/>
      <c r="N184" s="949">
        <f>SUM(H184+K184)</f>
        <v>13970</v>
      </c>
      <c r="O184" s="949">
        <f>SUM(M184:N184)</f>
        <v>13970</v>
      </c>
    </row>
    <row r="185" spans="1:15" ht="12.75" customHeight="1">
      <c r="A185" s="1012"/>
      <c r="B185" s="1012"/>
      <c r="C185" s="1021"/>
      <c r="D185" s="1022" t="s">
        <v>282</v>
      </c>
      <c r="E185" s="1023"/>
      <c r="F185" s="1024"/>
      <c r="G185" s="1025">
        <f aca="true" t="shared" si="38" ref="G185:O185">SUM(G182:G184)</f>
        <v>31564</v>
      </c>
      <c r="H185" s="1025">
        <f t="shared" si="38"/>
        <v>25101</v>
      </c>
      <c r="I185" s="1025">
        <f t="shared" si="38"/>
        <v>56665</v>
      </c>
      <c r="J185" s="1025">
        <f t="shared" si="38"/>
        <v>0</v>
      </c>
      <c r="K185" s="1025">
        <f t="shared" si="38"/>
        <v>0</v>
      </c>
      <c r="L185" s="1025">
        <f t="shared" si="38"/>
        <v>0</v>
      </c>
      <c r="M185" s="1025">
        <f t="shared" si="38"/>
        <v>31564</v>
      </c>
      <c r="N185" s="1025">
        <f t="shared" si="38"/>
        <v>25101</v>
      </c>
      <c r="O185" s="1025">
        <f t="shared" si="38"/>
        <v>56665</v>
      </c>
    </row>
    <row r="186" spans="1:15" ht="12.75" customHeight="1">
      <c r="A186" s="984">
        <v>1</v>
      </c>
      <c r="B186" s="984">
        <v>19</v>
      </c>
      <c r="C186" s="1026"/>
      <c r="D186" s="1033" t="s">
        <v>676</v>
      </c>
      <c r="E186" s="1027"/>
      <c r="F186" s="1028"/>
      <c r="G186" s="949"/>
      <c r="H186" s="949"/>
      <c r="I186" s="949"/>
      <c r="J186" s="949"/>
      <c r="K186" s="949"/>
      <c r="L186" s="949"/>
      <c r="M186" s="949"/>
      <c r="N186" s="949"/>
      <c r="O186" s="949"/>
    </row>
    <row r="187" spans="1:15" ht="12.75" customHeight="1">
      <c r="A187" s="984"/>
      <c r="B187" s="984"/>
      <c r="C187" s="1026"/>
      <c r="D187" s="998" t="s">
        <v>327</v>
      </c>
      <c r="E187" s="1027"/>
      <c r="F187" s="1028"/>
      <c r="G187" s="949"/>
      <c r="H187" s="949"/>
      <c r="I187" s="949"/>
      <c r="J187" s="949"/>
      <c r="K187" s="949"/>
      <c r="L187" s="949"/>
      <c r="M187" s="949"/>
      <c r="N187" s="949"/>
      <c r="O187" s="949"/>
    </row>
    <row r="188" spans="1:15" ht="12.75" customHeight="1">
      <c r="A188" s="984"/>
      <c r="B188" s="984"/>
      <c r="C188" s="1030" t="s">
        <v>290</v>
      </c>
      <c r="D188" s="1034" t="s">
        <v>1584</v>
      </c>
      <c r="E188" s="1027"/>
      <c r="F188" s="1028"/>
      <c r="G188" s="949">
        <v>0</v>
      </c>
      <c r="H188" s="949">
        <v>2000</v>
      </c>
      <c r="I188" s="949">
        <v>2000</v>
      </c>
      <c r="J188" s="949"/>
      <c r="K188" s="949"/>
      <c r="L188" s="949">
        <f>SUM(J188:K188)</f>
        <v>0</v>
      </c>
      <c r="M188" s="949">
        <f>SUM(G188+J188)</f>
        <v>0</v>
      </c>
      <c r="N188" s="949">
        <f>SUM(H188+K188)</f>
        <v>2000</v>
      </c>
      <c r="O188" s="949">
        <f>SUM(M188:N188)</f>
        <v>2000</v>
      </c>
    </row>
    <row r="189" spans="1:15" ht="12.75" customHeight="1">
      <c r="A189" s="1012"/>
      <c r="B189" s="1012"/>
      <c r="C189" s="1021"/>
      <c r="D189" s="1022" t="s">
        <v>678</v>
      </c>
      <c r="E189" s="1023"/>
      <c r="F189" s="1024"/>
      <c r="G189" s="1025">
        <f aca="true" t="shared" si="39" ref="G189:O189">SUM(G187:G188)</f>
        <v>0</v>
      </c>
      <c r="H189" s="1025">
        <f t="shared" si="39"/>
        <v>2000</v>
      </c>
      <c r="I189" s="1025">
        <f t="shared" si="39"/>
        <v>2000</v>
      </c>
      <c r="J189" s="1025">
        <f t="shared" si="39"/>
        <v>0</v>
      </c>
      <c r="K189" s="1025">
        <f t="shared" si="39"/>
        <v>0</v>
      </c>
      <c r="L189" s="1025">
        <f t="shared" si="39"/>
        <v>0</v>
      </c>
      <c r="M189" s="1025">
        <f t="shared" si="39"/>
        <v>0</v>
      </c>
      <c r="N189" s="1025">
        <f t="shared" si="39"/>
        <v>2000</v>
      </c>
      <c r="O189" s="1025">
        <f t="shared" si="39"/>
        <v>2000</v>
      </c>
    </row>
    <row r="190" spans="1:15" ht="12.75" customHeight="1">
      <c r="A190" s="937">
        <v>1</v>
      </c>
      <c r="B190" s="937">
        <v>30</v>
      </c>
      <c r="C190" s="937"/>
      <c r="D190" s="938" t="s">
        <v>1549</v>
      </c>
      <c r="E190" s="1035"/>
      <c r="F190" s="1036"/>
      <c r="G190" s="949"/>
      <c r="H190" s="949"/>
      <c r="I190" s="949"/>
      <c r="J190" s="949"/>
      <c r="K190" s="949"/>
      <c r="L190" s="949"/>
      <c r="M190" s="949"/>
      <c r="N190" s="949"/>
      <c r="O190" s="949"/>
    </row>
    <row r="191" spans="1:15" ht="12.75" customHeight="1">
      <c r="A191" s="937"/>
      <c r="B191" s="937"/>
      <c r="C191" s="937" t="s">
        <v>685</v>
      </c>
      <c r="D191" s="1037" t="s">
        <v>1421</v>
      </c>
      <c r="E191" s="1038"/>
      <c r="F191" s="1036"/>
      <c r="G191" s="949">
        <v>10000</v>
      </c>
      <c r="H191" s="949"/>
      <c r="I191" s="949">
        <v>10000</v>
      </c>
      <c r="J191" s="949"/>
      <c r="K191" s="949"/>
      <c r="L191" s="949">
        <f>SUM(J191:K191)</f>
        <v>0</v>
      </c>
      <c r="M191" s="949">
        <f>SUM(G191+J191)</f>
        <v>10000</v>
      </c>
      <c r="N191" s="949">
        <f>SUM(H191+K191)</f>
        <v>0</v>
      </c>
      <c r="O191" s="949">
        <f>SUM(M191:N191)</f>
        <v>10000</v>
      </c>
    </row>
    <row r="192" spans="1:15" ht="12.75" customHeight="1">
      <c r="A192" s="1039"/>
      <c r="B192" s="1039"/>
      <c r="C192" s="1039"/>
      <c r="D192" s="1040" t="s">
        <v>1550</v>
      </c>
      <c r="E192" s="1041"/>
      <c r="F192" s="1042"/>
      <c r="G192" s="1043">
        <f>SUM(G191:G191)</f>
        <v>10000</v>
      </c>
      <c r="H192" s="1043">
        <f>SUM(H191:H191)</f>
        <v>0</v>
      </c>
      <c r="I192" s="1043">
        <f>SUM(I191:I191)</f>
        <v>10000</v>
      </c>
      <c r="J192" s="1044"/>
      <c r="K192" s="1044"/>
      <c r="L192" s="1044">
        <f>SUM(J192:K192)</f>
        <v>0</v>
      </c>
      <c r="M192" s="1044">
        <f>SUM(G192+J192)</f>
        <v>10000</v>
      </c>
      <c r="N192" s="1044">
        <f>SUM(H192+K192)</f>
        <v>0</v>
      </c>
      <c r="O192" s="1044">
        <f>SUM(M192:N192)</f>
        <v>10000</v>
      </c>
    </row>
    <row r="193" spans="1:15" ht="12.75" customHeight="1">
      <c r="A193" s="1039"/>
      <c r="B193" s="1039"/>
      <c r="C193" s="1039"/>
      <c r="D193" s="921" t="s">
        <v>761</v>
      </c>
      <c r="E193" s="1041"/>
      <c r="F193" s="1042"/>
      <c r="G193" s="1043">
        <f>SUM(G48+G159+G179+G185+G189+G192)</f>
        <v>669250</v>
      </c>
      <c r="H193" s="1043">
        <f>SUM(H48+H159+H179+H185+H189+H192)</f>
        <v>64313</v>
      </c>
      <c r="I193" s="1043">
        <f>SUM(G193:H193)</f>
        <v>733563</v>
      </c>
      <c r="J193" s="1043">
        <f>SUM(J48+J159+J179+J185+J189+J192)</f>
        <v>-19219</v>
      </c>
      <c r="K193" s="1043">
        <f>SUM(K48+K159+K179+K185+K189+K192)</f>
        <v>17000</v>
      </c>
      <c r="L193" s="1043">
        <f>SUM(J193:K193)</f>
        <v>-2219</v>
      </c>
      <c r="M193" s="1043">
        <f>SUM(M48+M159+M179+M185+M189+M192)</f>
        <v>650031</v>
      </c>
      <c r="N193" s="1043">
        <f>SUM(N48+N159+N179+N185+N189+N192)</f>
        <v>81313</v>
      </c>
      <c r="O193" s="1043">
        <f>SUM(M193:N193)</f>
        <v>731344</v>
      </c>
    </row>
    <row r="194" spans="1:15" ht="12.75" customHeight="1">
      <c r="A194" s="1045">
        <v>2</v>
      </c>
      <c r="B194" s="1046"/>
      <c r="C194" s="1046"/>
      <c r="D194" s="722" t="s">
        <v>1621</v>
      </c>
      <c r="E194" s="1047"/>
      <c r="F194" s="1048"/>
      <c r="G194" s="1049">
        <v>69755</v>
      </c>
      <c r="H194" s="1049"/>
      <c r="I194" s="1049">
        <f>SUM(G194:H194)</f>
        <v>69755</v>
      </c>
      <c r="J194" s="949">
        <f>'[2]táj.2.'!I20</f>
        <v>7528</v>
      </c>
      <c r="K194" s="949"/>
      <c r="L194" s="949">
        <f>SUM(J194:K194)</f>
        <v>7528</v>
      </c>
      <c r="M194" s="949">
        <f>SUM(G194+J194)</f>
        <v>77283</v>
      </c>
      <c r="N194" s="949">
        <f>SUM(H194+K194)</f>
        <v>0</v>
      </c>
      <c r="O194" s="949">
        <f>SUM(M194:N194)</f>
        <v>77283</v>
      </c>
    </row>
    <row r="195" spans="1:15" ht="12.75" customHeight="1">
      <c r="A195" s="1050"/>
      <c r="B195" s="1050"/>
      <c r="C195" s="1050"/>
      <c r="D195" s="1040" t="s">
        <v>1599</v>
      </c>
      <c r="E195" s="1041"/>
      <c r="F195" s="1042"/>
      <c r="G195" s="1043">
        <f>SUM(G193+G194)</f>
        <v>739005</v>
      </c>
      <c r="H195" s="1043">
        <f>SUM(H193+H194)</f>
        <v>64313</v>
      </c>
      <c r="I195" s="1043">
        <f>SUM(G195:H195)</f>
        <v>803318</v>
      </c>
      <c r="J195" s="1043">
        <f>SUM(J193:J194)</f>
        <v>-11691</v>
      </c>
      <c r="K195" s="1043">
        <f>SUM(K193:K194)</f>
        <v>17000</v>
      </c>
      <c r="L195" s="1043">
        <f>SUM(J195:K195)</f>
        <v>5309</v>
      </c>
      <c r="M195" s="1043">
        <f>SUM(G195+J195)</f>
        <v>727314</v>
      </c>
      <c r="N195" s="1043">
        <f>SUM(H195+K195)</f>
        <v>81313</v>
      </c>
      <c r="O195" s="1043">
        <f>SUM(M195:N195)</f>
        <v>808627</v>
      </c>
    </row>
    <row r="196" spans="1:12" ht="13.5" customHeight="1">
      <c r="A196" s="308" t="s">
        <v>1194</v>
      </c>
      <c r="B196" s="308"/>
      <c r="C196" s="308"/>
      <c r="D196" s="308"/>
      <c r="E196" s="308"/>
      <c r="F196" s="308"/>
      <c r="G196" s="308"/>
      <c r="H196" s="308"/>
      <c r="I196" s="308"/>
      <c r="L196" s="1051"/>
    </row>
    <row r="197" spans="1:9" ht="13.5" customHeight="1">
      <c r="A197" s="309"/>
      <c r="B197" s="309"/>
      <c r="C197" s="309"/>
      <c r="D197" s="310"/>
      <c r="E197" s="310"/>
      <c r="F197" s="310"/>
      <c r="G197" s="311"/>
      <c r="H197" s="312"/>
      <c r="I197" s="312"/>
    </row>
    <row r="198" spans="1:3" ht="12">
      <c r="A198" s="313"/>
      <c r="B198" s="314"/>
      <c r="C198" s="314"/>
    </row>
    <row r="199" spans="1:3" ht="12">
      <c r="A199" s="314"/>
      <c r="B199" s="314"/>
      <c r="C199" s="314"/>
    </row>
    <row r="200" spans="1:3" ht="12">
      <c r="A200" s="314"/>
      <c r="B200" s="314"/>
      <c r="C200" s="314"/>
    </row>
  </sheetData>
  <sheetProtection selectLockedCells="1" selectUnlockedCells="1"/>
  <mergeCells count="5">
    <mergeCell ref="M1:O1"/>
    <mergeCell ref="D34:E34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C1">
      <selection activeCell="P1" sqref="P1:Q16384"/>
    </sheetView>
  </sheetViews>
  <sheetFormatPr defaultColWidth="9.00390625" defaultRowHeight="12.75"/>
  <cols>
    <col min="1" max="1" width="3.00390625" style="462" customWidth="1"/>
    <col min="2" max="2" width="35.00390625" style="459" customWidth="1"/>
    <col min="3" max="4" width="11.375" style="459" customWidth="1"/>
    <col min="5" max="6" width="11.875" style="459" customWidth="1"/>
    <col min="7" max="7" width="10.50390625" style="459" customWidth="1"/>
    <col min="8" max="8" width="12.00390625" style="459" customWidth="1"/>
    <col min="9" max="9" width="11.50390625" style="459" customWidth="1"/>
    <col min="10" max="10" width="11.625" style="459" customWidth="1"/>
    <col min="11" max="11" width="11.375" style="459" customWidth="1"/>
    <col min="12" max="12" width="12.875" style="459" customWidth="1"/>
    <col min="13" max="13" width="13.125" style="459" customWidth="1"/>
    <col min="14" max="14" width="9.50390625" style="459" customWidth="1"/>
    <col min="15" max="15" width="13.125" style="459" customWidth="1"/>
    <col min="16" max="16384" width="9.375" style="459" customWidth="1"/>
  </cols>
  <sheetData>
    <row r="1" spans="1:15" ht="14.25" customHeight="1">
      <c r="A1" s="1474" t="s">
        <v>803</v>
      </c>
      <c r="B1" s="1474" t="s">
        <v>854</v>
      </c>
      <c r="C1" s="1477" t="s">
        <v>855</v>
      </c>
      <c r="D1" s="1477" t="s">
        <v>786</v>
      </c>
      <c r="E1" s="1474" t="s">
        <v>1360</v>
      </c>
      <c r="F1" s="1369"/>
      <c r="G1" s="1369"/>
      <c r="H1" s="1369"/>
      <c r="I1" s="1369"/>
      <c r="J1" s="1369"/>
      <c r="K1" s="1369"/>
      <c r="L1" s="1476" t="s">
        <v>773</v>
      </c>
      <c r="M1" s="1369"/>
      <c r="N1" s="1369"/>
      <c r="O1" s="1474" t="s">
        <v>856</v>
      </c>
    </row>
    <row r="2" spans="1:15" ht="81.75" customHeight="1">
      <c r="A2" s="1475"/>
      <c r="B2" s="1475"/>
      <c r="C2" s="1478"/>
      <c r="D2" s="1478"/>
      <c r="E2" s="1053" t="s">
        <v>1659</v>
      </c>
      <c r="F2" s="1053" t="s">
        <v>1660</v>
      </c>
      <c r="G2" s="1053" t="s">
        <v>1661</v>
      </c>
      <c r="H2" s="1053" t="s">
        <v>1666</v>
      </c>
      <c r="I2" s="1053" t="s">
        <v>1667</v>
      </c>
      <c r="J2" s="1053" t="s">
        <v>1668</v>
      </c>
      <c r="K2" s="1053" t="s">
        <v>1669</v>
      </c>
      <c r="L2" s="1053" t="s">
        <v>1362</v>
      </c>
      <c r="M2" s="1053" t="s">
        <v>701</v>
      </c>
      <c r="N2" s="1053" t="s">
        <v>1364</v>
      </c>
      <c r="O2" s="1474"/>
    </row>
    <row r="3" spans="1:15" ht="15" customHeight="1">
      <c r="A3" s="1054">
        <v>2</v>
      </c>
      <c r="B3" s="1055" t="s">
        <v>1349</v>
      </c>
      <c r="C3" s="610">
        <v>1237075</v>
      </c>
      <c r="D3" s="610">
        <f>61764+'[2]táj.1.'!M3</f>
        <v>69399</v>
      </c>
      <c r="E3" s="1056">
        <f>12604+'[2]táj.1.'!C3</f>
        <v>20110</v>
      </c>
      <c r="F3" s="1056">
        <f>0+'[2]táj.1.'!D3</f>
        <v>0</v>
      </c>
      <c r="G3" s="1056">
        <f>0+'[2]táj.1.'!E3</f>
        <v>0</v>
      </c>
      <c r="H3" s="1057">
        <f>12400+'[2]táj.1.'!F3</f>
        <v>12400</v>
      </c>
      <c r="I3" s="1057">
        <f>0+'[2]táj.1.'!G3</f>
        <v>0</v>
      </c>
      <c r="J3" s="1057">
        <f>0+'[2]táj.1.'!H3</f>
        <v>0</v>
      </c>
      <c r="K3" s="1057">
        <f>0+'[2]táj.1.'!I3</f>
        <v>0</v>
      </c>
      <c r="L3" s="1057">
        <f>146474+'[2]táj.1.'!J3</f>
        <v>146474</v>
      </c>
      <c r="M3" s="1057">
        <f>1127361+'[2]táj.1.'!K3</f>
        <v>1127490</v>
      </c>
      <c r="N3" s="1057">
        <f>0+'[2]táj.1.'!L3</f>
        <v>0</v>
      </c>
      <c r="O3" s="1057">
        <f aca="true" t="shared" si="0" ref="O3:O19">SUM(E3:N3)</f>
        <v>1306474</v>
      </c>
    </row>
    <row r="4" spans="1:15" s="460" customFormat="1" ht="28.5" customHeight="1">
      <c r="A4" s="1054">
        <v>3</v>
      </c>
      <c r="B4" s="1055" t="s">
        <v>1238</v>
      </c>
      <c r="C4" s="610">
        <v>1361767</v>
      </c>
      <c r="D4" s="610">
        <f>19713+'[2]táj.1.'!M4</f>
        <v>23035</v>
      </c>
      <c r="E4" s="1056">
        <f>3000+'[2]táj.1.'!C4</f>
        <v>3000</v>
      </c>
      <c r="F4" s="1056">
        <f>7000+'[2]táj.1.'!D4</f>
        <v>9000</v>
      </c>
      <c r="G4" s="1056">
        <f>0+'[2]táj.1.'!E4</f>
        <v>0</v>
      </c>
      <c r="H4" s="1057">
        <f>401358+'[2]táj.1.'!F4</f>
        <v>401358</v>
      </c>
      <c r="I4" s="1057">
        <f>0+'[2]táj.1.'!G4</f>
        <v>0</v>
      </c>
      <c r="J4" s="1057">
        <f>0+'[2]táj.1.'!H4</f>
        <v>0</v>
      </c>
      <c r="K4" s="1057">
        <f>0+'[2]táj.1.'!I4</f>
        <v>0</v>
      </c>
      <c r="L4" s="1057">
        <f>41560+'[2]táj.1.'!J4</f>
        <v>41560</v>
      </c>
      <c r="M4" s="1057">
        <f>928562+'[2]táj.1.'!K4</f>
        <v>929884</v>
      </c>
      <c r="N4" s="1057">
        <f>0+'[2]táj.1.'!L4</f>
        <v>0</v>
      </c>
      <c r="O4" s="1057">
        <f t="shared" si="0"/>
        <v>1384802</v>
      </c>
    </row>
    <row r="5" spans="1:15" s="460" customFormat="1" ht="19.5" customHeight="1">
      <c r="A5" s="1054">
        <v>4</v>
      </c>
      <c r="B5" s="1055" t="s">
        <v>740</v>
      </c>
      <c r="C5" s="610">
        <v>362804</v>
      </c>
      <c r="D5" s="610">
        <f>13419+'[2]táj.1.'!M5</f>
        <v>29003</v>
      </c>
      <c r="E5" s="1056">
        <f>8591+'[2]táj.1.'!C5</f>
        <v>8591</v>
      </c>
      <c r="F5" s="1056">
        <f>182+'[2]táj.1.'!D5</f>
        <v>15182</v>
      </c>
      <c r="G5" s="1056">
        <f>0+'[2]táj.1.'!E5</f>
        <v>0</v>
      </c>
      <c r="H5" s="1057">
        <f>105176+'[2]táj.1.'!F5</f>
        <v>105176</v>
      </c>
      <c r="I5" s="1057">
        <f>0+'[2]táj.1.'!G5</f>
        <v>0</v>
      </c>
      <c r="J5" s="1057">
        <f>0+'[2]táj.1.'!H5</f>
        <v>0</v>
      </c>
      <c r="K5" s="1057">
        <f>0+'[2]táj.1.'!I5</f>
        <v>0</v>
      </c>
      <c r="L5" s="1057">
        <f>859+'[2]táj.1.'!J5</f>
        <v>859</v>
      </c>
      <c r="M5" s="1057">
        <f>261415+'[2]táj.1.'!K5</f>
        <v>261999</v>
      </c>
      <c r="N5" s="1057">
        <f>0+'[2]táj.1.'!L5</f>
        <v>0</v>
      </c>
      <c r="O5" s="1057">
        <f t="shared" si="0"/>
        <v>391807</v>
      </c>
    </row>
    <row r="6" spans="1:15" s="460" customFormat="1" ht="32.25" customHeight="1">
      <c r="A6" s="1054">
        <v>5</v>
      </c>
      <c r="B6" s="1058" t="s">
        <v>741</v>
      </c>
      <c r="C6" s="1059">
        <v>316218</v>
      </c>
      <c r="D6" s="610">
        <f>93339+'[2]táj.1.'!M6</f>
        <v>94038</v>
      </c>
      <c r="E6" s="1056">
        <f>289942+'[2]táj.1.'!C6</f>
        <v>289942</v>
      </c>
      <c r="F6" s="1056">
        <f>0+'[2]táj.1.'!D6</f>
        <v>0</v>
      </c>
      <c r="G6" s="1056">
        <f>0+'[2]táj.1.'!E6</f>
        <v>0</v>
      </c>
      <c r="H6" s="1057">
        <f>2000+'[2]táj.1.'!F6</f>
        <v>2000</v>
      </c>
      <c r="I6" s="1057">
        <f>0+'[2]táj.1.'!G6</f>
        <v>0</v>
      </c>
      <c r="J6" s="1057">
        <f>0+'[2]táj.1.'!H6</f>
        <v>0</v>
      </c>
      <c r="K6" s="1057">
        <f>0+'[2]táj.1.'!I6</f>
        <v>0</v>
      </c>
      <c r="L6" s="1057">
        <f>57550+'[2]táj.1.'!J6</f>
        <v>57550</v>
      </c>
      <c r="M6" s="1057">
        <f>60065+'[2]táj.1.'!K6</f>
        <v>60764</v>
      </c>
      <c r="N6" s="1057">
        <f>0+'[2]táj.1.'!L6</f>
        <v>0</v>
      </c>
      <c r="O6" s="1057">
        <f t="shared" si="0"/>
        <v>410256</v>
      </c>
    </row>
    <row r="7" spans="1:15" s="460" customFormat="1" ht="25.5">
      <c r="A7" s="1054">
        <v>6</v>
      </c>
      <c r="B7" s="1058" t="s">
        <v>742</v>
      </c>
      <c r="C7" s="1059">
        <v>310239</v>
      </c>
      <c r="D7" s="610">
        <f>999+'[2]táj.1.'!M7</f>
        <v>1437</v>
      </c>
      <c r="E7" s="1056">
        <f>1117+'[2]táj.1.'!C7</f>
        <v>1117</v>
      </c>
      <c r="F7" s="1056">
        <f>0+'[2]táj.1.'!D7</f>
        <v>0</v>
      </c>
      <c r="G7" s="1056">
        <f>0+'[2]táj.1.'!E7</f>
        <v>0</v>
      </c>
      <c r="H7" s="1057">
        <f>36430+'[2]táj.1.'!F7</f>
        <v>36430</v>
      </c>
      <c r="I7" s="1057">
        <f>0+'[2]táj.1.'!G7</f>
        <v>0</v>
      </c>
      <c r="J7" s="1057">
        <f>0+'[2]táj.1.'!H7</f>
        <v>0</v>
      </c>
      <c r="K7" s="1057">
        <f>0+'[2]táj.1.'!I7</f>
        <v>0</v>
      </c>
      <c r="L7" s="1057">
        <f>870+'[2]táj.1.'!J7</f>
        <v>870</v>
      </c>
      <c r="M7" s="1057">
        <f>272821+'[2]táj.1.'!K7</f>
        <v>273259</v>
      </c>
      <c r="N7" s="1057">
        <f>0+'[2]táj.1.'!L7</f>
        <v>0</v>
      </c>
      <c r="O7" s="1057">
        <f t="shared" si="0"/>
        <v>311676</v>
      </c>
    </row>
    <row r="8" spans="1:15" s="460" customFormat="1" ht="26.25" customHeight="1">
      <c r="A8" s="1054">
        <v>7</v>
      </c>
      <c r="B8" s="1058" t="s">
        <v>743</v>
      </c>
      <c r="C8" s="1059">
        <v>288134</v>
      </c>
      <c r="D8" s="610">
        <f>1345+'[2]táj.1.'!M8</f>
        <v>1681</v>
      </c>
      <c r="E8" s="1056">
        <f>2028+'[2]táj.1.'!C8</f>
        <v>2028</v>
      </c>
      <c r="F8" s="1056">
        <f>0+'[2]táj.1.'!D8</f>
        <v>0</v>
      </c>
      <c r="G8" s="1056">
        <f>0+'[2]táj.1.'!E8</f>
        <v>0</v>
      </c>
      <c r="H8" s="1057">
        <f>30919+'[2]táj.1.'!F8</f>
        <v>30919</v>
      </c>
      <c r="I8" s="1057">
        <f>0+'[2]táj.1.'!G8</f>
        <v>0</v>
      </c>
      <c r="J8" s="1057">
        <f>0+'[2]táj.1.'!H8</f>
        <v>0</v>
      </c>
      <c r="K8" s="1057">
        <f>0+'[2]táj.1.'!I8</f>
        <v>0</v>
      </c>
      <c r="L8" s="1057">
        <f>1584+'[2]táj.1.'!J8</f>
        <v>1584</v>
      </c>
      <c r="M8" s="1057">
        <f>254948+'[2]táj.1.'!K8</f>
        <v>255284</v>
      </c>
      <c r="N8" s="1057">
        <f>0+'[2]táj.1.'!L8</f>
        <v>0</v>
      </c>
      <c r="O8" s="1057">
        <f t="shared" si="0"/>
        <v>289815</v>
      </c>
    </row>
    <row r="9" spans="1:15" s="460" customFormat="1" ht="15" customHeight="1">
      <c r="A9" s="1054">
        <v>8</v>
      </c>
      <c r="B9" s="1058" t="s">
        <v>744</v>
      </c>
      <c r="C9" s="1059">
        <v>283986</v>
      </c>
      <c r="D9" s="610">
        <f>1174+'[2]táj.1.'!M9</f>
        <v>1537</v>
      </c>
      <c r="E9" s="1056">
        <f>200+'[2]táj.1.'!C9</f>
        <v>200</v>
      </c>
      <c r="F9" s="1056">
        <f>0+'[2]táj.1.'!D9</f>
        <v>0</v>
      </c>
      <c r="G9" s="1056">
        <f>0+'[2]táj.1.'!E9</f>
        <v>0</v>
      </c>
      <c r="H9" s="1057">
        <f>27198+'[2]táj.1.'!F9</f>
        <v>27198</v>
      </c>
      <c r="I9" s="1057">
        <f>0+'[2]táj.1.'!G9</f>
        <v>0</v>
      </c>
      <c r="J9" s="1057">
        <f>0+'[2]táj.1.'!H9</f>
        <v>0</v>
      </c>
      <c r="K9" s="1057">
        <f>0+'[2]táj.1.'!I9</f>
        <v>0</v>
      </c>
      <c r="L9" s="1057">
        <f>757+'[2]táj.1.'!J9</f>
        <v>757</v>
      </c>
      <c r="M9" s="1057">
        <f>257005+'[2]táj.1.'!K9</f>
        <v>257368</v>
      </c>
      <c r="N9" s="1057">
        <f>0+'[2]táj.1.'!L9</f>
        <v>0</v>
      </c>
      <c r="O9" s="1057">
        <f t="shared" si="0"/>
        <v>285523</v>
      </c>
    </row>
    <row r="10" spans="1:15" s="460" customFormat="1" ht="19.5" customHeight="1">
      <c r="A10" s="1054">
        <v>9</v>
      </c>
      <c r="B10" s="1058" t="s">
        <v>745</v>
      </c>
      <c r="C10" s="1059">
        <v>287762</v>
      </c>
      <c r="D10" s="610">
        <f>613+'[2]táj.1.'!M10</f>
        <v>984</v>
      </c>
      <c r="E10" s="1056">
        <f>2369+'[2]táj.1.'!C10</f>
        <v>2369</v>
      </c>
      <c r="F10" s="1056">
        <f>0+'[2]táj.1.'!D10</f>
        <v>0</v>
      </c>
      <c r="G10" s="1056">
        <f>0+'[2]táj.1.'!E10</f>
        <v>0</v>
      </c>
      <c r="H10" s="1057">
        <f>24540+'[2]táj.1.'!F10</f>
        <v>24540</v>
      </c>
      <c r="I10" s="1057">
        <f>0+'[2]táj.1.'!G10</f>
        <v>0</v>
      </c>
      <c r="J10" s="1057">
        <f>0+'[2]táj.1.'!H10</f>
        <v>0</v>
      </c>
      <c r="K10" s="1057">
        <f>0+'[2]táj.1.'!I10</f>
        <v>0</v>
      </c>
      <c r="L10" s="1057">
        <f>519+'[2]táj.1.'!J10</f>
        <v>519</v>
      </c>
      <c r="M10" s="1057">
        <f>260947+'[2]táj.1.'!K10</f>
        <v>261318</v>
      </c>
      <c r="N10" s="1057">
        <f>0+'[2]táj.1.'!L10</f>
        <v>0</v>
      </c>
      <c r="O10" s="1057">
        <f t="shared" si="0"/>
        <v>288746</v>
      </c>
    </row>
    <row r="11" spans="1:15" s="460" customFormat="1" ht="27" customHeight="1">
      <c r="A11" s="1054">
        <v>10</v>
      </c>
      <c r="B11" s="1058" t="s">
        <v>746</v>
      </c>
      <c r="C11" s="1060">
        <v>112025</v>
      </c>
      <c r="D11" s="610">
        <f>22332+'[2]táj.1.'!M11</f>
        <v>26944</v>
      </c>
      <c r="E11" s="1056">
        <f>24481+'[2]táj.1.'!C11</f>
        <v>25481</v>
      </c>
      <c r="F11" s="1056">
        <f>500+'[2]táj.1.'!D11</f>
        <v>500</v>
      </c>
      <c r="G11" s="1056">
        <f>0+'[2]táj.1.'!E11</f>
        <v>0</v>
      </c>
      <c r="H11" s="1057">
        <f>15700+'[2]táj.1.'!F11</f>
        <v>18610</v>
      </c>
      <c r="I11" s="1057">
        <f>0+'[2]táj.1.'!G11</f>
        <v>0</v>
      </c>
      <c r="J11" s="1057">
        <f>0+'[2]táj.1.'!H11</f>
        <v>0</v>
      </c>
      <c r="K11" s="1057">
        <f>0+'[2]táj.1.'!I11</f>
        <v>0</v>
      </c>
      <c r="L11" s="1057">
        <f>5278+'[2]táj.1.'!J11</f>
        <v>5278</v>
      </c>
      <c r="M11" s="1057">
        <f>88398+'[2]táj.1.'!K11</f>
        <v>89100</v>
      </c>
      <c r="N11" s="1057">
        <f>0+'[2]táj.1.'!L11</f>
        <v>0</v>
      </c>
      <c r="O11" s="1057">
        <f t="shared" si="0"/>
        <v>138969</v>
      </c>
    </row>
    <row r="12" spans="1:15" s="460" customFormat="1" ht="20.25" customHeight="1">
      <c r="A12" s="1054">
        <v>11</v>
      </c>
      <c r="B12" s="1058" t="s">
        <v>357</v>
      </c>
      <c r="C12" s="1059">
        <v>188141</v>
      </c>
      <c r="D12" s="610">
        <f>17928+'[2]táj.1.'!M12</f>
        <v>36680</v>
      </c>
      <c r="E12" s="1056">
        <f>2857+'[2]táj.1.'!C12</f>
        <v>20017</v>
      </c>
      <c r="F12" s="1056">
        <f>13294+'[2]táj.1.'!D12</f>
        <v>14494</v>
      </c>
      <c r="G12" s="1056">
        <f>0+'[2]táj.1.'!E12</f>
        <v>0</v>
      </c>
      <c r="H12" s="1057">
        <f>45000+'[2]táj.1.'!F12</f>
        <v>45000</v>
      </c>
      <c r="I12" s="1057">
        <f>0+'[2]táj.1.'!G12</f>
        <v>0</v>
      </c>
      <c r="J12" s="1057">
        <f>0+'[2]táj.1.'!H12</f>
        <v>0</v>
      </c>
      <c r="K12" s="1057">
        <f>0+'[2]táj.1.'!I12</f>
        <v>0</v>
      </c>
      <c r="L12" s="1057">
        <f>2440+'[2]táj.1.'!J12</f>
        <v>2440</v>
      </c>
      <c r="M12" s="1057">
        <f>142478+'[2]táj.1.'!K12</f>
        <v>142870</v>
      </c>
      <c r="N12" s="1057">
        <f>0+'[2]táj.1.'!L12</f>
        <v>0</v>
      </c>
      <c r="O12" s="1057">
        <f t="shared" si="0"/>
        <v>224821</v>
      </c>
    </row>
    <row r="13" spans="1:15" s="460" customFormat="1" ht="30" customHeight="1">
      <c r="A13" s="1054">
        <v>12</v>
      </c>
      <c r="B13" s="1058" t="s">
        <v>747</v>
      </c>
      <c r="C13" s="1060">
        <v>15555</v>
      </c>
      <c r="D13" s="610">
        <f>1895+'[2]táj.1.'!M13</f>
        <v>2274</v>
      </c>
      <c r="E13" s="1056">
        <f>1550+'[2]táj.1.'!C13</f>
        <v>1550</v>
      </c>
      <c r="F13" s="1056">
        <f>0+'[2]táj.1.'!D13</f>
        <v>0</v>
      </c>
      <c r="G13" s="1056">
        <f>0+'[2]táj.1.'!E13</f>
        <v>0</v>
      </c>
      <c r="H13" s="1057">
        <f>706+'[2]táj.1.'!F13</f>
        <v>1086</v>
      </c>
      <c r="I13" s="1057">
        <f>0+'[2]táj.1.'!G13</f>
        <v>0</v>
      </c>
      <c r="J13" s="1057">
        <f>0+'[2]táj.1.'!H13</f>
        <v>0</v>
      </c>
      <c r="K13" s="1057">
        <f>0+'[2]táj.1.'!I13</f>
        <v>0</v>
      </c>
      <c r="L13" s="1057">
        <f>1600+'[2]táj.1.'!J13</f>
        <v>1600</v>
      </c>
      <c r="M13" s="1057">
        <f>13594+'[2]táj.1.'!K13</f>
        <v>13593</v>
      </c>
      <c r="N13" s="1057">
        <f>0+'[2]táj.1.'!L13</f>
        <v>0</v>
      </c>
      <c r="O13" s="1057">
        <f t="shared" si="0"/>
        <v>17829</v>
      </c>
    </row>
    <row r="14" spans="1:15" s="460" customFormat="1" ht="26.25" customHeight="1">
      <c r="A14" s="1054">
        <v>13</v>
      </c>
      <c r="B14" s="1058" t="s">
        <v>738</v>
      </c>
      <c r="C14" s="1059">
        <v>353704</v>
      </c>
      <c r="D14" s="610">
        <f>2934+'[2]táj.1.'!M14</f>
        <v>15412</v>
      </c>
      <c r="E14" s="1056">
        <f>3310+'[2]táj.1.'!C14</f>
        <v>13146</v>
      </c>
      <c r="F14" s="1056">
        <f>0+'[2]táj.1.'!D14</f>
        <v>0</v>
      </c>
      <c r="G14" s="1056">
        <f>0+'[2]táj.1.'!E14</f>
        <v>0</v>
      </c>
      <c r="H14" s="1057">
        <f>34200+'[2]táj.1.'!F14</f>
        <v>34200</v>
      </c>
      <c r="I14" s="1057">
        <f>0+'[2]táj.1.'!G14</f>
        <v>0</v>
      </c>
      <c r="J14" s="1057">
        <f>0+'[2]táj.1.'!H14</f>
        <v>0</v>
      </c>
      <c r="K14" s="1057">
        <f>0+'[2]táj.1.'!I14</f>
        <v>0</v>
      </c>
      <c r="L14" s="1057">
        <f>9540+'[2]táj.1.'!J14</f>
        <v>9540</v>
      </c>
      <c r="M14" s="1057">
        <f>309588+'[2]táj.1.'!K14</f>
        <v>312230</v>
      </c>
      <c r="N14" s="1057">
        <f>0+'[2]táj.1.'!L14</f>
        <v>0</v>
      </c>
      <c r="O14" s="1057">
        <f t="shared" si="0"/>
        <v>369116</v>
      </c>
    </row>
    <row r="15" spans="1:15" s="460" customFormat="1" ht="16.5" customHeight="1">
      <c r="A15" s="1054">
        <v>14</v>
      </c>
      <c r="B15" s="1058" t="s">
        <v>739</v>
      </c>
      <c r="C15" s="1059">
        <v>271692</v>
      </c>
      <c r="D15" s="610">
        <f>55682+'[2]táj.1.'!M15</f>
        <v>56457</v>
      </c>
      <c r="E15" s="1056">
        <f>34509+'[2]táj.1.'!C15</f>
        <v>34909</v>
      </c>
      <c r="F15" s="1056">
        <f>29400+'[2]táj.1.'!D15</f>
        <v>29400</v>
      </c>
      <c r="G15" s="1056">
        <f>0+'[2]táj.1.'!E15</f>
        <v>0</v>
      </c>
      <c r="H15" s="1057">
        <f>119727+'[2]táj.1.'!F15</f>
        <v>119327</v>
      </c>
      <c r="I15" s="1057">
        <f>0+'[2]táj.1.'!G15</f>
        <v>400</v>
      </c>
      <c r="J15" s="1057">
        <f>394+'[2]táj.1.'!H15</f>
        <v>454</v>
      </c>
      <c r="K15" s="1057">
        <f>0+'[2]táj.1.'!I15</f>
        <v>0</v>
      </c>
      <c r="L15" s="1057">
        <f>39956+'[2]táj.1.'!J15</f>
        <v>39956</v>
      </c>
      <c r="M15" s="1057">
        <f>103388+'[2]táj.1.'!K15</f>
        <v>103703</v>
      </c>
      <c r="N15" s="1057">
        <f>0+'[2]táj.1.'!L15</f>
        <v>0</v>
      </c>
      <c r="O15" s="1057">
        <f t="shared" si="0"/>
        <v>328149</v>
      </c>
    </row>
    <row r="16" spans="1:15" s="460" customFormat="1" ht="18" customHeight="1">
      <c r="A16" s="1054">
        <v>15</v>
      </c>
      <c r="B16" s="1058" t="s">
        <v>748</v>
      </c>
      <c r="C16" s="1059">
        <v>573476</v>
      </c>
      <c r="D16" s="610">
        <f>17900+'[2]táj.1.'!M16</f>
        <v>19081</v>
      </c>
      <c r="E16" s="1056">
        <f>80+'[2]táj.1.'!C16</f>
        <v>80</v>
      </c>
      <c r="F16" s="1056">
        <f>10500+'[2]táj.1.'!D16</f>
        <v>10500</v>
      </c>
      <c r="G16" s="1056">
        <f>0+'[2]táj.1.'!E16</f>
        <v>0</v>
      </c>
      <c r="H16" s="1057">
        <f>159750+'[2]táj.1.'!F16</f>
        <v>159750</v>
      </c>
      <c r="I16" s="1057">
        <f>0+'[2]táj.1.'!G16</f>
        <v>0</v>
      </c>
      <c r="J16" s="1057">
        <f>54000+'[2]táj.1.'!H16</f>
        <v>54000</v>
      </c>
      <c r="K16" s="1057">
        <f>0+'[2]táj.1.'!I16</f>
        <v>0</v>
      </c>
      <c r="L16" s="1057">
        <f>1843+'[2]táj.1.'!J16</f>
        <v>1843</v>
      </c>
      <c r="M16" s="1057">
        <f>365203+'[2]táj.1.'!K16</f>
        <v>366384</v>
      </c>
      <c r="N16" s="1057">
        <f>0+'[2]táj.1.'!L16</f>
        <v>0</v>
      </c>
      <c r="O16" s="1057">
        <f t="shared" si="0"/>
        <v>592557</v>
      </c>
    </row>
    <row r="17" spans="1:15" s="460" customFormat="1" ht="18.75" customHeight="1">
      <c r="A17" s="1054">
        <v>16</v>
      </c>
      <c r="B17" s="1058" t="s">
        <v>749</v>
      </c>
      <c r="C17" s="1059">
        <v>102360</v>
      </c>
      <c r="D17" s="610">
        <f>1989+'[2]táj.1.'!M17</f>
        <v>2356</v>
      </c>
      <c r="E17" s="1056">
        <f>0+'[2]táj.1.'!C17</f>
        <v>0</v>
      </c>
      <c r="F17" s="1056">
        <f>0+'[2]táj.1.'!D17</f>
        <v>0</v>
      </c>
      <c r="G17" s="1056">
        <f>0+'[2]táj.1.'!E17</f>
        <v>0</v>
      </c>
      <c r="H17" s="1057">
        <f>16805+'[2]táj.1.'!F17</f>
        <v>16805</v>
      </c>
      <c r="I17" s="1057">
        <f>0+'[2]táj.1.'!G17</f>
        <v>0</v>
      </c>
      <c r="J17" s="1057">
        <f>5600+'[2]táj.1.'!H17</f>
        <v>5600</v>
      </c>
      <c r="K17" s="1057">
        <f>0+'[2]táj.1.'!I17</f>
        <v>0</v>
      </c>
      <c r="L17" s="1057">
        <f>5039+'[2]táj.1.'!J17</f>
        <v>5039</v>
      </c>
      <c r="M17" s="1057">
        <f>76905+'[2]táj.1.'!K17</f>
        <v>77272</v>
      </c>
      <c r="N17" s="1057">
        <f>0+'[2]táj.1.'!L17</f>
        <v>0</v>
      </c>
      <c r="O17" s="1057">
        <f t="shared" si="0"/>
        <v>104716</v>
      </c>
    </row>
    <row r="18" spans="1:15" s="460" customFormat="1" ht="31.5" customHeight="1">
      <c r="A18" s="1054">
        <v>17</v>
      </c>
      <c r="B18" s="1058" t="s">
        <v>750</v>
      </c>
      <c r="C18" s="1059">
        <v>110370</v>
      </c>
      <c r="D18" s="610">
        <f>6198+'[2]táj.1.'!M18</f>
        <v>6183</v>
      </c>
      <c r="E18" s="1056">
        <f>0+'[2]táj.1.'!C18</f>
        <v>0</v>
      </c>
      <c r="F18" s="1056">
        <f>0+'[2]táj.1.'!D18</f>
        <v>0</v>
      </c>
      <c r="G18" s="1056">
        <f>0+'[2]táj.1.'!E18</f>
        <v>0</v>
      </c>
      <c r="H18" s="1057">
        <f>8881+'[2]táj.1.'!F18</f>
        <v>8881</v>
      </c>
      <c r="I18" s="1057">
        <f>0+'[2]táj.1.'!G18</f>
        <v>0</v>
      </c>
      <c r="J18" s="1057">
        <f>0+'[2]táj.1.'!H18</f>
        <v>0</v>
      </c>
      <c r="K18" s="1057">
        <f>0+'[2]táj.1.'!I18</f>
        <v>0</v>
      </c>
      <c r="L18" s="1057">
        <f>22611+'[2]táj.1.'!J18</f>
        <v>22611</v>
      </c>
      <c r="M18" s="1057">
        <f>85076+'[2]táj.1.'!K18</f>
        <v>85061</v>
      </c>
      <c r="N18" s="1057">
        <f>0+'[2]táj.1.'!L18</f>
        <v>0</v>
      </c>
      <c r="O18" s="1057">
        <f t="shared" si="0"/>
        <v>116553</v>
      </c>
    </row>
    <row r="19" spans="1:15" s="460" customFormat="1" ht="18.75" customHeight="1">
      <c r="A19" s="1054">
        <v>18</v>
      </c>
      <c r="B19" s="1061" t="s">
        <v>1644</v>
      </c>
      <c r="C19" s="1062">
        <v>90900</v>
      </c>
      <c r="D19" s="610">
        <f>13313+'[2]táj.1.'!M19</f>
        <v>13641</v>
      </c>
      <c r="E19" s="1056">
        <f>250+'[2]táj.1.'!C19</f>
        <v>250</v>
      </c>
      <c r="F19" s="1056">
        <f>0+'[2]táj.1.'!D19</f>
        <v>0</v>
      </c>
      <c r="G19" s="1056">
        <f>0+'[2]táj.1.'!E19</f>
        <v>0</v>
      </c>
      <c r="H19" s="1057">
        <f>91800+'[2]táj.1.'!F19</f>
        <v>92100</v>
      </c>
      <c r="I19" s="1057">
        <f>0+'[2]táj.1.'!G19</f>
        <v>0</v>
      </c>
      <c r="J19" s="1057">
        <f>0+'[2]táj.1.'!H19</f>
        <v>0</v>
      </c>
      <c r="K19" s="1057">
        <f>0+'[2]táj.1.'!I19</f>
        <v>0</v>
      </c>
      <c r="L19" s="1057">
        <f>12028+'[2]táj.1.'!J19</f>
        <v>12028</v>
      </c>
      <c r="M19" s="1057">
        <f>135+'[2]táj.1.'!K19</f>
        <v>163</v>
      </c>
      <c r="N19" s="1057">
        <f>0+'[2]táj.1.'!L19</f>
        <v>0</v>
      </c>
      <c r="O19" s="1057">
        <f t="shared" si="0"/>
        <v>104541</v>
      </c>
    </row>
    <row r="20" spans="1:15" s="460" customFormat="1" ht="24" customHeight="1">
      <c r="A20" s="1063"/>
      <c r="B20" s="1064" t="s">
        <v>751</v>
      </c>
      <c r="C20" s="1065">
        <f aca="true" t="shared" si="1" ref="C20:O20">SUM(C3:C19)</f>
        <v>6266208</v>
      </c>
      <c r="D20" s="1065">
        <f t="shared" si="1"/>
        <v>400142</v>
      </c>
      <c r="E20" s="1065">
        <f t="shared" si="1"/>
        <v>422790</v>
      </c>
      <c r="F20" s="1065">
        <f t="shared" si="1"/>
        <v>79076</v>
      </c>
      <c r="G20" s="1065">
        <f t="shared" si="1"/>
        <v>0</v>
      </c>
      <c r="H20" s="1065">
        <f t="shared" si="1"/>
        <v>1135780</v>
      </c>
      <c r="I20" s="1065">
        <f t="shared" si="1"/>
        <v>400</v>
      </c>
      <c r="J20" s="1065">
        <f t="shared" si="1"/>
        <v>60054</v>
      </c>
      <c r="K20" s="1065">
        <f t="shared" si="1"/>
        <v>0</v>
      </c>
      <c r="L20" s="1065">
        <f t="shared" si="1"/>
        <v>350508</v>
      </c>
      <c r="M20" s="1065">
        <f t="shared" si="1"/>
        <v>4617742</v>
      </c>
      <c r="N20" s="1065">
        <f t="shared" si="1"/>
        <v>0</v>
      </c>
      <c r="O20" s="1065">
        <f t="shared" si="1"/>
        <v>6666350</v>
      </c>
    </row>
    <row r="21" s="460" customFormat="1" ht="12.75">
      <c r="A21" s="461"/>
    </row>
    <row r="22" s="460" customFormat="1" ht="12.75">
      <c r="A22" s="461"/>
    </row>
    <row r="23" s="460" customFormat="1" ht="12.75">
      <c r="A23" s="461"/>
    </row>
    <row r="24" s="460" customFormat="1" ht="12.75">
      <c r="A24" s="461"/>
    </row>
    <row r="25" s="460" customFormat="1" ht="12.75">
      <c r="A25" s="461"/>
    </row>
    <row r="26" s="460" customFormat="1" ht="12.75">
      <c r="A26" s="461"/>
    </row>
    <row r="27" s="460" customFormat="1" ht="12.75">
      <c r="A27" s="461"/>
    </row>
    <row r="28" s="460" customFormat="1" ht="12.75">
      <c r="A28" s="461"/>
    </row>
    <row r="29" s="460" customFormat="1" ht="12.75">
      <c r="A29" s="461"/>
    </row>
    <row r="30" s="460" customFormat="1" ht="12.75">
      <c r="A30" s="461"/>
    </row>
    <row r="31" s="460" customFormat="1" ht="12.75">
      <c r="A31" s="461"/>
    </row>
    <row r="32" s="460" customFormat="1" ht="12.75">
      <c r="A32" s="461"/>
    </row>
    <row r="33" s="460" customFormat="1" ht="12.75">
      <c r="A33" s="461"/>
    </row>
    <row r="34" s="460" customFormat="1" ht="12.75">
      <c r="A34" s="461"/>
    </row>
    <row r="35" s="460" customFormat="1" ht="12.75">
      <c r="A35" s="461"/>
    </row>
    <row r="36" s="460" customFormat="1" ht="12.75">
      <c r="A36" s="461"/>
    </row>
    <row r="37" s="460" customFormat="1" ht="12.75">
      <c r="A37" s="461"/>
    </row>
    <row r="38" s="460" customFormat="1" ht="12.75">
      <c r="A38" s="461"/>
    </row>
    <row r="39" s="460" customFormat="1" ht="12.75">
      <c r="A39" s="461"/>
    </row>
    <row r="40" s="460" customFormat="1" ht="12.75">
      <c r="A40" s="461"/>
    </row>
    <row r="41" s="460" customFormat="1" ht="12.75">
      <c r="A41" s="461"/>
    </row>
    <row r="42" s="460" customFormat="1" ht="12.75">
      <c r="A42" s="461"/>
    </row>
    <row r="43" s="460" customFormat="1" ht="12.75">
      <c r="A43" s="461"/>
    </row>
    <row r="44" s="460" customFormat="1" ht="12.75">
      <c r="A44" s="461"/>
    </row>
    <row r="45" s="460" customFormat="1" ht="12.75">
      <c r="A45" s="461"/>
    </row>
    <row r="46" s="460" customFormat="1" ht="12.75">
      <c r="A46" s="461"/>
    </row>
    <row r="47" s="460" customFormat="1" ht="12.75">
      <c r="A47" s="461"/>
    </row>
    <row r="48" s="460" customFormat="1" ht="12.75">
      <c r="A48" s="461"/>
    </row>
    <row r="49" s="460" customFormat="1" ht="12.75">
      <c r="A49" s="461"/>
    </row>
    <row r="50" s="460" customFormat="1" ht="12.75">
      <c r="A50" s="461"/>
    </row>
    <row r="51" s="460" customFormat="1" ht="12.75">
      <c r="A51" s="461"/>
    </row>
    <row r="52" s="460" customFormat="1" ht="12.75">
      <c r="A52" s="461"/>
    </row>
    <row r="53" s="460" customFormat="1" ht="12.75">
      <c r="A53" s="461"/>
    </row>
    <row r="54" s="460" customFormat="1" ht="12.75">
      <c r="A54" s="461"/>
    </row>
    <row r="55" s="460" customFormat="1" ht="12.75">
      <c r="A55" s="461"/>
    </row>
    <row r="56" s="460" customFormat="1" ht="12.75">
      <c r="A56" s="461"/>
    </row>
    <row r="57" s="460" customFormat="1" ht="12.75">
      <c r="A57" s="461"/>
    </row>
    <row r="58" s="460" customFormat="1" ht="12.75">
      <c r="A58" s="461"/>
    </row>
    <row r="59" s="460" customFormat="1" ht="12.75">
      <c r="A59" s="461"/>
    </row>
    <row r="60" s="460" customFormat="1" ht="12.75">
      <c r="A60" s="461"/>
    </row>
    <row r="61" s="460" customFormat="1" ht="12.75">
      <c r="A61" s="461"/>
    </row>
    <row r="62" s="460" customFormat="1" ht="12.75">
      <c r="A62" s="461"/>
    </row>
    <row r="63" s="460" customFormat="1" ht="12.75">
      <c r="A63" s="461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C7">
      <selection activeCell="O1" sqref="O1:P16384"/>
    </sheetView>
  </sheetViews>
  <sheetFormatPr defaultColWidth="9.00390625" defaultRowHeight="12.75"/>
  <cols>
    <col min="1" max="1" width="4.00390625" style="462" customWidth="1"/>
    <col min="2" max="2" width="37.00390625" style="459" customWidth="1"/>
    <col min="3" max="3" width="12.00390625" style="459" customWidth="1"/>
    <col min="4" max="4" width="12.50390625" style="459" customWidth="1"/>
    <col min="5" max="5" width="12.625" style="459" customWidth="1"/>
    <col min="6" max="6" width="13.125" style="459" customWidth="1"/>
    <col min="7" max="7" width="11.875" style="459" customWidth="1"/>
    <col min="8" max="8" width="9.625" style="459" customWidth="1"/>
    <col min="9" max="9" width="11.50390625" style="459" customWidth="1"/>
    <col min="10" max="10" width="13.125" style="459" customWidth="1"/>
    <col min="11" max="12" width="12.50390625" style="459" customWidth="1"/>
    <col min="13" max="13" width="11.125" style="459" customWidth="1"/>
    <col min="14" max="14" width="12.875" style="459" customWidth="1"/>
    <col min="15" max="16384" width="9.375" style="459" customWidth="1"/>
  </cols>
  <sheetData>
    <row r="1" spans="1:14" ht="14.25" customHeight="1">
      <c r="A1" s="1474" t="s">
        <v>803</v>
      </c>
      <c r="B1" s="1474" t="s">
        <v>854</v>
      </c>
      <c r="C1" s="1477" t="s">
        <v>855</v>
      </c>
      <c r="D1" s="1477" t="s">
        <v>786</v>
      </c>
      <c r="E1" s="1474" t="s">
        <v>1359</v>
      </c>
      <c r="F1" s="1479"/>
      <c r="G1" s="1479"/>
      <c r="H1" s="1479"/>
      <c r="I1" s="1479"/>
      <c r="J1" s="1479"/>
      <c r="K1" s="1479"/>
      <c r="L1" s="1479"/>
      <c r="M1" s="1480" t="s">
        <v>1358</v>
      </c>
      <c r="N1" s="1480" t="s">
        <v>1613</v>
      </c>
    </row>
    <row r="2" spans="1:14" ht="82.5" customHeight="1">
      <c r="A2" s="1475"/>
      <c r="B2" s="1475"/>
      <c r="C2" s="1478"/>
      <c r="D2" s="1478"/>
      <c r="E2" s="1053" t="s">
        <v>50</v>
      </c>
      <c r="F2" s="1053" t="s">
        <v>857</v>
      </c>
      <c r="G2" s="1053" t="s">
        <v>1646</v>
      </c>
      <c r="H2" s="1053" t="s">
        <v>775</v>
      </c>
      <c r="I2" s="1053" t="s">
        <v>1031</v>
      </c>
      <c r="J2" s="1053" t="s">
        <v>1015</v>
      </c>
      <c r="K2" s="1053" t="s">
        <v>1014</v>
      </c>
      <c r="L2" s="1053" t="s">
        <v>1161</v>
      </c>
      <c r="M2" s="1481"/>
      <c r="N2" s="1481"/>
    </row>
    <row r="3" spans="1:14" ht="15" customHeight="1">
      <c r="A3" s="1054">
        <v>2</v>
      </c>
      <c r="B3" s="1055" t="s">
        <v>1349</v>
      </c>
      <c r="C3" s="610">
        <v>1237075</v>
      </c>
      <c r="D3" s="610">
        <f>61764+'[2]táj.2.'!L3</f>
        <v>69399</v>
      </c>
      <c r="E3" s="1056">
        <f>782735+'[2]táj.2.'!C3</f>
        <v>788374</v>
      </c>
      <c r="F3" s="1056">
        <f>214550+'[2]táj.2.'!D3</f>
        <v>215800</v>
      </c>
      <c r="G3" s="1056">
        <f>246412+'[2]táj.2.'!E3</f>
        <v>247029</v>
      </c>
      <c r="H3" s="1057">
        <f>0+'[2]táj.2.'!F3</f>
        <v>0</v>
      </c>
      <c r="I3" s="1057">
        <f>0+'[2]táj.2.'!G3</f>
        <v>129</v>
      </c>
      <c r="J3" s="1057">
        <f>35513+'[2]táj.2.'!H3</f>
        <v>35513</v>
      </c>
      <c r="K3" s="1057">
        <f>19629+'[2]táj.2.'!I3</f>
        <v>19629</v>
      </c>
      <c r="L3" s="1057">
        <f>0+'[2]táj.2.'!J3</f>
        <v>0</v>
      </c>
      <c r="M3" s="1057">
        <f>0+'[2]táj.2.'!K3</f>
        <v>0</v>
      </c>
      <c r="N3" s="1057">
        <f aca="true" t="shared" si="0" ref="N3:N19">SUM(E3:M3)</f>
        <v>1306474</v>
      </c>
    </row>
    <row r="4" spans="1:14" s="460" customFormat="1" ht="22.5" customHeight="1">
      <c r="A4" s="1054">
        <v>3</v>
      </c>
      <c r="B4" s="1055" t="s">
        <v>1238</v>
      </c>
      <c r="C4" s="610">
        <v>1361767</v>
      </c>
      <c r="D4" s="610">
        <f>19713+'[2]táj.2.'!L4</f>
        <v>23035</v>
      </c>
      <c r="E4" s="1056">
        <f>301644+'[2]táj.2.'!C4</f>
        <v>302579</v>
      </c>
      <c r="F4" s="1056">
        <f>82018+'[2]táj.2.'!D4</f>
        <v>80505</v>
      </c>
      <c r="G4" s="1056">
        <f>979852+'[2]táj.2.'!E4</f>
        <v>980752</v>
      </c>
      <c r="H4" s="1057">
        <f>0+'[2]táj.2.'!F4</f>
        <v>0</v>
      </c>
      <c r="I4" s="1057">
        <f>4966+'[2]táj.2.'!G4</f>
        <v>5966</v>
      </c>
      <c r="J4" s="1057">
        <f>3000+'[2]táj.2.'!H4</f>
        <v>5000</v>
      </c>
      <c r="K4" s="1057">
        <f>10000+'[2]táj.2.'!I4</f>
        <v>10000</v>
      </c>
      <c r="L4" s="1057">
        <f>0+'[2]táj.2.'!J4</f>
        <v>0</v>
      </c>
      <c r="M4" s="1057">
        <f>0+'[2]táj.2.'!K4</f>
        <v>0</v>
      </c>
      <c r="N4" s="1057">
        <f t="shared" si="0"/>
        <v>1384802</v>
      </c>
    </row>
    <row r="5" spans="1:14" s="460" customFormat="1" ht="19.5" customHeight="1">
      <c r="A5" s="1054">
        <v>4</v>
      </c>
      <c r="B5" s="1055" t="s">
        <v>740</v>
      </c>
      <c r="C5" s="610">
        <v>362804</v>
      </c>
      <c r="D5" s="610">
        <f>13419+'[2]táj.2.'!L5</f>
        <v>29003</v>
      </c>
      <c r="E5" s="1056">
        <f>209425+'[2]táj.2.'!C5</f>
        <v>210252</v>
      </c>
      <c r="F5" s="1056">
        <f>55689+'[2]táj.2.'!D5</f>
        <v>55246</v>
      </c>
      <c r="G5" s="1056">
        <f>109595+'[2]táj.2.'!E5</f>
        <v>109745</v>
      </c>
      <c r="H5" s="1057">
        <f>0+'[2]táj.2.'!F5</f>
        <v>0</v>
      </c>
      <c r="I5" s="1057">
        <f>332+'[2]táj.2.'!G5</f>
        <v>382</v>
      </c>
      <c r="J5" s="1057">
        <f>682+'[2]táj.2.'!H5</f>
        <v>8524</v>
      </c>
      <c r="K5" s="1057">
        <f>500+'[2]táj.2.'!I5</f>
        <v>7658</v>
      </c>
      <c r="L5" s="1057">
        <f>0+'[2]táj.2.'!J5</f>
        <v>0</v>
      </c>
      <c r="M5" s="1057">
        <f>0+'[2]táj.2.'!K5</f>
        <v>0</v>
      </c>
      <c r="N5" s="1057">
        <f t="shared" si="0"/>
        <v>391807</v>
      </c>
    </row>
    <row r="6" spans="1:14" s="460" customFormat="1" ht="15" customHeight="1">
      <c r="A6" s="1054">
        <v>5</v>
      </c>
      <c r="B6" s="1066" t="s">
        <v>741</v>
      </c>
      <c r="C6" s="1059">
        <v>316218</v>
      </c>
      <c r="D6" s="610">
        <f>93339+'[2]táj.2.'!L6</f>
        <v>94038</v>
      </c>
      <c r="E6" s="1056">
        <f>152432+'[2]táj.2.'!C6</f>
        <v>152830</v>
      </c>
      <c r="F6" s="1056">
        <f>45232+'[2]táj.2.'!D6</f>
        <v>45233</v>
      </c>
      <c r="G6" s="1056">
        <f>204259+'[2]táj.2.'!E6</f>
        <v>204259</v>
      </c>
      <c r="H6" s="1057">
        <f>0+'[2]táj.2.'!F6</f>
        <v>0</v>
      </c>
      <c r="I6" s="1057">
        <f>0+'[2]táj.2.'!G6</f>
        <v>0</v>
      </c>
      <c r="J6" s="1057">
        <f>5134+'[2]táj.2.'!H6</f>
        <v>5434</v>
      </c>
      <c r="K6" s="1057">
        <f>2500+'[2]táj.2.'!I6</f>
        <v>2500</v>
      </c>
      <c r="L6" s="1057">
        <f>0+'[2]táj.2.'!J6</f>
        <v>0</v>
      </c>
      <c r="M6" s="1057">
        <f>0+'[2]táj.2.'!K6</f>
        <v>0</v>
      </c>
      <c r="N6" s="1057">
        <f t="shared" si="0"/>
        <v>410256</v>
      </c>
    </row>
    <row r="7" spans="1:14" s="460" customFormat="1" ht="15.75" customHeight="1">
      <c r="A7" s="1054">
        <v>6</v>
      </c>
      <c r="B7" s="1066" t="s">
        <v>742</v>
      </c>
      <c r="C7" s="1059">
        <v>310239</v>
      </c>
      <c r="D7" s="610">
        <f>999+'[2]táj.2.'!L7</f>
        <v>1437</v>
      </c>
      <c r="E7" s="1056">
        <f>178481+'[2]táj.2.'!C7</f>
        <v>178580</v>
      </c>
      <c r="F7" s="1056">
        <f>50690+'[2]táj.2.'!D7</f>
        <v>50629</v>
      </c>
      <c r="G7" s="1056">
        <f>81967+'[2]táj.2.'!E7</f>
        <v>82117</v>
      </c>
      <c r="H7" s="1057">
        <f>0+'[2]táj.2.'!F7</f>
        <v>0</v>
      </c>
      <c r="I7" s="1057">
        <f>0+'[2]táj.2.'!G7</f>
        <v>50</v>
      </c>
      <c r="J7" s="1057">
        <f>100+'[2]táj.2.'!H7</f>
        <v>300</v>
      </c>
      <c r="K7" s="1057">
        <f>0+'[2]táj.2.'!I7</f>
        <v>0</v>
      </c>
      <c r="L7" s="1057">
        <f>0+'[2]táj.2.'!J7</f>
        <v>0</v>
      </c>
      <c r="M7" s="1057">
        <f>0+'[2]táj.2.'!K7</f>
        <v>0</v>
      </c>
      <c r="N7" s="1057">
        <f t="shared" si="0"/>
        <v>311676</v>
      </c>
    </row>
    <row r="8" spans="1:14" s="460" customFormat="1" ht="17.25" customHeight="1">
      <c r="A8" s="1054">
        <v>7</v>
      </c>
      <c r="B8" s="1066" t="s">
        <v>743</v>
      </c>
      <c r="C8" s="1059">
        <v>288134</v>
      </c>
      <c r="D8" s="610">
        <f>1345+'[2]táj.2.'!L8</f>
        <v>1681</v>
      </c>
      <c r="E8" s="1056">
        <f>167606+'[2]táj.2.'!C8</f>
        <v>167701</v>
      </c>
      <c r="F8" s="1056">
        <f>47225+'[2]táj.2.'!D8</f>
        <v>47066</v>
      </c>
      <c r="G8" s="1056">
        <f>74548+'[2]táj.2.'!E8</f>
        <v>74698</v>
      </c>
      <c r="H8" s="1057">
        <f>0+'[2]táj.2.'!F8</f>
        <v>0</v>
      </c>
      <c r="I8" s="1057">
        <f>0+'[2]táj.2.'!G8</f>
        <v>50</v>
      </c>
      <c r="J8" s="1057">
        <f>100+'[2]táj.2.'!H8</f>
        <v>300</v>
      </c>
      <c r="K8" s="1057">
        <f>0+'[2]táj.2.'!I8</f>
        <v>0</v>
      </c>
      <c r="L8" s="1057">
        <f>0+'[2]táj.2.'!J8</f>
        <v>0</v>
      </c>
      <c r="M8" s="1057">
        <f>0+'[2]táj.2.'!K8</f>
        <v>0</v>
      </c>
      <c r="N8" s="1057">
        <f t="shared" si="0"/>
        <v>289815</v>
      </c>
    </row>
    <row r="9" spans="1:14" s="460" customFormat="1" ht="15" customHeight="1">
      <c r="A9" s="1054">
        <v>8</v>
      </c>
      <c r="B9" s="1066" t="s">
        <v>744</v>
      </c>
      <c r="C9" s="1059">
        <v>283986</v>
      </c>
      <c r="D9" s="610">
        <f>1174+'[2]táj.2.'!L9</f>
        <v>1537</v>
      </c>
      <c r="E9" s="1056">
        <f>168185+'[2]táj.2.'!C9</f>
        <v>168349</v>
      </c>
      <c r="F9" s="1056">
        <f>47942+'[2]táj.2.'!D9</f>
        <v>47841</v>
      </c>
      <c r="G9" s="1056">
        <f>68933+'[2]táj.2.'!E9</f>
        <v>69083</v>
      </c>
      <c r="H9" s="1057">
        <f>0+'[2]táj.2.'!F9</f>
        <v>0</v>
      </c>
      <c r="I9" s="1057">
        <f>0+'[2]táj.2.'!G9</f>
        <v>50</v>
      </c>
      <c r="J9" s="1057">
        <f>100+'[2]táj.2.'!H9</f>
        <v>200</v>
      </c>
      <c r="K9" s="1057">
        <f>0+'[2]táj.2.'!I9</f>
        <v>0</v>
      </c>
      <c r="L9" s="1057">
        <f>0+'[2]táj.2.'!J9</f>
        <v>0</v>
      </c>
      <c r="M9" s="1057">
        <f>0+'[2]táj.2.'!K9</f>
        <v>0</v>
      </c>
      <c r="N9" s="1057">
        <f t="shared" si="0"/>
        <v>285523</v>
      </c>
    </row>
    <row r="10" spans="1:14" s="460" customFormat="1" ht="19.5" customHeight="1">
      <c r="A10" s="1054">
        <v>9</v>
      </c>
      <c r="B10" s="1066" t="s">
        <v>745</v>
      </c>
      <c r="C10" s="1059">
        <v>287762</v>
      </c>
      <c r="D10" s="610">
        <f>613+'[2]táj.2.'!L10</f>
        <v>984</v>
      </c>
      <c r="E10" s="1056">
        <f>172471+'[2]táj.2.'!C10</f>
        <v>172556</v>
      </c>
      <c r="F10" s="1056">
        <f>49171+'[2]táj.2.'!D10</f>
        <v>49107</v>
      </c>
      <c r="G10" s="1056">
        <f>66633+'[2]táj.2.'!E10</f>
        <v>66733</v>
      </c>
      <c r="H10" s="1057">
        <f>0+'[2]táj.2.'!F10</f>
        <v>0</v>
      </c>
      <c r="I10" s="1057">
        <f>0+'[2]táj.2.'!G10</f>
        <v>50</v>
      </c>
      <c r="J10" s="1057">
        <f>100+'[2]táj.2.'!H10</f>
        <v>300</v>
      </c>
      <c r="K10" s="1057">
        <f>0+'[2]táj.2.'!I10</f>
        <v>0</v>
      </c>
      <c r="L10" s="1057">
        <f>0+'[2]táj.2.'!J10</f>
        <v>0</v>
      </c>
      <c r="M10" s="1057">
        <f>0+'[2]táj.2.'!K10</f>
        <v>0</v>
      </c>
      <c r="N10" s="1057">
        <f t="shared" si="0"/>
        <v>288746</v>
      </c>
    </row>
    <row r="11" spans="1:14" s="460" customFormat="1" ht="27" customHeight="1">
      <c r="A11" s="1054">
        <v>10</v>
      </c>
      <c r="B11" s="1058" t="s">
        <v>746</v>
      </c>
      <c r="C11" s="1060">
        <v>112025</v>
      </c>
      <c r="D11" s="610">
        <f>22332+'[2]táj.2.'!L11</f>
        <v>26944</v>
      </c>
      <c r="E11" s="1056">
        <f>56632+'[2]táj.2.'!C11</f>
        <v>57290</v>
      </c>
      <c r="F11" s="1056">
        <f>14707+'[2]táj.2.'!D11</f>
        <v>14817</v>
      </c>
      <c r="G11" s="1056">
        <f>47993+'[2]táj.2.'!E11</f>
        <v>50567</v>
      </c>
      <c r="H11" s="1057">
        <f>0+'[2]táj.2.'!F11</f>
        <v>0</v>
      </c>
      <c r="I11" s="1057">
        <f>14525+'[2]táj.2.'!G11</f>
        <v>14525</v>
      </c>
      <c r="J11" s="1057">
        <f>500+'[2]táj.2.'!H11</f>
        <v>500</v>
      </c>
      <c r="K11" s="1057">
        <f>0+'[2]táj.2.'!I11</f>
        <v>1270</v>
      </c>
      <c r="L11" s="1057">
        <f>0+'[2]táj.2.'!J11</f>
        <v>0</v>
      </c>
      <c r="M11" s="1057">
        <f>0+'[2]táj.2.'!K11</f>
        <v>0</v>
      </c>
      <c r="N11" s="1057">
        <f t="shared" si="0"/>
        <v>138969</v>
      </c>
    </row>
    <row r="12" spans="1:14" s="460" customFormat="1" ht="20.25" customHeight="1">
      <c r="A12" s="1054">
        <v>11</v>
      </c>
      <c r="B12" s="1066" t="s">
        <v>357</v>
      </c>
      <c r="C12" s="1059">
        <v>188141</v>
      </c>
      <c r="D12" s="610">
        <f>17928+'[2]táj.2.'!L12</f>
        <v>36680</v>
      </c>
      <c r="E12" s="1056">
        <f>96682+'[2]táj.2.'!C12</f>
        <v>100608</v>
      </c>
      <c r="F12" s="1056">
        <f>24136+'[2]táj.2.'!D12</f>
        <v>24941</v>
      </c>
      <c r="G12" s="1056">
        <f>67587+'[2]táj.2.'!E12</f>
        <v>81108</v>
      </c>
      <c r="H12" s="1057">
        <f>0+'[2]táj.2.'!F12</f>
        <v>0</v>
      </c>
      <c r="I12" s="1057">
        <f>0+'[2]táj.2.'!G12</f>
        <v>0</v>
      </c>
      <c r="J12" s="1057">
        <f>16764+'[2]táj.2.'!H12</f>
        <v>18164</v>
      </c>
      <c r="K12" s="1057">
        <f>900+'[2]táj.2.'!I12</f>
        <v>0</v>
      </c>
      <c r="L12" s="1057">
        <f>0+'[2]táj.2.'!J12</f>
        <v>0</v>
      </c>
      <c r="M12" s="1057">
        <f>0+'[2]táj.2.'!K12</f>
        <v>0</v>
      </c>
      <c r="N12" s="1057">
        <f t="shared" si="0"/>
        <v>224821</v>
      </c>
    </row>
    <row r="13" spans="1:14" s="460" customFormat="1" ht="30" customHeight="1">
      <c r="A13" s="1054">
        <v>12</v>
      </c>
      <c r="B13" s="1058" t="s">
        <v>747</v>
      </c>
      <c r="C13" s="1060">
        <v>15555</v>
      </c>
      <c r="D13" s="610">
        <f>1895+'[2]táj.2.'!L13</f>
        <v>2274</v>
      </c>
      <c r="E13" s="1056">
        <f>9894+'[2]táj.2.'!C13</f>
        <v>9997</v>
      </c>
      <c r="F13" s="1056">
        <f>2531+'[2]táj.2.'!D13</f>
        <v>2549</v>
      </c>
      <c r="G13" s="1056">
        <f>5025+'[2]táj.2.'!E13</f>
        <v>5083</v>
      </c>
      <c r="H13" s="1057">
        <f>0+'[2]táj.2.'!F13</f>
        <v>0</v>
      </c>
      <c r="I13" s="1057">
        <f>0+'[2]táj.2.'!G13</f>
        <v>0</v>
      </c>
      <c r="J13" s="1057">
        <f>0+'[2]táj.2.'!H13</f>
        <v>200</v>
      </c>
      <c r="K13" s="1057">
        <f>0+'[2]táj.2.'!I13</f>
        <v>0</v>
      </c>
      <c r="L13" s="1057">
        <f>0+'[2]táj.2.'!J13</f>
        <v>0</v>
      </c>
      <c r="M13" s="1057">
        <f>0+'[2]táj.2.'!K13</f>
        <v>0</v>
      </c>
      <c r="N13" s="1057">
        <f t="shared" si="0"/>
        <v>17829</v>
      </c>
    </row>
    <row r="14" spans="1:14" s="460" customFormat="1" ht="16.5" customHeight="1">
      <c r="A14" s="1054">
        <v>13</v>
      </c>
      <c r="B14" s="1066" t="s">
        <v>738</v>
      </c>
      <c r="C14" s="1059">
        <v>353704</v>
      </c>
      <c r="D14" s="610">
        <f>2934+'[2]táj.2.'!L14</f>
        <v>15412</v>
      </c>
      <c r="E14" s="1056">
        <f>136270+'[2]táj.2.'!C14</f>
        <v>138993</v>
      </c>
      <c r="F14" s="1056">
        <f>35079+'[2]táj.2.'!D14</f>
        <v>35629</v>
      </c>
      <c r="G14" s="1056">
        <f>159289+'[2]táj.2.'!E14</f>
        <v>143494</v>
      </c>
      <c r="H14" s="1057">
        <f>0+'[2]táj.2.'!F14</f>
        <v>0</v>
      </c>
      <c r="I14" s="1057">
        <f>16000+'[2]táj.2.'!G14</f>
        <v>16000</v>
      </c>
      <c r="J14" s="1057">
        <f>10000+'[2]táj.2.'!H14</f>
        <v>35000</v>
      </c>
      <c r="K14" s="1057">
        <f>0+'[2]táj.2.'!I14</f>
        <v>0</v>
      </c>
      <c r="L14" s="1057">
        <f>0+'[2]táj.2.'!J14</f>
        <v>0</v>
      </c>
      <c r="M14" s="1057">
        <f>0+'[2]táj.2.'!K14</f>
        <v>0</v>
      </c>
      <c r="N14" s="1057">
        <f t="shared" si="0"/>
        <v>369116</v>
      </c>
    </row>
    <row r="15" spans="1:14" s="460" customFormat="1" ht="16.5" customHeight="1">
      <c r="A15" s="1054">
        <v>14</v>
      </c>
      <c r="B15" s="1066" t="s">
        <v>739</v>
      </c>
      <c r="C15" s="1059">
        <v>271692</v>
      </c>
      <c r="D15" s="610">
        <f>55682+'[2]táj.2.'!L15</f>
        <v>56457</v>
      </c>
      <c r="E15" s="1056">
        <f>117818+'[2]táj.2.'!C15</f>
        <v>117987</v>
      </c>
      <c r="F15" s="1056">
        <f>30756+'[2]táj.2.'!D15</f>
        <v>30802</v>
      </c>
      <c r="G15" s="1056">
        <f>116354+'[2]táj.2.'!E15</f>
        <v>116914</v>
      </c>
      <c r="H15" s="1057">
        <f>0+'[2]táj.2.'!F15</f>
        <v>0</v>
      </c>
      <c r="I15" s="1057">
        <f>3650+'[2]táj.2.'!G15</f>
        <v>3650</v>
      </c>
      <c r="J15" s="1057">
        <f>29445+'[2]táj.2.'!H15</f>
        <v>29445</v>
      </c>
      <c r="K15" s="1057">
        <f>29351+'[2]táj.2.'!I15</f>
        <v>29351</v>
      </c>
      <c r="L15" s="1057">
        <f>0+'[2]táj.2.'!J15</f>
        <v>0</v>
      </c>
      <c r="M15" s="1057">
        <f>0+'[2]táj.2.'!K15</f>
        <v>0</v>
      </c>
      <c r="N15" s="1057">
        <f t="shared" si="0"/>
        <v>328149</v>
      </c>
    </row>
    <row r="16" spans="1:14" s="460" customFormat="1" ht="18" customHeight="1">
      <c r="A16" s="1054">
        <v>15</v>
      </c>
      <c r="B16" s="1066" t="s">
        <v>748</v>
      </c>
      <c r="C16" s="1059">
        <v>573476</v>
      </c>
      <c r="D16" s="610">
        <f>17900+'[2]táj.2.'!L16</f>
        <v>19081</v>
      </c>
      <c r="E16" s="1056">
        <f>287723+'[2]táj.2.'!C16</f>
        <v>288416</v>
      </c>
      <c r="F16" s="1056">
        <f>72328+'[2]táj.2.'!D16</f>
        <v>72516</v>
      </c>
      <c r="G16" s="1056">
        <f>218466+'[2]táj.2.'!E16</f>
        <v>218766</v>
      </c>
      <c r="H16" s="1057">
        <f>0+'[2]táj.2.'!F16</f>
        <v>0</v>
      </c>
      <c r="I16" s="1057">
        <f>2359+'[2]táj.2.'!G16</f>
        <v>2359</v>
      </c>
      <c r="J16" s="1057">
        <f>3625+'[2]táj.2.'!H16</f>
        <v>3625</v>
      </c>
      <c r="K16" s="1057">
        <f>6875+'[2]táj.2.'!I16</f>
        <v>6875</v>
      </c>
      <c r="L16" s="1057">
        <f>0+'[2]táj.2.'!J16</f>
        <v>0</v>
      </c>
      <c r="M16" s="1057">
        <f>0+'[2]táj.2.'!K16</f>
        <v>0</v>
      </c>
      <c r="N16" s="1057">
        <f t="shared" si="0"/>
        <v>592557</v>
      </c>
    </row>
    <row r="17" spans="1:14" s="460" customFormat="1" ht="18.75" customHeight="1">
      <c r="A17" s="1054">
        <v>16</v>
      </c>
      <c r="B17" s="1066" t="s">
        <v>749</v>
      </c>
      <c r="C17" s="1059">
        <v>102360</v>
      </c>
      <c r="D17" s="610">
        <f>1989+'[2]táj.2.'!L17</f>
        <v>2356</v>
      </c>
      <c r="E17" s="1056">
        <f>49512+'[2]táj.2.'!C17</f>
        <v>49683</v>
      </c>
      <c r="F17" s="1056">
        <f>11373+'[2]táj.2.'!D17</f>
        <v>11419</v>
      </c>
      <c r="G17" s="1056">
        <f>43464+'[2]táj.2.'!E17</f>
        <v>43614</v>
      </c>
      <c r="H17" s="1057">
        <f>0+'[2]táj.2.'!F17</f>
        <v>0</v>
      </c>
      <c r="I17" s="1057">
        <f>0+'[2]táj.2.'!G17</f>
        <v>0</v>
      </c>
      <c r="J17" s="1057">
        <f>0+'[2]táj.2.'!H17</f>
        <v>0</v>
      </c>
      <c r="K17" s="1057">
        <f>0+'[2]táj.2.'!I17</f>
        <v>0</v>
      </c>
      <c r="L17" s="1057">
        <f>0+'[2]táj.2.'!J17</f>
        <v>0</v>
      </c>
      <c r="M17" s="1057">
        <f>0+'[2]táj.2.'!K17</f>
        <v>0</v>
      </c>
      <c r="N17" s="1057">
        <f t="shared" si="0"/>
        <v>104716</v>
      </c>
    </row>
    <row r="18" spans="1:14" s="460" customFormat="1" ht="18" customHeight="1">
      <c r="A18" s="1054">
        <v>17</v>
      </c>
      <c r="B18" s="1066" t="s">
        <v>750</v>
      </c>
      <c r="C18" s="1059">
        <v>110370</v>
      </c>
      <c r="D18" s="610">
        <f>6198+'[2]táj.2.'!L18</f>
        <v>6183</v>
      </c>
      <c r="E18" s="1056">
        <f>38850+'[2]táj.2.'!C18</f>
        <v>38933</v>
      </c>
      <c r="F18" s="1056">
        <f>10425+'[2]táj.2.'!D18</f>
        <v>10327</v>
      </c>
      <c r="G18" s="1056">
        <f>62327+'[2]táj.2.'!E18</f>
        <v>62327</v>
      </c>
      <c r="H18" s="1057">
        <f>0+'[2]táj.2.'!F18</f>
        <v>0</v>
      </c>
      <c r="I18" s="1057">
        <f>0+'[2]táj.2.'!G18</f>
        <v>0</v>
      </c>
      <c r="J18" s="1057">
        <v>4966</v>
      </c>
      <c r="K18" s="1057">
        <f>0+'[2]táj.2.'!I18</f>
        <v>0</v>
      </c>
      <c r="L18" s="1057">
        <f>0+'[2]táj.2.'!J18</f>
        <v>0</v>
      </c>
      <c r="M18" s="1057">
        <f>0+'[2]táj.2.'!K18</f>
        <v>0</v>
      </c>
      <c r="N18" s="1057">
        <f t="shared" si="0"/>
        <v>116553</v>
      </c>
    </row>
    <row r="19" spans="1:14" s="460" customFormat="1" ht="18.75" customHeight="1">
      <c r="A19" s="1054">
        <v>18</v>
      </c>
      <c r="B19" s="1067" t="s">
        <v>1644</v>
      </c>
      <c r="C19" s="1062">
        <v>90900</v>
      </c>
      <c r="D19" s="610">
        <f>13313+'[2]táj.2.'!L19</f>
        <v>13641</v>
      </c>
      <c r="E19" s="1056">
        <f>31354+'[2]táj.2.'!C19</f>
        <v>31376</v>
      </c>
      <c r="F19" s="1056">
        <f>8479+'[2]táj.2.'!D19</f>
        <v>8485</v>
      </c>
      <c r="G19" s="1056">
        <f>63473+'[2]táj.2.'!E19</f>
        <v>63473</v>
      </c>
      <c r="H19" s="1057">
        <f>0+'[2]táj.2.'!F19</f>
        <v>0</v>
      </c>
      <c r="I19" s="1057">
        <f>307+'[2]táj.2.'!G19</f>
        <v>307</v>
      </c>
      <c r="J19" s="1057">
        <f>600+'[2]táj.2.'!H19</f>
        <v>900</v>
      </c>
      <c r="K19" s="1057">
        <f>0+'[2]táj.2.'!I19</f>
        <v>0</v>
      </c>
      <c r="L19" s="1057">
        <f>0+'[2]táj.2.'!J19</f>
        <v>0</v>
      </c>
      <c r="M19" s="1057">
        <f>0+'[2]táj.2.'!K19</f>
        <v>0</v>
      </c>
      <c r="N19" s="1057">
        <f t="shared" si="0"/>
        <v>104541</v>
      </c>
    </row>
    <row r="20" spans="1:14" s="460" customFormat="1" ht="18" customHeight="1">
      <c r="A20" s="1063"/>
      <c r="B20" s="1064" t="s">
        <v>751</v>
      </c>
      <c r="C20" s="1065">
        <f aca="true" t="shared" si="1" ref="C20:N20">SUM(C3:C19)</f>
        <v>6266208</v>
      </c>
      <c r="D20" s="1065">
        <f t="shared" si="1"/>
        <v>400142</v>
      </c>
      <c r="E20" s="1065">
        <f t="shared" si="1"/>
        <v>2974504</v>
      </c>
      <c r="F20" s="1065">
        <f t="shared" si="1"/>
        <v>802912</v>
      </c>
      <c r="G20" s="1065">
        <f t="shared" si="1"/>
        <v>2619762</v>
      </c>
      <c r="H20" s="1065">
        <f t="shared" si="1"/>
        <v>0</v>
      </c>
      <c r="I20" s="1065">
        <f t="shared" si="1"/>
        <v>43518</v>
      </c>
      <c r="J20" s="1065">
        <f t="shared" si="1"/>
        <v>148371</v>
      </c>
      <c r="K20" s="1065">
        <f t="shared" si="1"/>
        <v>77283</v>
      </c>
      <c r="L20" s="1065">
        <f t="shared" si="1"/>
        <v>0</v>
      </c>
      <c r="M20" s="1065">
        <f t="shared" si="1"/>
        <v>0</v>
      </c>
      <c r="N20" s="1065">
        <f t="shared" si="1"/>
        <v>6666350</v>
      </c>
    </row>
    <row r="21" s="460" customFormat="1" ht="12.75">
      <c r="A21" s="461"/>
    </row>
    <row r="22" s="460" customFormat="1" ht="12.75">
      <c r="A22" s="461"/>
    </row>
    <row r="23" s="460" customFormat="1" ht="12.75">
      <c r="A23" s="461"/>
    </row>
    <row r="24" s="460" customFormat="1" ht="12.75">
      <c r="A24" s="461"/>
    </row>
    <row r="25" s="460" customFormat="1" ht="12.75">
      <c r="A25" s="461"/>
    </row>
    <row r="26" s="460" customFormat="1" ht="12.75">
      <c r="A26" s="461"/>
    </row>
    <row r="27" s="460" customFormat="1" ht="12.75">
      <c r="A27" s="461"/>
    </row>
    <row r="28" s="460" customFormat="1" ht="12.75">
      <c r="A28" s="461"/>
    </row>
    <row r="29" s="460" customFormat="1" ht="12.75">
      <c r="A29" s="461"/>
    </row>
    <row r="30" s="460" customFormat="1" ht="12.75">
      <c r="A30" s="461"/>
    </row>
    <row r="31" s="460" customFormat="1" ht="12.75">
      <c r="A31" s="461"/>
    </row>
    <row r="32" s="460" customFormat="1" ht="12.75">
      <c r="A32" s="461"/>
    </row>
    <row r="33" s="460" customFormat="1" ht="12.75">
      <c r="A33" s="461"/>
    </row>
    <row r="34" s="460" customFormat="1" ht="12.75">
      <c r="A34" s="461"/>
    </row>
    <row r="35" s="460" customFormat="1" ht="12.75">
      <c r="A35" s="461"/>
    </row>
    <row r="36" s="460" customFormat="1" ht="12.75">
      <c r="A36" s="461"/>
    </row>
    <row r="37" s="460" customFormat="1" ht="12.75">
      <c r="A37" s="461"/>
    </row>
    <row r="38" s="460" customFormat="1" ht="12.75">
      <c r="A38" s="461"/>
    </row>
    <row r="39" s="460" customFormat="1" ht="12.75">
      <c r="A39" s="461"/>
    </row>
    <row r="40" s="460" customFormat="1" ht="12.75">
      <c r="A40" s="461"/>
    </row>
    <row r="41" s="460" customFormat="1" ht="12.75">
      <c r="A41" s="461"/>
    </row>
    <row r="42" s="460" customFormat="1" ht="12.75">
      <c r="A42" s="461"/>
    </row>
    <row r="43" s="460" customFormat="1" ht="12.75">
      <c r="A43" s="461"/>
    </row>
    <row r="44" s="460" customFormat="1" ht="12.75">
      <c r="A44" s="461"/>
    </row>
    <row r="45" s="460" customFormat="1" ht="12.75">
      <c r="A45" s="461"/>
    </row>
    <row r="46" s="460" customFormat="1" ht="12.75">
      <c r="A46" s="461"/>
    </row>
    <row r="47" s="460" customFormat="1" ht="12.75">
      <c r="A47" s="461"/>
    </row>
    <row r="48" s="460" customFormat="1" ht="12.75">
      <c r="A48" s="461"/>
    </row>
    <row r="49" s="460" customFormat="1" ht="12.75">
      <c r="A49" s="461"/>
    </row>
    <row r="50" s="460" customFormat="1" ht="12.75">
      <c r="A50" s="461"/>
    </row>
    <row r="51" s="460" customFormat="1" ht="12.75">
      <c r="A51" s="461"/>
    </row>
    <row r="52" s="460" customFormat="1" ht="12.75">
      <c r="A52" s="461"/>
    </row>
    <row r="53" s="460" customFormat="1" ht="12.75">
      <c r="A53" s="461"/>
    </row>
    <row r="54" s="460" customFormat="1" ht="12.75">
      <c r="A54" s="461"/>
    </row>
    <row r="55" s="460" customFormat="1" ht="12.75">
      <c r="A55" s="461"/>
    </row>
    <row r="56" s="460" customFormat="1" ht="12.75">
      <c r="A56" s="461"/>
    </row>
    <row r="57" s="460" customFormat="1" ht="12.75">
      <c r="A57" s="461"/>
    </row>
    <row r="58" s="460" customFormat="1" ht="12.75">
      <c r="A58" s="461"/>
    </row>
    <row r="59" s="460" customFormat="1" ht="12.75">
      <c r="A59" s="461"/>
    </row>
    <row r="60" s="460" customFormat="1" ht="12.75">
      <c r="A60" s="461"/>
    </row>
    <row r="61" s="460" customFormat="1" ht="12.75">
      <c r="A61" s="461"/>
    </row>
    <row r="62" s="460" customFormat="1" ht="12.75">
      <c r="A62" s="461"/>
    </row>
    <row r="63" s="460" customFormat="1" ht="12.75">
      <c r="A63" s="461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A2"/>
    </sheetView>
  </sheetViews>
  <sheetFormatPr defaultColWidth="10.625" defaultRowHeight="12.75"/>
  <cols>
    <col min="1" max="1" width="41.375" style="247" customWidth="1"/>
    <col min="2" max="2" width="8.875" style="247" customWidth="1"/>
    <col min="3" max="3" width="6.875" style="247" customWidth="1"/>
    <col min="4" max="4" width="9.125" style="247" customWidth="1"/>
    <col min="5" max="5" width="10.625" style="247" customWidth="1"/>
    <col min="6" max="6" width="7.875" style="247" customWidth="1"/>
    <col min="7" max="7" width="6.625" style="247" customWidth="1"/>
    <col min="8" max="8" width="7.125" style="247" customWidth="1"/>
    <col min="9" max="9" width="9.00390625" style="247" customWidth="1"/>
    <col min="10" max="10" width="8.875" style="247" customWidth="1"/>
    <col min="11" max="11" width="7.375" style="247" customWidth="1"/>
    <col min="12" max="12" width="6.625" style="247" customWidth="1"/>
    <col min="13" max="13" width="8.50390625" style="247" customWidth="1"/>
    <col min="14" max="14" width="7.125" style="247" customWidth="1"/>
    <col min="15" max="15" width="7.625" style="247" customWidth="1"/>
    <col min="16" max="16384" width="10.625" style="247" customWidth="1"/>
  </cols>
  <sheetData>
    <row r="1" spans="1:15" ht="12" thickBot="1">
      <c r="A1" s="1482" t="s">
        <v>1345</v>
      </c>
      <c r="B1" s="1485" t="s">
        <v>30</v>
      </c>
      <c r="C1" s="1485" t="s">
        <v>31</v>
      </c>
      <c r="D1" s="1485" t="s">
        <v>1282</v>
      </c>
      <c r="E1" s="1487" t="s">
        <v>118</v>
      </c>
      <c r="F1" s="1487"/>
      <c r="G1" s="1486" t="s">
        <v>1272</v>
      </c>
      <c r="H1" s="1486"/>
      <c r="I1" s="1488" t="s">
        <v>1407</v>
      </c>
      <c r="J1" s="1490" t="s">
        <v>1408</v>
      </c>
      <c r="K1" s="1486" t="s">
        <v>1029</v>
      </c>
      <c r="L1" s="1486"/>
      <c r="M1" s="1486" t="s">
        <v>1409</v>
      </c>
      <c r="N1" s="1486"/>
      <c r="O1" s="1492" t="s">
        <v>1410</v>
      </c>
    </row>
    <row r="2" spans="1:15" ht="62.25" customHeight="1" thickBot="1">
      <c r="A2" s="1483"/>
      <c r="B2" s="1485"/>
      <c r="C2" s="1485"/>
      <c r="D2" s="1485"/>
      <c r="E2" s="248" t="s">
        <v>1411</v>
      </c>
      <c r="F2" s="249" t="s">
        <v>1412</v>
      </c>
      <c r="G2" s="250" t="s">
        <v>408</v>
      </c>
      <c r="H2" s="251" t="s">
        <v>1598</v>
      </c>
      <c r="I2" s="1489"/>
      <c r="J2" s="1491"/>
      <c r="K2" s="250" t="s">
        <v>409</v>
      </c>
      <c r="L2" s="251" t="s">
        <v>1598</v>
      </c>
      <c r="M2" s="250" t="s">
        <v>410</v>
      </c>
      <c r="N2" s="251" t="s">
        <v>1598</v>
      </c>
      <c r="O2" s="1493"/>
    </row>
    <row r="3" spans="1:15" s="256" customFormat="1" ht="17.25" customHeight="1">
      <c r="A3" s="252" t="s">
        <v>411</v>
      </c>
      <c r="B3" s="253" t="s">
        <v>1591</v>
      </c>
      <c r="C3" s="253" t="s">
        <v>1592</v>
      </c>
      <c r="D3" s="254">
        <v>267000</v>
      </c>
      <c r="E3" s="255">
        <v>51172</v>
      </c>
      <c r="F3" s="255"/>
      <c r="G3" s="252">
        <v>5563</v>
      </c>
      <c r="H3" s="252">
        <v>660</v>
      </c>
      <c r="I3" s="252">
        <f aca="true" t="shared" si="0" ref="I3:I13">E3-G3</f>
        <v>45609</v>
      </c>
      <c r="J3" s="252">
        <f aca="true" t="shared" si="1" ref="J3:J9">E3-G3-I3</f>
        <v>0</v>
      </c>
      <c r="K3" s="252"/>
      <c r="L3" s="252"/>
      <c r="M3" s="252"/>
      <c r="N3" s="252"/>
      <c r="O3" s="252">
        <v>0</v>
      </c>
    </row>
    <row r="4" spans="1:15" s="256" customFormat="1" ht="14.25" customHeight="1">
      <c r="A4" s="252" t="s">
        <v>412</v>
      </c>
      <c r="B4" s="253" t="s">
        <v>1595</v>
      </c>
      <c r="C4" s="253" t="s">
        <v>1592</v>
      </c>
      <c r="D4" s="254">
        <v>45000</v>
      </c>
      <c r="E4" s="252">
        <v>10241</v>
      </c>
      <c r="F4" s="252"/>
      <c r="G4" s="252">
        <v>0</v>
      </c>
      <c r="H4" s="252">
        <v>35</v>
      </c>
      <c r="I4" s="252">
        <f t="shared" si="0"/>
        <v>10241</v>
      </c>
      <c r="J4" s="252">
        <f t="shared" si="1"/>
        <v>0</v>
      </c>
      <c r="K4" s="252"/>
      <c r="L4" s="252"/>
      <c r="M4" s="252"/>
      <c r="N4" s="252"/>
      <c r="O4" s="252">
        <v>0</v>
      </c>
    </row>
    <row r="5" spans="1:15" s="256" customFormat="1" ht="21" customHeight="1">
      <c r="A5" s="252" t="s">
        <v>413</v>
      </c>
      <c r="B5" s="253" t="s">
        <v>1594</v>
      </c>
      <c r="C5" s="253" t="s">
        <v>1593</v>
      </c>
      <c r="D5" s="254">
        <v>350000</v>
      </c>
      <c r="E5" s="252">
        <v>88533</v>
      </c>
      <c r="F5" s="252"/>
      <c r="G5" s="252">
        <v>5072</v>
      </c>
      <c r="H5" s="252">
        <v>343</v>
      </c>
      <c r="I5" s="252">
        <f t="shared" si="0"/>
        <v>83461</v>
      </c>
      <c r="J5" s="252">
        <f t="shared" si="1"/>
        <v>0</v>
      </c>
      <c r="K5" s="252"/>
      <c r="L5" s="252"/>
      <c r="M5" s="252"/>
      <c r="N5" s="252"/>
      <c r="O5" s="252">
        <v>0</v>
      </c>
    </row>
    <row r="6" spans="1:15" s="256" customFormat="1" ht="22.5" customHeight="1">
      <c r="A6" s="252" t="s">
        <v>414</v>
      </c>
      <c r="B6" s="253" t="s">
        <v>1596</v>
      </c>
      <c r="C6" s="253" t="s">
        <v>1597</v>
      </c>
      <c r="D6" s="254">
        <v>135000</v>
      </c>
      <c r="E6" s="252">
        <v>75534</v>
      </c>
      <c r="F6" s="252"/>
      <c r="G6" s="252">
        <v>0</v>
      </c>
      <c r="H6" s="252">
        <v>725</v>
      </c>
      <c r="I6" s="252">
        <f t="shared" si="0"/>
        <v>75534</v>
      </c>
      <c r="J6" s="252">
        <f t="shared" si="1"/>
        <v>0</v>
      </c>
      <c r="K6" s="252"/>
      <c r="L6" s="252"/>
      <c r="M6" s="252"/>
      <c r="N6" s="252"/>
      <c r="O6" s="252">
        <v>0</v>
      </c>
    </row>
    <row r="7" spans="1:15" s="256" customFormat="1" ht="22.5" customHeight="1">
      <c r="A7" s="257" t="s">
        <v>423</v>
      </c>
      <c r="B7" s="253" t="s">
        <v>1590</v>
      </c>
      <c r="C7" s="258" t="s">
        <v>1283</v>
      </c>
      <c r="D7" s="254">
        <v>158800</v>
      </c>
      <c r="E7" s="252">
        <v>90189</v>
      </c>
      <c r="F7" s="252"/>
      <c r="G7" s="252"/>
      <c r="H7" s="252">
        <v>601</v>
      </c>
      <c r="I7" s="252">
        <f t="shared" si="0"/>
        <v>90189</v>
      </c>
      <c r="J7" s="252">
        <f t="shared" si="1"/>
        <v>0</v>
      </c>
      <c r="K7" s="252"/>
      <c r="L7" s="252"/>
      <c r="M7" s="252"/>
      <c r="N7" s="252"/>
      <c r="O7" s="252">
        <v>0</v>
      </c>
    </row>
    <row r="8" spans="1:15" s="256" customFormat="1" ht="21.75" customHeight="1">
      <c r="A8" s="257" t="s">
        <v>424</v>
      </c>
      <c r="B8" s="253" t="s">
        <v>1590</v>
      </c>
      <c r="C8" s="258" t="s">
        <v>1283</v>
      </c>
      <c r="D8" s="254">
        <v>16500</v>
      </c>
      <c r="E8" s="252">
        <v>13555</v>
      </c>
      <c r="F8" s="252"/>
      <c r="G8" s="252"/>
      <c r="H8" s="252">
        <v>75</v>
      </c>
      <c r="I8" s="252">
        <f t="shared" si="0"/>
        <v>13555</v>
      </c>
      <c r="J8" s="252">
        <f t="shared" si="1"/>
        <v>0</v>
      </c>
      <c r="K8" s="252"/>
      <c r="L8" s="252"/>
      <c r="M8" s="252"/>
      <c r="N8" s="252"/>
      <c r="O8" s="252">
        <v>0</v>
      </c>
    </row>
    <row r="9" spans="1:15" s="256" customFormat="1" ht="19.5" customHeight="1">
      <c r="A9" s="257" t="s">
        <v>425</v>
      </c>
      <c r="B9" s="253" t="s">
        <v>1596</v>
      </c>
      <c r="C9" s="258" t="s">
        <v>1284</v>
      </c>
      <c r="D9" s="254">
        <v>180000</v>
      </c>
      <c r="E9" s="252">
        <v>161739</v>
      </c>
      <c r="F9" s="252"/>
      <c r="G9" s="252">
        <v>2609</v>
      </c>
      <c r="H9" s="252">
        <v>2389</v>
      </c>
      <c r="I9" s="252">
        <f t="shared" si="0"/>
        <v>159130</v>
      </c>
      <c r="J9" s="252">
        <f t="shared" si="1"/>
        <v>0</v>
      </c>
      <c r="K9" s="252"/>
      <c r="L9" s="252"/>
      <c r="M9" s="252"/>
      <c r="N9" s="252"/>
      <c r="O9" s="252">
        <v>0</v>
      </c>
    </row>
    <row r="10" spans="1:15" s="256" customFormat="1" ht="21.75" customHeight="1">
      <c r="A10" s="259" t="s">
        <v>426</v>
      </c>
      <c r="B10" s="253" t="s">
        <v>1596</v>
      </c>
      <c r="C10" s="258" t="s">
        <v>1285</v>
      </c>
      <c r="D10" s="254">
        <v>716018</v>
      </c>
      <c r="E10" s="252">
        <v>127198</v>
      </c>
      <c r="F10" s="252">
        <v>20000</v>
      </c>
      <c r="G10" s="252"/>
      <c r="H10" s="252">
        <v>1049</v>
      </c>
      <c r="I10" s="252">
        <f t="shared" si="0"/>
        <v>127198</v>
      </c>
      <c r="J10" s="252">
        <v>20000</v>
      </c>
      <c r="K10" s="252">
        <v>5000</v>
      </c>
      <c r="L10" s="252">
        <v>484</v>
      </c>
      <c r="M10" s="252">
        <v>5000</v>
      </c>
      <c r="N10" s="252">
        <v>450</v>
      </c>
      <c r="O10" s="252">
        <v>10000</v>
      </c>
    </row>
    <row r="11" spans="1:15" s="256" customFormat="1" ht="33" customHeight="1">
      <c r="A11" s="257" t="s">
        <v>427</v>
      </c>
      <c r="B11" s="253" t="s">
        <v>280</v>
      </c>
      <c r="C11" s="258" t="s">
        <v>281</v>
      </c>
      <c r="D11" s="254">
        <v>451367</v>
      </c>
      <c r="E11" s="252">
        <v>164247</v>
      </c>
      <c r="F11" s="252"/>
      <c r="G11" s="252"/>
      <c r="H11" s="252">
        <v>2088</v>
      </c>
      <c r="I11" s="252">
        <f t="shared" si="0"/>
        <v>164247</v>
      </c>
      <c r="J11" s="252">
        <f>E11-G11-I11</f>
        <v>0</v>
      </c>
      <c r="K11" s="252"/>
      <c r="L11" s="252"/>
      <c r="M11" s="252"/>
      <c r="N11" s="252"/>
      <c r="O11" s="252"/>
    </row>
    <row r="12" spans="1:15" s="256" customFormat="1" ht="22.5" customHeight="1">
      <c r="A12" s="257" t="s">
        <v>428</v>
      </c>
      <c r="B12" s="260" t="s">
        <v>1590</v>
      </c>
      <c r="C12" s="258">
        <v>2036</v>
      </c>
      <c r="D12" s="254">
        <v>115000</v>
      </c>
      <c r="E12" s="252">
        <v>114723</v>
      </c>
      <c r="F12" s="252"/>
      <c r="G12" s="252"/>
      <c r="H12" s="252">
        <v>765</v>
      </c>
      <c r="I12" s="252">
        <f t="shared" si="0"/>
        <v>114723</v>
      </c>
      <c r="J12" s="252">
        <f>E12-G12-I12</f>
        <v>0</v>
      </c>
      <c r="K12" s="252"/>
      <c r="L12" s="252"/>
      <c r="M12" s="252"/>
      <c r="N12" s="252"/>
      <c r="O12" s="252"/>
    </row>
    <row r="13" spans="1:15" s="256" customFormat="1" ht="20.25" customHeight="1">
      <c r="A13" s="257" t="s">
        <v>429</v>
      </c>
      <c r="B13" s="260" t="s">
        <v>1590</v>
      </c>
      <c r="C13" s="258">
        <v>2037</v>
      </c>
      <c r="D13" s="254">
        <v>54376</v>
      </c>
      <c r="E13" s="252">
        <v>54209</v>
      </c>
      <c r="F13" s="252"/>
      <c r="G13" s="252"/>
      <c r="H13" s="252">
        <v>407</v>
      </c>
      <c r="I13" s="252">
        <f t="shared" si="0"/>
        <v>54209</v>
      </c>
      <c r="J13" s="252">
        <f>E13-G13-I13</f>
        <v>0</v>
      </c>
      <c r="K13" s="252"/>
      <c r="L13" s="252"/>
      <c r="M13" s="252"/>
      <c r="N13" s="252"/>
      <c r="O13" s="252"/>
    </row>
    <row r="14" spans="1:15" s="256" customFormat="1" ht="22.5" customHeight="1">
      <c r="A14" s="257" t="s">
        <v>430</v>
      </c>
      <c r="B14" s="260" t="s">
        <v>1590</v>
      </c>
      <c r="C14" s="258">
        <v>2038</v>
      </c>
      <c r="D14" s="254">
        <v>300000</v>
      </c>
      <c r="E14" s="252">
        <v>0</v>
      </c>
      <c r="F14" s="252">
        <v>300000</v>
      </c>
      <c r="G14" s="252"/>
      <c r="H14" s="252">
        <v>6225</v>
      </c>
      <c r="I14" s="252"/>
      <c r="J14" s="252">
        <v>300000</v>
      </c>
      <c r="K14" s="252"/>
      <c r="L14" s="252">
        <v>13500</v>
      </c>
      <c r="M14" s="252"/>
      <c r="N14" s="252">
        <v>13500</v>
      </c>
      <c r="O14" s="252">
        <v>300000</v>
      </c>
    </row>
    <row r="15" spans="1:15" s="256" customFormat="1" ht="20.25" customHeight="1">
      <c r="A15" s="257" t="s">
        <v>431</v>
      </c>
      <c r="B15" s="260" t="s">
        <v>1590</v>
      </c>
      <c r="C15" s="258">
        <v>2021</v>
      </c>
      <c r="D15" s="254">
        <v>173892</v>
      </c>
      <c r="E15" s="252">
        <v>0</v>
      </c>
      <c r="F15" s="252">
        <v>173892</v>
      </c>
      <c r="G15" s="252"/>
      <c r="H15" s="252">
        <v>3108</v>
      </c>
      <c r="I15" s="252"/>
      <c r="J15" s="252">
        <v>173892</v>
      </c>
      <c r="K15" s="252"/>
      <c r="L15" s="252">
        <v>7460</v>
      </c>
      <c r="M15" s="252">
        <v>28982</v>
      </c>
      <c r="N15" s="252">
        <v>7460</v>
      </c>
      <c r="O15" s="252">
        <v>144910</v>
      </c>
    </row>
    <row r="16" spans="1:15" s="256" customFormat="1" ht="22.5" customHeight="1">
      <c r="A16" s="252" t="s">
        <v>432</v>
      </c>
      <c r="B16" s="260"/>
      <c r="C16" s="258"/>
      <c r="D16" s="254"/>
      <c r="E16" s="252"/>
      <c r="F16" s="252">
        <v>165000</v>
      </c>
      <c r="G16" s="252"/>
      <c r="H16" s="252">
        <v>3486</v>
      </c>
      <c r="I16" s="252"/>
      <c r="J16" s="252">
        <v>165000</v>
      </c>
      <c r="K16" s="252"/>
      <c r="L16" s="252">
        <v>8366</v>
      </c>
      <c r="M16" s="252"/>
      <c r="N16" s="252">
        <v>8366</v>
      </c>
      <c r="O16" s="252">
        <v>165000</v>
      </c>
    </row>
    <row r="17" spans="1:15" ht="11.25">
      <c r="A17" s="261" t="s">
        <v>1344</v>
      </c>
      <c r="B17" s="261"/>
      <c r="C17" s="261"/>
      <c r="D17" s="261">
        <f aca="true" t="shared" si="2" ref="D17:O17">SUM(D3:D16)</f>
        <v>2962953</v>
      </c>
      <c r="E17" s="261">
        <f t="shared" si="2"/>
        <v>951340</v>
      </c>
      <c r="F17" s="261">
        <f t="shared" si="2"/>
        <v>658892</v>
      </c>
      <c r="G17" s="261">
        <f t="shared" si="2"/>
        <v>13244</v>
      </c>
      <c r="H17" s="261">
        <f t="shared" si="2"/>
        <v>21956</v>
      </c>
      <c r="I17" s="261">
        <f t="shared" si="2"/>
        <v>938096</v>
      </c>
      <c r="J17" s="261">
        <f t="shared" si="2"/>
        <v>658892</v>
      </c>
      <c r="K17" s="261">
        <f t="shared" si="2"/>
        <v>5000</v>
      </c>
      <c r="L17" s="261">
        <f t="shared" si="2"/>
        <v>29810</v>
      </c>
      <c r="M17" s="261">
        <f t="shared" si="2"/>
        <v>33982</v>
      </c>
      <c r="N17" s="261">
        <f t="shared" si="2"/>
        <v>29776</v>
      </c>
      <c r="O17" s="261">
        <f t="shared" si="2"/>
        <v>619910</v>
      </c>
    </row>
    <row r="18" spans="1:15" ht="11.25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3"/>
      <c r="M18" s="263"/>
      <c r="N18" s="263"/>
      <c r="O18" s="263"/>
    </row>
    <row r="19" spans="1:15" ht="45">
      <c r="A19" s="264" t="s">
        <v>1345</v>
      </c>
      <c r="B19" s="264"/>
      <c r="C19" s="264"/>
      <c r="D19" s="264"/>
      <c r="E19" s="1484" t="s">
        <v>433</v>
      </c>
      <c r="F19" s="1484"/>
      <c r="G19" s="1484" t="s">
        <v>434</v>
      </c>
      <c r="H19" s="1484"/>
      <c r="I19" s="1494" t="s">
        <v>435</v>
      </c>
      <c r="J19" s="241" t="s">
        <v>178</v>
      </c>
      <c r="K19" s="1484" t="s">
        <v>1030</v>
      </c>
      <c r="L19" s="1484"/>
      <c r="M19" s="1484" t="s">
        <v>436</v>
      </c>
      <c r="N19" s="1484"/>
      <c r="O19" s="1484" t="s">
        <v>437</v>
      </c>
    </row>
    <row r="20" spans="1:15" ht="16.5" customHeight="1">
      <c r="A20" s="265"/>
      <c r="B20" s="265"/>
      <c r="C20" s="265"/>
      <c r="D20" s="265"/>
      <c r="E20" s="1484"/>
      <c r="F20" s="1484"/>
      <c r="G20" s="241" t="s">
        <v>1576</v>
      </c>
      <c r="H20" s="241" t="s">
        <v>1577</v>
      </c>
      <c r="I20" s="1495"/>
      <c r="J20" s="241"/>
      <c r="K20" s="241" t="s">
        <v>1576</v>
      </c>
      <c r="L20" s="241" t="s">
        <v>1577</v>
      </c>
      <c r="M20" s="241" t="s">
        <v>1576</v>
      </c>
      <c r="N20" s="241" t="s">
        <v>1577</v>
      </c>
      <c r="O20" s="1484"/>
    </row>
    <row r="21" spans="1:15" s="256" customFormat="1" ht="17.25" customHeight="1">
      <c r="A21" s="252" t="s">
        <v>29</v>
      </c>
      <c r="B21" s="252"/>
      <c r="C21" s="252"/>
      <c r="D21" s="252"/>
      <c r="E21" s="266">
        <v>298552</v>
      </c>
      <c r="F21" s="252"/>
      <c r="G21" s="252">
        <v>21424</v>
      </c>
      <c r="H21" s="252">
        <v>2346</v>
      </c>
      <c r="I21" s="252">
        <v>277128</v>
      </c>
      <c r="J21" s="252">
        <v>0</v>
      </c>
      <c r="K21" s="252"/>
      <c r="L21" s="252"/>
      <c r="M21" s="252"/>
      <c r="N21" s="252"/>
      <c r="O21" s="252">
        <v>0</v>
      </c>
    </row>
  </sheetData>
  <sheetProtection/>
  <mergeCells count="18">
    <mergeCell ref="M19:N19"/>
    <mergeCell ref="O19:O20"/>
    <mergeCell ref="I1:I2"/>
    <mergeCell ref="J1:J2"/>
    <mergeCell ref="K1:L1"/>
    <mergeCell ref="M1:N1"/>
    <mergeCell ref="O1:O2"/>
    <mergeCell ref="I19:I20"/>
    <mergeCell ref="A1:A2"/>
    <mergeCell ref="K19:L19"/>
    <mergeCell ref="B1:B2"/>
    <mergeCell ref="C1:C2"/>
    <mergeCell ref="G19:H19"/>
    <mergeCell ref="G1:H1"/>
    <mergeCell ref="D1:D2"/>
    <mergeCell ref="E1:F1"/>
    <mergeCell ref="E19:E20"/>
    <mergeCell ref="F19:F2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&amp;CA&amp;"Times New Roman CE,Félkövér dőlt" HITELÁLLOMÁNY ÉS ADÓSSÁGSZOLGÁLAT ALAKULÁSA 2014-2016. ÉVEKBEN&amp;R&amp;"Times New Roman CE,Félkövér dőlt"11.  melléklet
Adatok: ezer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29" sqref="E29"/>
    </sheetView>
  </sheetViews>
  <sheetFormatPr defaultColWidth="10.625" defaultRowHeight="12.75"/>
  <cols>
    <col min="1" max="1" width="10.625" style="275" customWidth="1"/>
    <col min="2" max="2" width="42.50390625" style="275" customWidth="1"/>
    <col min="3" max="3" width="12.125" style="275" customWidth="1"/>
    <col min="4" max="4" width="9.00390625" style="275" customWidth="1"/>
    <col min="5" max="5" width="6.625" style="275" customWidth="1"/>
    <col min="6" max="6" width="8.50390625" style="275" customWidth="1"/>
    <col min="7" max="7" width="8.375" style="275" customWidth="1"/>
    <col min="8" max="8" width="8.125" style="275" customWidth="1"/>
    <col min="9" max="9" width="7.50390625" style="275" customWidth="1"/>
    <col min="10" max="10" width="8.625" style="275" customWidth="1"/>
    <col min="11" max="11" width="11.00390625" style="275" customWidth="1"/>
    <col min="12" max="12" width="12.00390625" style="275" customWidth="1"/>
    <col min="13" max="16384" width="10.625" style="275" customWidth="1"/>
  </cols>
  <sheetData>
    <row r="1" spans="1:12" ht="54">
      <c r="A1" s="195" t="s">
        <v>1642</v>
      </c>
      <c r="B1" s="196" t="s">
        <v>1345</v>
      </c>
      <c r="C1" s="274" t="s">
        <v>858</v>
      </c>
      <c r="D1" s="196" t="s">
        <v>519</v>
      </c>
      <c r="E1" s="196" t="s">
        <v>1643</v>
      </c>
      <c r="F1" s="196" t="s">
        <v>520</v>
      </c>
      <c r="G1" s="274" t="s">
        <v>521</v>
      </c>
      <c r="H1" s="197" t="s">
        <v>522</v>
      </c>
      <c r="I1" s="197" t="s">
        <v>523</v>
      </c>
      <c r="J1" s="197" t="s">
        <v>100</v>
      </c>
      <c r="K1" s="274" t="s">
        <v>859</v>
      </c>
      <c r="L1" s="197" t="s">
        <v>1025</v>
      </c>
    </row>
    <row r="2" spans="1:12" ht="12.75">
      <c r="A2" s="335" t="s">
        <v>685</v>
      </c>
      <c r="B2" s="194" t="s">
        <v>1619</v>
      </c>
      <c r="C2" s="463">
        <v>1</v>
      </c>
      <c r="D2" s="334"/>
      <c r="E2" s="334"/>
      <c r="F2" s="334"/>
      <c r="G2" s="334"/>
      <c r="H2" s="334"/>
      <c r="I2" s="334"/>
      <c r="J2" s="284">
        <v>1</v>
      </c>
      <c r="K2" s="297">
        <v>1</v>
      </c>
      <c r="L2" s="297">
        <f aca="true" t="shared" si="0" ref="L2:L19">K2-C2</f>
        <v>0</v>
      </c>
    </row>
    <row r="3" spans="1:12" ht="12.75">
      <c r="A3" s="335" t="s">
        <v>681</v>
      </c>
      <c r="B3" s="276" t="s">
        <v>1349</v>
      </c>
      <c r="C3" s="277">
        <v>171</v>
      </c>
      <c r="D3" s="277">
        <v>144</v>
      </c>
      <c r="E3" s="3"/>
      <c r="F3" s="3"/>
      <c r="G3" s="278"/>
      <c r="H3" s="109"/>
      <c r="I3" s="109">
        <v>18</v>
      </c>
      <c r="J3" s="109">
        <v>9</v>
      </c>
      <c r="K3" s="277">
        <v>171</v>
      </c>
      <c r="L3" s="200">
        <f t="shared" si="0"/>
        <v>0</v>
      </c>
    </row>
    <row r="4" spans="1:13" ht="12.75">
      <c r="A4" s="335" t="s">
        <v>686</v>
      </c>
      <c r="B4" s="276" t="s">
        <v>734</v>
      </c>
      <c r="C4" s="277">
        <v>168</v>
      </c>
      <c r="D4" s="277"/>
      <c r="E4" s="3"/>
      <c r="F4" s="3"/>
      <c r="G4" s="277"/>
      <c r="H4" s="200"/>
      <c r="I4" s="277">
        <v>43.5</v>
      </c>
      <c r="J4" s="277">
        <v>124.5</v>
      </c>
      <c r="K4" s="277">
        <f>SUM(D4:J4)</f>
        <v>168</v>
      </c>
      <c r="L4" s="200">
        <f t="shared" si="0"/>
        <v>0</v>
      </c>
      <c r="M4" s="279"/>
    </row>
    <row r="5" spans="1:12" ht="12.75">
      <c r="A5" s="335" t="s">
        <v>688</v>
      </c>
      <c r="B5" s="194" t="s">
        <v>740</v>
      </c>
      <c r="C5" s="277">
        <v>122.5</v>
      </c>
      <c r="D5" s="277"/>
      <c r="E5" s="3">
        <v>0.5</v>
      </c>
      <c r="F5" s="200"/>
      <c r="G5" s="277"/>
      <c r="H5" s="200">
        <v>77</v>
      </c>
      <c r="I5" s="277">
        <v>4</v>
      </c>
      <c r="J5" s="277">
        <v>41</v>
      </c>
      <c r="K5" s="277">
        <f>SUM(D5:J5)</f>
        <v>122.5</v>
      </c>
      <c r="L5" s="200">
        <f t="shared" si="0"/>
        <v>0</v>
      </c>
    </row>
    <row r="6" spans="1:12" ht="12.75">
      <c r="A6" s="335" t="s">
        <v>1180</v>
      </c>
      <c r="B6" s="194" t="s">
        <v>524</v>
      </c>
      <c r="C6" s="277">
        <v>56.5</v>
      </c>
      <c r="D6" s="277"/>
      <c r="E6" s="3">
        <v>4</v>
      </c>
      <c r="F6" s="3"/>
      <c r="G6" s="277"/>
      <c r="H6" s="200">
        <v>45.5</v>
      </c>
      <c r="I6" s="277"/>
      <c r="J6" s="277">
        <v>7</v>
      </c>
      <c r="K6" s="277">
        <v>56.5</v>
      </c>
      <c r="L6" s="200">
        <f t="shared" si="0"/>
        <v>0</v>
      </c>
    </row>
    <row r="7" spans="1:12" ht="12.75">
      <c r="A7" s="335" t="s">
        <v>1178</v>
      </c>
      <c r="B7" s="194" t="s">
        <v>525</v>
      </c>
      <c r="C7" s="277">
        <v>72.5</v>
      </c>
      <c r="D7" s="277"/>
      <c r="E7" s="3"/>
      <c r="F7" s="3">
        <v>40.5</v>
      </c>
      <c r="G7" s="277"/>
      <c r="H7" s="200">
        <v>24</v>
      </c>
      <c r="I7" s="277"/>
      <c r="J7" s="277">
        <v>8</v>
      </c>
      <c r="K7" s="277">
        <v>72.5</v>
      </c>
      <c r="L7" s="200">
        <f t="shared" si="0"/>
        <v>0</v>
      </c>
    </row>
    <row r="8" spans="1:12" ht="12.75">
      <c r="A8" s="335" t="s">
        <v>1183</v>
      </c>
      <c r="B8" s="194" t="s">
        <v>526</v>
      </c>
      <c r="C8" s="277">
        <v>67</v>
      </c>
      <c r="D8" s="277"/>
      <c r="E8" s="3"/>
      <c r="F8" s="3">
        <v>37</v>
      </c>
      <c r="G8" s="277"/>
      <c r="H8" s="200">
        <v>22</v>
      </c>
      <c r="I8" s="277"/>
      <c r="J8" s="277">
        <v>8</v>
      </c>
      <c r="K8" s="277">
        <v>67</v>
      </c>
      <c r="L8" s="200">
        <f t="shared" si="0"/>
        <v>0</v>
      </c>
    </row>
    <row r="9" spans="1:12" ht="12.75">
      <c r="A9" s="335" t="s">
        <v>1185</v>
      </c>
      <c r="B9" s="194" t="s">
        <v>744</v>
      </c>
      <c r="C9" s="277">
        <v>69</v>
      </c>
      <c r="D9" s="277"/>
      <c r="E9" s="3"/>
      <c r="F9" s="3">
        <v>39</v>
      </c>
      <c r="G9" s="277"/>
      <c r="H9" s="200">
        <v>23</v>
      </c>
      <c r="I9" s="277"/>
      <c r="J9" s="277">
        <v>7</v>
      </c>
      <c r="K9" s="277">
        <v>69</v>
      </c>
      <c r="L9" s="200">
        <f t="shared" si="0"/>
        <v>0</v>
      </c>
    </row>
    <row r="10" spans="1:12" ht="12.75">
      <c r="A10" s="335" t="s">
        <v>1187</v>
      </c>
      <c r="B10" s="194" t="s">
        <v>745</v>
      </c>
      <c r="C10" s="277">
        <v>67.5</v>
      </c>
      <c r="D10" s="277"/>
      <c r="E10" s="3"/>
      <c r="F10" s="3">
        <v>37</v>
      </c>
      <c r="G10" s="277"/>
      <c r="H10" s="200">
        <v>21</v>
      </c>
      <c r="I10" s="277">
        <v>0.5</v>
      </c>
      <c r="J10" s="277">
        <v>9</v>
      </c>
      <c r="K10" s="277">
        <v>67.5</v>
      </c>
      <c r="L10" s="200">
        <f t="shared" si="0"/>
        <v>0</v>
      </c>
    </row>
    <row r="11" spans="1:12" ht="25.5">
      <c r="A11" s="335" t="s">
        <v>1017</v>
      </c>
      <c r="B11" s="234" t="s">
        <v>527</v>
      </c>
      <c r="C11" s="277">
        <v>25.5</v>
      </c>
      <c r="D11" s="280"/>
      <c r="E11" s="198"/>
      <c r="F11" s="198"/>
      <c r="G11" s="280">
        <v>11.5</v>
      </c>
      <c r="H11" s="199"/>
      <c r="I11" s="280">
        <v>4</v>
      </c>
      <c r="J11" s="280">
        <v>10</v>
      </c>
      <c r="K11" s="277">
        <f>SUM(D11:J11)</f>
        <v>25.5</v>
      </c>
      <c r="L11" s="200">
        <f t="shared" si="0"/>
        <v>0</v>
      </c>
    </row>
    <row r="12" spans="1:12" ht="12.75">
      <c r="A12" s="335" t="s">
        <v>1018</v>
      </c>
      <c r="B12" s="180" t="s">
        <v>737</v>
      </c>
      <c r="C12" s="277">
        <v>48</v>
      </c>
      <c r="D12" s="280"/>
      <c r="E12" s="198"/>
      <c r="F12" s="198"/>
      <c r="G12" s="280">
        <v>9.5</v>
      </c>
      <c r="H12" s="199">
        <v>4</v>
      </c>
      <c r="I12" s="280">
        <v>9.5</v>
      </c>
      <c r="J12" s="280">
        <v>25</v>
      </c>
      <c r="K12" s="277">
        <v>48</v>
      </c>
      <c r="L12" s="200">
        <f t="shared" si="0"/>
        <v>0</v>
      </c>
    </row>
    <row r="13" spans="1:12" ht="25.5">
      <c r="A13" s="335" t="s">
        <v>1019</v>
      </c>
      <c r="B13" s="234" t="s">
        <v>747</v>
      </c>
      <c r="C13" s="277">
        <v>3</v>
      </c>
      <c r="D13" s="280"/>
      <c r="E13" s="198"/>
      <c r="F13" s="198"/>
      <c r="G13" s="280"/>
      <c r="H13" s="199">
        <v>3</v>
      </c>
      <c r="I13" s="280"/>
      <c r="J13" s="280"/>
      <c r="K13" s="277">
        <v>3</v>
      </c>
      <c r="L13" s="200">
        <f t="shared" si="0"/>
        <v>0</v>
      </c>
    </row>
    <row r="14" spans="1:12" ht="12.75">
      <c r="A14" s="335" t="s">
        <v>1020</v>
      </c>
      <c r="B14" s="51" t="s">
        <v>738</v>
      </c>
      <c r="C14" s="277">
        <v>50</v>
      </c>
      <c r="D14" s="280"/>
      <c r="E14" s="198"/>
      <c r="F14" s="198"/>
      <c r="G14" s="280">
        <v>38</v>
      </c>
      <c r="H14" s="199">
        <v>5.5</v>
      </c>
      <c r="I14" s="280">
        <v>1</v>
      </c>
      <c r="J14" s="280">
        <v>5.5</v>
      </c>
      <c r="K14" s="277">
        <v>50</v>
      </c>
      <c r="L14" s="200">
        <f t="shared" si="0"/>
        <v>0</v>
      </c>
    </row>
    <row r="15" spans="1:13" ht="12.75">
      <c r="A15" s="335" t="s">
        <v>1021</v>
      </c>
      <c r="B15" s="51" t="s">
        <v>739</v>
      </c>
      <c r="C15" s="277">
        <v>62</v>
      </c>
      <c r="D15" s="280"/>
      <c r="E15" s="198"/>
      <c r="F15" s="198"/>
      <c r="G15" s="281"/>
      <c r="H15" s="199">
        <v>45</v>
      </c>
      <c r="I15" s="280">
        <v>7</v>
      </c>
      <c r="J15" s="280">
        <v>10</v>
      </c>
      <c r="K15" s="277">
        <f>SUM(D15:J15)</f>
        <v>62</v>
      </c>
      <c r="L15" s="200">
        <f t="shared" si="0"/>
        <v>0</v>
      </c>
      <c r="M15" s="279"/>
    </row>
    <row r="16" spans="1:12" ht="12.75">
      <c r="A16" s="335" t="s">
        <v>1022</v>
      </c>
      <c r="B16" s="51" t="s">
        <v>528</v>
      </c>
      <c r="C16" s="277">
        <v>127</v>
      </c>
      <c r="D16" s="280"/>
      <c r="E16" s="198"/>
      <c r="F16" s="198"/>
      <c r="G16" s="281"/>
      <c r="H16" s="199">
        <v>39</v>
      </c>
      <c r="I16" s="280">
        <v>16</v>
      </c>
      <c r="J16" s="280">
        <v>72</v>
      </c>
      <c r="K16" s="277">
        <v>127</v>
      </c>
      <c r="L16" s="200">
        <f t="shared" si="0"/>
        <v>0</v>
      </c>
    </row>
    <row r="17" spans="1:12" ht="12.75">
      <c r="A17" s="335" t="s">
        <v>654</v>
      </c>
      <c r="B17" s="51" t="s">
        <v>749</v>
      </c>
      <c r="C17" s="277">
        <v>17</v>
      </c>
      <c r="D17" s="280"/>
      <c r="E17" s="198"/>
      <c r="F17" s="198"/>
      <c r="G17" s="281"/>
      <c r="H17" s="199">
        <v>10</v>
      </c>
      <c r="I17" s="280">
        <v>1</v>
      </c>
      <c r="J17" s="280">
        <v>6</v>
      </c>
      <c r="K17" s="277">
        <v>17</v>
      </c>
      <c r="L17" s="200">
        <f t="shared" si="0"/>
        <v>0</v>
      </c>
    </row>
    <row r="18" spans="1:12" ht="12.75">
      <c r="A18" s="335" t="s">
        <v>1023</v>
      </c>
      <c r="B18" s="51" t="s">
        <v>750</v>
      </c>
      <c r="C18" s="277">
        <v>21</v>
      </c>
      <c r="D18" s="280"/>
      <c r="E18" s="198"/>
      <c r="F18" s="198"/>
      <c r="G18" s="281"/>
      <c r="H18" s="199"/>
      <c r="I18" s="280">
        <v>5</v>
      </c>
      <c r="J18" s="280">
        <v>16</v>
      </c>
      <c r="K18" s="277">
        <f>SUM(D18:J18)</f>
        <v>21</v>
      </c>
      <c r="L18" s="200">
        <f t="shared" si="0"/>
        <v>0</v>
      </c>
    </row>
    <row r="19" spans="1:12" ht="12.75">
      <c r="A19" s="335" t="s">
        <v>1024</v>
      </c>
      <c r="B19" s="51" t="s">
        <v>1644</v>
      </c>
      <c r="C19" s="277">
        <v>8</v>
      </c>
      <c r="D19" s="280"/>
      <c r="E19" s="198"/>
      <c r="F19" s="198"/>
      <c r="G19" s="281"/>
      <c r="H19" s="199"/>
      <c r="I19" s="280">
        <v>3</v>
      </c>
      <c r="J19" s="280">
        <v>8</v>
      </c>
      <c r="K19" s="277">
        <f>SUM(I19:J19)</f>
        <v>11</v>
      </c>
      <c r="L19" s="200">
        <f t="shared" si="0"/>
        <v>3</v>
      </c>
    </row>
    <row r="20" spans="1:12" ht="15">
      <c r="A20" s="201"/>
      <c r="B20" s="202" t="s">
        <v>529</v>
      </c>
      <c r="C20" s="282">
        <f aca="true" t="shared" si="1" ref="C20:L20">SUM(C3:C19)</f>
        <v>1155.5</v>
      </c>
      <c r="D20" s="282">
        <f t="shared" si="1"/>
        <v>144</v>
      </c>
      <c r="E20" s="282">
        <f t="shared" si="1"/>
        <v>4.5</v>
      </c>
      <c r="F20" s="282">
        <f t="shared" si="1"/>
        <v>153.5</v>
      </c>
      <c r="G20" s="282">
        <f t="shared" si="1"/>
        <v>59</v>
      </c>
      <c r="H20" s="282">
        <f t="shared" si="1"/>
        <v>319</v>
      </c>
      <c r="I20" s="282">
        <f t="shared" si="1"/>
        <v>112.5</v>
      </c>
      <c r="J20" s="282">
        <f t="shared" si="1"/>
        <v>366</v>
      </c>
      <c r="K20" s="282">
        <f t="shared" si="1"/>
        <v>1158.5</v>
      </c>
      <c r="L20" s="283">
        <f t="shared" si="1"/>
        <v>3</v>
      </c>
    </row>
    <row r="21" spans="1:12" s="285" customFormat="1" ht="15">
      <c r="A21" s="286"/>
      <c r="B21" s="287" t="s">
        <v>1344</v>
      </c>
      <c r="C21" s="288">
        <f aca="true" t="shared" si="2" ref="C21:L21">SUM(C2+C20)</f>
        <v>1156.5</v>
      </c>
      <c r="D21" s="288">
        <f t="shared" si="2"/>
        <v>144</v>
      </c>
      <c r="E21" s="288">
        <f t="shared" si="2"/>
        <v>4.5</v>
      </c>
      <c r="F21" s="288">
        <f t="shared" si="2"/>
        <v>153.5</v>
      </c>
      <c r="G21" s="288">
        <f t="shared" si="2"/>
        <v>59</v>
      </c>
      <c r="H21" s="288">
        <f t="shared" si="2"/>
        <v>319</v>
      </c>
      <c r="I21" s="288">
        <f t="shared" si="2"/>
        <v>112.5</v>
      </c>
      <c r="J21" s="288">
        <f t="shared" si="2"/>
        <v>367</v>
      </c>
      <c r="K21" s="288">
        <f t="shared" si="2"/>
        <v>1159.5</v>
      </c>
      <c r="L21" s="288">
        <f t="shared" si="2"/>
        <v>3</v>
      </c>
    </row>
    <row r="23" spans="2:11" ht="12.75">
      <c r="B23" s="289"/>
      <c r="K23" s="290"/>
    </row>
    <row r="24" ht="12.75">
      <c r="B24" s="291"/>
    </row>
    <row r="25" ht="12.75">
      <c r="J25" s="292"/>
    </row>
    <row r="30" ht="12.75">
      <c r="B30" s="293"/>
    </row>
    <row r="31" ht="12.75">
      <c r="B31" s="294"/>
    </row>
    <row r="32" ht="12.75">
      <c r="B32" s="295"/>
    </row>
    <row r="33" ht="12.75">
      <c r="B33" s="294"/>
    </row>
    <row r="34" ht="12.75">
      <c r="B34" s="296"/>
    </row>
    <row r="35" ht="12.75">
      <c r="B35" s="296"/>
    </row>
    <row r="36" ht="12.75">
      <c r="B36" s="296"/>
    </row>
    <row r="37" ht="12.75">
      <c r="B37" s="296"/>
    </row>
    <row r="38" ht="12.75">
      <c r="B38" s="296"/>
    </row>
    <row r="39" ht="12.75">
      <c r="B39" s="296"/>
    </row>
  </sheetData>
  <sheetProtection/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r:id="rId1"/>
  <headerFooter alignWithMargins="0">
    <oddHeader>&amp;CZALAEGERSZEG MEGYEI JOGÚ VÁROS ÖNKORMÁNYZATA ÉS AZ ÁLTALA IRÁNYÍTOTT KÖLTSÉGVETÉSI SZERVEK 
2014. ÉVI LÉTSZÁM-ELŐIRÁNYZATAI &amp;R&amp;"Times New Roman CE,Félkövér dőlt"12.  melléklet
Adatok: főben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K26" sqref="K26"/>
    </sheetView>
  </sheetViews>
  <sheetFormatPr defaultColWidth="10.625" defaultRowHeight="12.75"/>
  <cols>
    <col min="1" max="1" width="4.375" style="391" customWidth="1"/>
    <col min="2" max="2" width="56.875" style="391" customWidth="1"/>
    <col min="3" max="3" width="12.875" style="438" customWidth="1"/>
    <col min="4" max="4" width="11.625" style="391" customWidth="1"/>
    <col min="5" max="5" width="12.375" style="391" customWidth="1"/>
    <col min="6" max="6" width="13.375" style="439" customWidth="1"/>
    <col min="7" max="7" width="15.00390625" style="391" customWidth="1"/>
    <col min="8" max="8" width="10.375" style="439" customWidth="1"/>
    <col min="9" max="9" width="12.875" style="391" customWidth="1"/>
    <col min="10" max="10" width="13.625" style="391" customWidth="1"/>
    <col min="11" max="11" width="11.625" style="391" customWidth="1"/>
    <col min="12" max="16384" width="10.625" style="391" customWidth="1"/>
  </cols>
  <sheetData>
    <row r="1" spans="1:11" ht="29.25" customHeight="1">
      <c r="A1" s="1499" t="s">
        <v>780</v>
      </c>
      <c r="B1" s="1502" t="s">
        <v>781</v>
      </c>
      <c r="C1" s="1496" t="s">
        <v>782</v>
      </c>
      <c r="D1" s="1496" t="s">
        <v>783</v>
      </c>
      <c r="E1" s="1496" t="s">
        <v>784</v>
      </c>
      <c r="F1" s="1496" t="s">
        <v>1678</v>
      </c>
      <c r="G1" s="1505" t="s">
        <v>1679</v>
      </c>
      <c r="H1" s="1508" t="s">
        <v>1680</v>
      </c>
      <c r="I1" s="1509"/>
      <c r="J1" s="1509"/>
      <c r="K1" s="1509"/>
    </row>
    <row r="2" spans="1:11" ht="12.75" customHeight="1">
      <c r="A2" s="1500"/>
      <c r="B2" s="1497"/>
      <c r="C2" s="1497"/>
      <c r="D2" s="1497"/>
      <c r="E2" s="1497"/>
      <c r="F2" s="1497"/>
      <c r="G2" s="1506"/>
      <c r="H2" s="1503" t="s">
        <v>1681</v>
      </c>
      <c r="I2" s="1503" t="s">
        <v>1682</v>
      </c>
      <c r="J2" s="1509"/>
      <c r="K2" s="1509"/>
    </row>
    <row r="3" spans="1:11" s="395" customFormat="1" ht="55.5" customHeight="1" thickBot="1">
      <c r="A3" s="1501"/>
      <c r="B3" s="1498"/>
      <c r="C3" s="1498"/>
      <c r="D3" s="1498"/>
      <c r="E3" s="1498"/>
      <c r="F3" s="1498"/>
      <c r="G3" s="1507"/>
      <c r="H3" s="1504"/>
      <c r="I3" s="393" t="s">
        <v>1683</v>
      </c>
      <c r="J3" s="392" t="s">
        <v>15</v>
      </c>
      <c r="K3" s="394" t="s">
        <v>962</v>
      </c>
    </row>
    <row r="4" spans="1:11" ht="38.25" customHeight="1">
      <c r="A4" s="396" t="s">
        <v>685</v>
      </c>
      <c r="B4" s="397" t="s">
        <v>1685</v>
      </c>
      <c r="C4" s="398">
        <v>758465</v>
      </c>
      <c r="D4" s="398">
        <v>0</v>
      </c>
      <c r="E4" s="399">
        <f aca="true" t="shared" si="0" ref="E4:E15">SUM(C4:D4)</f>
        <v>758465</v>
      </c>
      <c r="F4" s="400">
        <f aca="true" t="shared" si="1" ref="F4:F15">C4/E4</f>
        <v>1</v>
      </c>
      <c r="G4" s="401" t="s">
        <v>1686</v>
      </c>
      <c r="H4" s="402">
        <v>754396</v>
      </c>
      <c r="I4" s="403">
        <v>754396</v>
      </c>
      <c r="J4" s="404">
        <v>0</v>
      </c>
      <c r="K4" s="403"/>
    </row>
    <row r="5" spans="1:11" ht="30" customHeight="1">
      <c r="A5" s="396" t="s">
        <v>681</v>
      </c>
      <c r="B5" s="397" t="s">
        <v>1687</v>
      </c>
      <c r="C5" s="398">
        <v>491005</v>
      </c>
      <c r="D5" s="398">
        <v>86648</v>
      </c>
      <c r="E5" s="399">
        <f t="shared" si="0"/>
        <v>577653</v>
      </c>
      <c r="F5" s="400">
        <f t="shared" si="1"/>
        <v>0.8499999134428454</v>
      </c>
      <c r="G5" s="401" t="s">
        <v>1686</v>
      </c>
      <c r="H5" s="402">
        <v>577653</v>
      </c>
      <c r="I5" s="403">
        <v>491005</v>
      </c>
      <c r="J5" s="404">
        <v>86648</v>
      </c>
      <c r="K5" s="403"/>
    </row>
    <row r="6" spans="1:11" ht="26.25" customHeight="1">
      <c r="A6" s="396" t="s">
        <v>686</v>
      </c>
      <c r="B6" s="397" t="s">
        <v>938</v>
      </c>
      <c r="C6" s="398">
        <v>494387</v>
      </c>
      <c r="D6" s="398">
        <v>87244</v>
      </c>
      <c r="E6" s="399">
        <f t="shared" si="0"/>
        <v>581631</v>
      </c>
      <c r="F6" s="400">
        <f t="shared" si="1"/>
        <v>0.8500011175470359</v>
      </c>
      <c r="G6" s="401" t="s">
        <v>1686</v>
      </c>
      <c r="H6" s="402">
        <v>581631</v>
      </c>
      <c r="I6" s="403">
        <v>494387</v>
      </c>
      <c r="J6" s="404">
        <v>87244</v>
      </c>
      <c r="K6" s="403"/>
    </row>
    <row r="7" spans="1:11" ht="24" customHeight="1">
      <c r="A7" s="396" t="s">
        <v>688</v>
      </c>
      <c r="B7" s="397" t="s">
        <v>939</v>
      </c>
      <c r="C7" s="398">
        <v>261239</v>
      </c>
      <c r="D7" s="398">
        <v>0</v>
      </c>
      <c r="E7" s="399">
        <f t="shared" si="0"/>
        <v>261239</v>
      </c>
      <c r="F7" s="400">
        <f t="shared" si="1"/>
        <v>1</v>
      </c>
      <c r="G7" s="401" t="s">
        <v>1686</v>
      </c>
      <c r="H7" s="402">
        <v>259762</v>
      </c>
      <c r="I7" s="403">
        <v>261239</v>
      </c>
      <c r="J7" s="404">
        <v>-1477</v>
      </c>
      <c r="K7" s="403"/>
    </row>
    <row r="8" spans="1:11" ht="28.5" customHeight="1">
      <c r="A8" s="396" t="s">
        <v>1180</v>
      </c>
      <c r="B8" s="397" t="s">
        <v>940</v>
      </c>
      <c r="C8" s="398">
        <v>342265</v>
      </c>
      <c r="D8" s="398">
        <v>0</v>
      </c>
      <c r="E8" s="399">
        <f t="shared" si="0"/>
        <v>342265</v>
      </c>
      <c r="F8" s="400">
        <f t="shared" si="1"/>
        <v>1</v>
      </c>
      <c r="G8" s="401" t="s">
        <v>1686</v>
      </c>
      <c r="H8" s="402">
        <v>340423</v>
      </c>
      <c r="I8" s="403">
        <v>342265</v>
      </c>
      <c r="J8" s="404">
        <v>-1842</v>
      </c>
      <c r="K8" s="403"/>
    </row>
    <row r="9" spans="1:11" ht="27" customHeight="1">
      <c r="A9" s="396" t="s">
        <v>1178</v>
      </c>
      <c r="B9" s="397" t="s">
        <v>1691</v>
      </c>
      <c r="C9" s="398">
        <v>599168</v>
      </c>
      <c r="D9" s="398">
        <v>0</v>
      </c>
      <c r="E9" s="399">
        <f t="shared" si="0"/>
        <v>599168</v>
      </c>
      <c r="F9" s="400">
        <f t="shared" si="1"/>
        <v>1</v>
      </c>
      <c r="G9" s="401" t="s">
        <v>1686</v>
      </c>
      <c r="H9" s="402">
        <v>282579</v>
      </c>
      <c r="I9" s="403">
        <v>282579</v>
      </c>
      <c r="J9" s="404">
        <v>0</v>
      </c>
      <c r="K9" s="403"/>
    </row>
    <row r="10" spans="1:11" ht="38.25" customHeight="1">
      <c r="A10" s="396" t="s">
        <v>1183</v>
      </c>
      <c r="B10" s="397" t="s">
        <v>1692</v>
      </c>
      <c r="C10" s="398">
        <v>900843</v>
      </c>
      <c r="D10" s="398">
        <v>597021</v>
      </c>
      <c r="E10" s="399">
        <f t="shared" si="0"/>
        <v>1497864</v>
      </c>
      <c r="F10" s="400">
        <f t="shared" si="1"/>
        <v>0.6014184198298377</v>
      </c>
      <c r="G10" s="401" t="s">
        <v>1693</v>
      </c>
      <c r="H10" s="402">
        <v>118996</v>
      </c>
      <c r="I10" s="403">
        <v>100891</v>
      </c>
      <c r="J10" s="404">
        <v>18105</v>
      </c>
      <c r="K10" s="403"/>
    </row>
    <row r="11" spans="1:11" ht="29.25" customHeight="1">
      <c r="A11" s="396" t="s">
        <v>1185</v>
      </c>
      <c r="B11" s="397" t="s">
        <v>1694</v>
      </c>
      <c r="C11" s="398">
        <v>725000</v>
      </c>
      <c r="D11" s="398">
        <v>0</v>
      </c>
      <c r="E11" s="399">
        <f t="shared" si="0"/>
        <v>725000</v>
      </c>
      <c r="F11" s="400">
        <f t="shared" si="1"/>
        <v>1</v>
      </c>
      <c r="G11" s="401" t="s">
        <v>1686</v>
      </c>
      <c r="H11" s="402">
        <v>626698</v>
      </c>
      <c r="I11" s="403">
        <v>482483</v>
      </c>
      <c r="J11" s="404">
        <v>0</v>
      </c>
      <c r="K11" s="403">
        <v>144215</v>
      </c>
    </row>
    <row r="12" spans="1:11" ht="29.25" customHeight="1">
      <c r="A12" s="396" t="s">
        <v>1187</v>
      </c>
      <c r="B12" s="397" t="s">
        <v>947</v>
      </c>
      <c r="C12" s="398">
        <v>410499</v>
      </c>
      <c r="D12" s="398">
        <v>0</v>
      </c>
      <c r="E12" s="399">
        <f t="shared" si="0"/>
        <v>410499</v>
      </c>
      <c r="F12" s="400">
        <f t="shared" si="1"/>
        <v>1</v>
      </c>
      <c r="G12" s="401" t="s">
        <v>1686</v>
      </c>
      <c r="H12" s="402">
        <v>335334</v>
      </c>
      <c r="I12" s="403">
        <v>241925</v>
      </c>
      <c r="J12" s="404">
        <v>0</v>
      </c>
      <c r="K12" s="403">
        <v>93409</v>
      </c>
    </row>
    <row r="13" spans="1:11" ht="30.75" customHeight="1">
      <c r="A13" s="396" t="s">
        <v>1017</v>
      </c>
      <c r="B13" s="397" t="s">
        <v>948</v>
      </c>
      <c r="C13" s="398">
        <v>39694</v>
      </c>
      <c r="D13" s="398">
        <v>0</v>
      </c>
      <c r="E13" s="399">
        <f t="shared" si="0"/>
        <v>39694</v>
      </c>
      <c r="F13" s="400">
        <f t="shared" si="1"/>
        <v>1</v>
      </c>
      <c r="G13" s="401" t="s">
        <v>1686</v>
      </c>
      <c r="H13" s="398">
        <v>39614</v>
      </c>
      <c r="I13" s="405">
        <v>29770</v>
      </c>
      <c r="J13" s="406">
        <v>0</v>
      </c>
      <c r="K13" s="405">
        <v>9844</v>
      </c>
    </row>
    <row r="14" spans="1:11" ht="41.25" customHeight="1">
      <c r="A14" s="396" t="s">
        <v>1018</v>
      </c>
      <c r="B14" s="397" t="s">
        <v>949</v>
      </c>
      <c r="C14" s="398">
        <v>305063</v>
      </c>
      <c r="D14" s="398">
        <v>0</v>
      </c>
      <c r="E14" s="399">
        <f t="shared" si="0"/>
        <v>305063</v>
      </c>
      <c r="F14" s="400">
        <f t="shared" si="1"/>
        <v>1</v>
      </c>
      <c r="G14" s="401" t="s">
        <v>950</v>
      </c>
      <c r="H14" s="398">
        <v>254643</v>
      </c>
      <c r="I14" s="405">
        <v>200441</v>
      </c>
      <c r="J14" s="406">
        <v>0</v>
      </c>
      <c r="K14" s="405">
        <v>54202</v>
      </c>
    </row>
    <row r="15" spans="1:11" ht="18.75" customHeight="1">
      <c r="A15" s="396" t="s">
        <v>1019</v>
      </c>
      <c r="B15" s="397" t="s">
        <v>951</v>
      </c>
      <c r="C15" s="398">
        <v>31089</v>
      </c>
      <c r="D15" s="398">
        <v>0</v>
      </c>
      <c r="E15" s="399">
        <f t="shared" si="0"/>
        <v>31089</v>
      </c>
      <c r="F15" s="400">
        <f t="shared" si="1"/>
        <v>1</v>
      </c>
      <c r="G15" s="401" t="s">
        <v>1686</v>
      </c>
      <c r="H15" s="398">
        <v>18128</v>
      </c>
      <c r="I15" s="405">
        <v>17719</v>
      </c>
      <c r="J15" s="405">
        <v>0</v>
      </c>
      <c r="K15" s="405">
        <v>409</v>
      </c>
    </row>
    <row r="16" spans="1:11" ht="18.75" customHeight="1">
      <c r="A16" s="407"/>
      <c r="B16" s="392" t="s">
        <v>1658</v>
      </c>
      <c r="C16" s="408">
        <f>SUM(C4:C15)</f>
        <v>5358717</v>
      </c>
      <c r="D16" s="408">
        <f>SUM(D4:D15)</f>
        <v>770913</v>
      </c>
      <c r="E16" s="408">
        <f>SUM(E4:E15)</f>
        <v>6129630</v>
      </c>
      <c r="F16" s="408"/>
      <c r="G16" s="408"/>
      <c r="H16" s="408">
        <f>SUM(H4:H15)</f>
        <v>4189857</v>
      </c>
      <c r="I16" s="408">
        <f>SUM(I4:I15)</f>
        <v>3699100</v>
      </c>
      <c r="J16" s="408">
        <f>SUM(J4:J15)</f>
        <v>188678</v>
      </c>
      <c r="K16" s="408">
        <f>SUM(K4:K15)</f>
        <v>302079</v>
      </c>
    </row>
    <row r="17" spans="1:11" ht="14.25" customHeight="1">
      <c r="A17" s="409"/>
      <c r="B17" s="410"/>
      <c r="C17" s="411"/>
      <c r="D17" s="411"/>
      <c r="E17" s="412"/>
      <c r="F17" s="413"/>
      <c r="G17" s="414"/>
      <c r="H17" s="411"/>
      <c r="I17" s="415"/>
      <c r="J17" s="415"/>
      <c r="K17" s="415"/>
    </row>
    <row r="18" spans="1:11" ht="15.75" customHeight="1">
      <c r="A18" s="416"/>
      <c r="B18" s="417" t="s">
        <v>952</v>
      </c>
      <c r="C18" s="418"/>
      <c r="D18" s="418"/>
      <c r="E18" s="419"/>
      <c r="F18" s="420"/>
      <c r="G18" s="421"/>
      <c r="H18" s="418"/>
      <c r="I18" s="422"/>
      <c r="J18" s="422"/>
      <c r="K18" s="422"/>
    </row>
    <row r="19" spans="1:11" ht="39" customHeight="1">
      <c r="A19" s="396" t="s">
        <v>1020</v>
      </c>
      <c r="B19" s="423" t="s">
        <v>6</v>
      </c>
      <c r="C19" s="398">
        <v>12500</v>
      </c>
      <c r="D19" s="398">
        <v>0</v>
      </c>
      <c r="E19" s="399">
        <f aca="true" t="shared" si="2" ref="E19:E31">SUM(C19:D19)</f>
        <v>12500</v>
      </c>
      <c r="F19" s="400">
        <f aca="true" t="shared" si="3" ref="F19:F31">C19/E19</f>
        <v>1</v>
      </c>
      <c r="G19" s="401" t="s">
        <v>1686</v>
      </c>
      <c r="H19" s="398">
        <v>8500</v>
      </c>
      <c r="I19" s="405">
        <v>8500</v>
      </c>
      <c r="J19" s="405">
        <v>0</v>
      </c>
      <c r="K19" s="405"/>
    </row>
    <row r="20" spans="1:11" ht="42" customHeight="1">
      <c r="A20" s="396" t="s">
        <v>1021</v>
      </c>
      <c r="B20" s="423" t="s">
        <v>7</v>
      </c>
      <c r="C20" s="398">
        <v>79369</v>
      </c>
      <c r="D20" s="398">
        <v>0</v>
      </c>
      <c r="E20" s="399">
        <f t="shared" si="2"/>
        <v>79369</v>
      </c>
      <c r="F20" s="400">
        <f t="shared" si="3"/>
        <v>1</v>
      </c>
      <c r="G20" s="401" t="s">
        <v>953</v>
      </c>
      <c r="H20" s="398">
        <v>17966</v>
      </c>
      <c r="I20" s="405">
        <v>17966</v>
      </c>
      <c r="J20" s="405">
        <v>0</v>
      </c>
      <c r="K20" s="405"/>
    </row>
    <row r="21" spans="1:11" ht="39" customHeight="1">
      <c r="A21" s="396" t="s">
        <v>1022</v>
      </c>
      <c r="B21" s="423" t="s">
        <v>8</v>
      </c>
      <c r="C21" s="398">
        <v>27869</v>
      </c>
      <c r="D21" s="398">
        <v>0</v>
      </c>
      <c r="E21" s="399">
        <f t="shared" si="2"/>
        <v>27869</v>
      </c>
      <c r="F21" s="400">
        <f t="shared" si="3"/>
        <v>1</v>
      </c>
      <c r="G21" s="401" t="s">
        <v>950</v>
      </c>
      <c r="H21" s="398">
        <v>5780</v>
      </c>
      <c r="I21" s="405">
        <v>5780</v>
      </c>
      <c r="J21" s="405">
        <v>0</v>
      </c>
      <c r="K21" s="405"/>
    </row>
    <row r="22" spans="1:11" ht="39.75" customHeight="1">
      <c r="A22" s="396" t="s">
        <v>654</v>
      </c>
      <c r="B22" s="423" t="s">
        <v>9</v>
      </c>
      <c r="C22" s="398">
        <v>15135</v>
      </c>
      <c r="D22" s="398">
        <v>0</v>
      </c>
      <c r="E22" s="399">
        <f t="shared" si="2"/>
        <v>15135</v>
      </c>
      <c r="F22" s="400">
        <f t="shared" si="3"/>
        <v>1</v>
      </c>
      <c r="G22" s="401" t="s">
        <v>950</v>
      </c>
      <c r="H22" s="398">
        <v>3190</v>
      </c>
      <c r="I22" s="405">
        <v>3190</v>
      </c>
      <c r="J22" s="405">
        <v>0</v>
      </c>
      <c r="K22" s="405"/>
    </row>
    <row r="23" spans="1:11" ht="19.5" customHeight="1">
      <c r="A23" s="396" t="s">
        <v>1023</v>
      </c>
      <c r="B23" s="423" t="s">
        <v>1697</v>
      </c>
      <c r="C23" s="398">
        <v>9817</v>
      </c>
      <c r="D23" s="398">
        <v>0</v>
      </c>
      <c r="E23" s="399">
        <f t="shared" si="2"/>
        <v>9817</v>
      </c>
      <c r="F23" s="400">
        <f t="shared" si="3"/>
        <v>1</v>
      </c>
      <c r="G23" s="401" t="s">
        <v>950</v>
      </c>
      <c r="H23" s="398">
        <v>3294</v>
      </c>
      <c r="I23" s="405">
        <v>3294</v>
      </c>
      <c r="J23" s="405">
        <v>0</v>
      </c>
      <c r="K23" s="405"/>
    </row>
    <row r="24" spans="1:11" ht="18.75" customHeight="1">
      <c r="A24" s="396" t="s">
        <v>1024</v>
      </c>
      <c r="B24" s="423" t="s">
        <v>1698</v>
      </c>
      <c r="C24" s="398">
        <v>27678</v>
      </c>
      <c r="D24" s="398">
        <v>0</v>
      </c>
      <c r="E24" s="399">
        <f t="shared" si="2"/>
        <v>27678</v>
      </c>
      <c r="F24" s="400">
        <f t="shared" si="3"/>
        <v>1</v>
      </c>
      <c r="G24" s="401" t="s">
        <v>950</v>
      </c>
      <c r="H24" s="398">
        <v>11413</v>
      </c>
      <c r="I24" s="405">
        <v>11413</v>
      </c>
      <c r="J24" s="405">
        <v>0</v>
      </c>
      <c r="K24" s="405"/>
    </row>
    <row r="25" spans="1:11" ht="18" customHeight="1">
      <c r="A25" s="396" t="s">
        <v>954</v>
      </c>
      <c r="B25" s="423" t="s">
        <v>1699</v>
      </c>
      <c r="C25" s="398">
        <v>27988</v>
      </c>
      <c r="D25" s="398">
        <v>0</v>
      </c>
      <c r="E25" s="399">
        <f t="shared" si="2"/>
        <v>27988</v>
      </c>
      <c r="F25" s="400">
        <f t="shared" si="3"/>
        <v>1</v>
      </c>
      <c r="G25" s="401" t="s">
        <v>950</v>
      </c>
      <c r="H25" s="398">
        <v>5878</v>
      </c>
      <c r="I25" s="405">
        <v>5878</v>
      </c>
      <c r="J25" s="405">
        <v>0</v>
      </c>
      <c r="K25" s="405"/>
    </row>
    <row r="26" spans="1:11" ht="17.25" customHeight="1">
      <c r="A26" s="396" t="s">
        <v>955</v>
      </c>
      <c r="B26" s="423" t="s">
        <v>1700</v>
      </c>
      <c r="C26" s="398">
        <v>94448</v>
      </c>
      <c r="D26" s="398">
        <v>0</v>
      </c>
      <c r="E26" s="399">
        <f t="shared" si="2"/>
        <v>94448</v>
      </c>
      <c r="F26" s="400">
        <f t="shared" si="3"/>
        <v>1</v>
      </c>
      <c r="G26" s="401" t="s">
        <v>950</v>
      </c>
      <c r="H26" s="398">
        <v>3125</v>
      </c>
      <c r="I26" s="405">
        <v>3125</v>
      </c>
      <c r="J26" s="405">
        <v>0</v>
      </c>
      <c r="K26" s="405"/>
    </row>
    <row r="27" spans="1:11" ht="26.25" customHeight="1">
      <c r="A27" s="396" t="s">
        <v>956</v>
      </c>
      <c r="B27" s="423" t="s">
        <v>10</v>
      </c>
      <c r="C27" s="398">
        <v>9976</v>
      </c>
      <c r="D27" s="398">
        <v>0</v>
      </c>
      <c r="E27" s="399">
        <f t="shared" si="2"/>
        <v>9976</v>
      </c>
      <c r="F27" s="400">
        <f t="shared" si="3"/>
        <v>1</v>
      </c>
      <c r="G27" s="401" t="s">
        <v>950</v>
      </c>
      <c r="H27" s="398">
        <v>306</v>
      </c>
      <c r="I27" s="405">
        <v>306</v>
      </c>
      <c r="J27" s="405">
        <v>0</v>
      </c>
      <c r="K27" s="405"/>
    </row>
    <row r="28" spans="1:11" ht="23.25" customHeight="1">
      <c r="A28" s="396" t="s">
        <v>754</v>
      </c>
      <c r="B28" s="423" t="s">
        <v>11</v>
      </c>
      <c r="C28" s="398">
        <v>28014</v>
      </c>
      <c r="D28" s="398">
        <v>0</v>
      </c>
      <c r="E28" s="399">
        <f t="shared" si="2"/>
        <v>28014</v>
      </c>
      <c r="F28" s="400">
        <f t="shared" si="3"/>
        <v>1</v>
      </c>
      <c r="G28" s="401" t="s">
        <v>950</v>
      </c>
      <c r="H28" s="398">
        <v>161</v>
      </c>
      <c r="I28" s="405">
        <v>161</v>
      </c>
      <c r="J28" s="405">
        <v>0</v>
      </c>
      <c r="K28" s="405"/>
    </row>
    <row r="29" spans="1:11" ht="24.75" customHeight="1">
      <c r="A29" s="396" t="s">
        <v>963</v>
      </c>
      <c r="B29" s="423" t="s">
        <v>12</v>
      </c>
      <c r="C29" s="398">
        <v>17854</v>
      </c>
      <c r="D29" s="398">
        <v>0</v>
      </c>
      <c r="E29" s="399">
        <f t="shared" si="2"/>
        <v>17854</v>
      </c>
      <c r="F29" s="400">
        <f t="shared" si="3"/>
        <v>1</v>
      </c>
      <c r="G29" s="401" t="s">
        <v>950</v>
      </c>
      <c r="H29" s="398">
        <v>62</v>
      </c>
      <c r="I29" s="405">
        <v>62</v>
      </c>
      <c r="J29" s="405">
        <v>0</v>
      </c>
      <c r="K29" s="405"/>
    </row>
    <row r="30" spans="1:11" ht="31.5" customHeight="1">
      <c r="A30" s="396" t="s">
        <v>964</v>
      </c>
      <c r="B30" s="423" t="s">
        <v>13</v>
      </c>
      <c r="C30" s="398">
        <v>10620</v>
      </c>
      <c r="D30" s="398">
        <v>0</v>
      </c>
      <c r="E30" s="399">
        <f t="shared" si="2"/>
        <v>10620</v>
      </c>
      <c r="F30" s="400">
        <f t="shared" si="3"/>
        <v>1</v>
      </c>
      <c r="G30" s="401" t="s">
        <v>950</v>
      </c>
      <c r="H30" s="398">
        <v>421</v>
      </c>
      <c r="I30" s="405">
        <v>421</v>
      </c>
      <c r="J30" s="405">
        <v>0</v>
      </c>
      <c r="K30" s="405"/>
    </row>
    <row r="31" spans="1:11" ht="30.75" customHeight="1">
      <c r="A31" s="396" t="s">
        <v>1695</v>
      </c>
      <c r="B31" s="423" t="s">
        <v>14</v>
      </c>
      <c r="C31" s="424">
        <v>40322</v>
      </c>
      <c r="D31" s="424">
        <v>0</v>
      </c>
      <c r="E31" s="399">
        <f t="shared" si="2"/>
        <v>40322</v>
      </c>
      <c r="F31" s="400">
        <f t="shared" si="3"/>
        <v>1</v>
      </c>
      <c r="G31" s="425">
        <v>2009</v>
      </c>
      <c r="H31" s="405">
        <v>43</v>
      </c>
      <c r="I31" s="405">
        <v>43</v>
      </c>
      <c r="J31" s="405">
        <v>0</v>
      </c>
      <c r="K31" s="405"/>
    </row>
    <row r="32" spans="1:11" ht="13.5">
      <c r="A32" s="426"/>
      <c r="B32" s="427" t="s">
        <v>957</v>
      </c>
      <c r="C32" s="428">
        <f>SUM(C19:C31)</f>
        <v>401590</v>
      </c>
      <c r="D32" s="428">
        <f>SUM(D19:D31)</f>
        <v>0</v>
      </c>
      <c r="E32" s="428">
        <f>SUM(E19:E31)</f>
        <v>401590</v>
      </c>
      <c r="F32" s="429"/>
      <c r="G32" s="429"/>
      <c r="H32" s="428">
        <f>SUM(H19:H31)</f>
        <v>60139</v>
      </c>
      <c r="I32" s="428">
        <f>SUM(I19:I31)</f>
        <v>60139</v>
      </c>
      <c r="J32" s="428">
        <f>SUM(J19:J31)</f>
        <v>0</v>
      </c>
      <c r="K32" s="428"/>
    </row>
    <row r="33" spans="1:11" ht="13.5">
      <c r="A33" s="430"/>
      <c r="B33" s="431"/>
      <c r="C33" s="442"/>
      <c r="D33" s="442"/>
      <c r="E33" s="442"/>
      <c r="F33" s="432"/>
      <c r="G33" s="432"/>
      <c r="H33" s="442"/>
      <c r="I33" s="442"/>
      <c r="J33" s="442"/>
      <c r="K33" s="442"/>
    </row>
    <row r="34" spans="1:11" ht="18.75" customHeight="1" thickBot="1">
      <c r="A34" s="433"/>
      <c r="B34" s="434" t="s">
        <v>1701</v>
      </c>
      <c r="C34" s="435"/>
      <c r="D34" s="433"/>
      <c r="E34" s="433"/>
      <c r="F34" s="436"/>
      <c r="G34" s="433"/>
      <c r="H34" s="436"/>
      <c r="I34" s="433"/>
      <c r="J34" s="433"/>
      <c r="K34" s="437"/>
    </row>
    <row r="35" spans="1:11" ht="27" customHeight="1">
      <c r="A35" s="1499" t="s">
        <v>780</v>
      </c>
      <c r="B35" s="1502" t="s">
        <v>781</v>
      </c>
      <c r="C35" s="1496" t="s">
        <v>782</v>
      </c>
      <c r="D35" s="1496" t="s">
        <v>783</v>
      </c>
      <c r="E35" s="1496" t="s">
        <v>784</v>
      </c>
      <c r="F35" s="1496" t="s">
        <v>1678</v>
      </c>
      <c r="G35" s="1505" t="s">
        <v>1679</v>
      </c>
      <c r="H35" s="1508" t="s">
        <v>1680</v>
      </c>
      <c r="I35" s="1509"/>
      <c r="J35" s="1509"/>
      <c r="K35" s="1509"/>
    </row>
    <row r="36" spans="1:11" ht="18.75" customHeight="1">
      <c r="A36" s="1500"/>
      <c r="B36" s="1497"/>
      <c r="C36" s="1497"/>
      <c r="D36" s="1497"/>
      <c r="E36" s="1497"/>
      <c r="F36" s="1497"/>
      <c r="G36" s="1506"/>
      <c r="H36" s="1503" t="s">
        <v>1681</v>
      </c>
      <c r="I36" s="1503" t="s">
        <v>1682</v>
      </c>
      <c r="J36" s="1509"/>
      <c r="K36" s="1509"/>
    </row>
    <row r="37" spans="1:11" ht="36" customHeight="1" thickBot="1">
      <c r="A37" s="1501"/>
      <c r="B37" s="1498"/>
      <c r="C37" s="1498"/>
      <c r="D37" s="1498"/>
      <c r="E37" s="1498"/>
      <c r="F37" s="1498"/>
      <c r="G37" s="1507"/>
      <c r="H37" s="1504"/>
      <c r="I37" s="393" t="s">
        <v>1683</v>
      </c>
      <c r="J37" s="392" t="s">
        <v>15</v>
      </c>
      <c r="K37" s="394" t="s">
        <v>1684</v>
      </c>
    </row>
    <row r="38" spans="1:11" ht="63.75">
      <c r="A38" s="396" t="s">
        <v>1696</v>
      </c>
      <c r="B38" s="423" t="s">
        <v>1704</v>
      </c>
      <c r="C38" s="398">
        <v>3780364</v>
      </c>
      <c r="D38" s="398">
        <v>459001</v>
      </c>
      <c r="E38" s="399">
        <f>SUM(C38:D38)</f>
        <v>4239365</v>
      </c>
      <c r="F38" s="400">
        <f>C38/E38</f>
        <v>0.8917288320302686</v>
      </c>
      <c r="G38" s="401" t="s">
        <v>1686</v>
      </c>
      <c r="H38" s="398">
        <v>355893</v>
      </c>
      <c r="I38" s="405">
        <v>0</v>
      </c>
      <c r="J38" s="405">
        <v>355893</v>
      </c>
      <c r="K38" s="405">
        <v>355893</v>
      </c>
    </row>
  </sheetData>
  <sheetProtection/>
  <mergeCells count="20">
    <mergeCell ref="C35:C37"/>
    <mergeCell ref="D35:D37"/>
    <mergeCell ref="H2:H3"/>
    <mergeCell ref="G1:G3"/>
    <mergeCell ref="H1:K1"/>
    <mergeCell ref="I2:K2"/>
    <mergeCell ref="G35:G37"/>
    <mergeCell ref="H35:K35"/>
    <mergeCell ref="H36:H37"/>
    <mergeCell ref="I36:K36"/>
    <mergeCell ref="E35:E37"/>
    <mergeCell ref="F35:F37"/>
    <mergeCell ref="A1:A3"/>
    <mergeCell ref="B1:B3"/>
    <mergeCell ref="C1:C3"/>
    <mergeCell ref="D1:D3"/>
    <mergeCell ref="E1:E3"/>
    <mergeCell ref="F1:F3"/>
    <mergeCell ref="A35:A37"/>
    <mergeCell ref="B35:B3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2014. évben&amp;R&amp;"Times New Roman CE,Dőlt"&amp;11 13. melléklet
adatok eFt-ban
&amp;"Times New Roman CE,Normál"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4">
      <selection activeCell="E14" sqref="E14"/>
    </sheetView>
  </sheetViews>
  <sheetFormatPr defaultColWidth="9.00390625" defaultRowHeight="12.75"/>
  <cols>
    <col min="1" max="1" width="8.375" style="28" customWidth="1"/>
    <col min="2" max="2" width="63.875" style="26" customWidth="1"/>
    <col min="3" max="3" width="11.875" style="26" customWidth="1"/>
    <col min="4" max="5" width="11.875" style="24" customWidth="1"/>
    <col min="6" max="16384" width="9.375" style="24" customWidth="1"/>
  </cols>
  <sheetData>
    <row r="1" spans="1:5" s="21" customFormat="1" ht="69.75" customHeight="1" thickBot="1">
      <c r="A1" s="600" t="s">
        <v>438</v>
      </c>
      <c r="B1" s="601" t="s">
        <v>1345</v>
      </c>
      <c r="C1" s="602" t="s">
        <v>785</v>
      </c>
      <c r="D1" s="603" t="s">
        <v>786</v>
      </c>
      <c r="E1" s="603" t="s">
        <v>788</v>
      </c>
    </row>
    <row r="2" spans="1:5" s="27" customFormat="1" ht="14.25" customHeight="1">
      <c r="A2" s="604" t="s">
        <v>1092</v>
      </c>
      <c r="B2" s="605" t="s">
        <v>42</v>
      </c>
      <c r="C2" s="605"/>
      <c r="D2" s="606"/>
      <c r="E2" s="606"/>
    </row>
    <row r="3" spans="1:5" s="21" customFormat="1" ht="14.25" customHeight="1">
      <c r="A3" s="604" t="s">
        <v>1093</v>
      </c>
      <c r="B3" s="605" t="s">
        <v>1094</v>
      </c>
      <c r="C3" s="607"/>
      <c r="D3" s="608"/>
      <c r="E3" s="608"/>
    </row>
    <row r="4" spans="1:5" s="21" customFormat="1" ht="14.25" customHeight="1">
      <c r="A4" s="609" t="s">
        <v>1095</v>
      </c>
      <c r="B4" s="607" t="s">
        <v>1096</v>
      </c>
      <c r="C4" s="607"/>
      <c r="D4" s="608"/>
      <c r="E4" s="608"/>
    </row>
    <row r="5" spans="1:5" s="21" customFormat="1" ht="14.25" customHeight="1">
      <c r="A5" s="610" t="s">
        <v>1097</v>
      </c>
      <c r="B5" s="607" t="s">
        <v>1098</v>
      </c>
      <c r="C5" s="607">
        <v>267882</v>
      </c>
      <c r="D5" s="611">
        <v>-1</v>
      </c>
      <c r="E5" s="611">
        <f aca="true" t="shared" si="0" ref="E5:E11">SUM(C5:D5)</f>
        <v>267881</v>
      </c>
    </row>
    <row r="6" spans="1:5" s="21" customFormat="1" ht="14.25" customHeight="1">
      <c r="A6" s="610" t="s">
        <v>1099</v>
      </c>
      <c r="B6" s="607" t="s">
        <v>1113</v>
      </c>
      <c r="C6" s="607">
        <v>832456</v>
      </c>
      <c r="D6" s="611"/>
      <c r="E6" s="611">
        <f t="shared" si="0"/>
        <v>832456</v>
      </c>
    </row>
    <row r="7" spans="1:5" s="21" customFormat="1" ht="24.75" customHeight="1">
      <c r="A7" s="610" t="s">
        <v>1100</v>
      </c>
      <c r="B7" s="607" t="s">
        <v>1101</v>
      </c>
      <c r="C7" s="607">
        <v>628845</v>
      </c>
      <c r="D7" s="574">
        <v>279310</v>
      </c>
      <c r="E7" s="574">
        <f t="shared" si="0"/>
        <v>908155</v>
      </c>
    </row>
    <row r="8" spans="1:5" s="21" customFormat="1" ht="15" customHeight="1">
      <c r="A8" s="610" t="s">
        <v>1102</v>
      </c>
      <c r="B8" s="607" t="s">
        <v>1104</v>
      </c>
      <c r="C8" s="607">
        <v>651383</v>
      </c>
      <c r="D8" s="611">
        <v>12</v>
      </c>
      <c r="E8" s="611">
        <f t="shared" si="0"/>
        <v>651395</v>
      </c>
    </row>
    <row r="9" spans="1:5" s="21" customFormat="1" ht="15" customHeight="1">
      <c r="A9" s="610" t="s">
        <v>1103</v>
      </c>
      <c r="B9" s="607" t="s">
        <v>1105</v>
      </c>
      <c r="C9" s="607">
        <v>19133</v>
      </c>
      <c r="D9" s="611">
        <v>26196</v>
      </c>
      <c r="E9" s="611">
        <f t="shared" si="0"/>
        <v>45329</v>
      </c>
    </row>
    <row r="10" spans="1:5" s="21" customFormat="1" ht="15" customHeight="1">
      <c r="A10" s="610" t="s">
        <v>789</v>
      </c>
      <c r="B10" s="607" t="s">
        <v>790</v>
      </c>
      <c r="C10" s="607"/>
      <c r="D10" s="611">
        <v>131446</v>
      </c>
      <c r="E10" s="611">
        <f t="shared" si="0"/>
        <v>131446</v>
      </c>
    </row>
    <row r="11" spans="1:5" s="21" customFormat="1" ht="15" customHeight="1">
      <c r="A11" s="609" t="s">
        <v>175</v>
      </c>
      <c r="B11" s="607" t="s">
        <v>176</v>
      </c>
      <c r="C11" s="607">
        <v>421218</v>
      </c>
      <c r="D11" s="611">
        <v>114345</v>
      </c>
      <c r="E11" s="611">
        <f t="shared" si="0"/>
        <v>535563</v>
      </c>
    </row>
    <row r="12" spans="1:5" s="22" customFormat="1" ht="14.25" customHeight="1">
      <c r="A12" s="602"/>
      <c r="B12" s="612" t="s">
        <v>1106</v>
      </c>
      <c r="C12" s="612">
        <f>SUM(C4:C11)</f>
        <v>2820917</v>
      </c>
      <c r="D12" s="612">
        <f>SUM(D4:D11)</f>
        <v>551308</v>
      </c>
      <c r="E12" s="612">
        <f>SUM(E4:E11)</f>
        <v>3372225</v>
      </c>
    </row>
    <row r="13" spans="1:5" s="21" customFormat="1" ht="14.25" customHeight="1">
      <c r="A13" s="604" t="s">
        <v>1107</v>
      </c>
      <c r="B13" s="605" t="s">
        <v>1108</v>
      </c>
      <c r="C13" s="607"/>
      <c r="D13" s="611"/>
      <c r="E13" s="611">
        <f>SUM(C13:D13)</f>
        <v>0</v>
      </c>
    </row>
    <row r="14" spans="1:5" s="21" customFormat="1" ht="14.25" customHeight="1">
      <c r="A14" s="609" t="s">
        <v>1109</v>
      </c>
      <c r="B14" s="607" t="s">
        <v>1110</v>
      </c>
      <c r="C14" s="607"/>
      <c r="D14" s="611">
        <v>1204812</v>
      </c>
      <c r="E14" s="611">
        <f>SUM(C14:D14)</f>
        <v>1204812</v>
      </c>
    </row>
    <row r="15" spans="1:5" s="21" customFormat="1" ht="23.25" customHeight="1">
      <c r="A15" s="609" t="s">
        <v>1111</v>
      </c>
      <c r="B15" s="607" t="s">
        <v>1112</v>
      </c>
      <c r="C15" s="607">
        <v>4607238</v>
      </c>
      <c r="D15" s="574">
        <v>269479</v>
      </c>
      <c r="E15" s="574">
        <f>SUM(C15:D15)</f>
        <v>4876717</v>
      </c>
    </row>
    <row r="16" spans="1:5" s="22" customFormat="1" ht="14.25" customHeight="1">
      <c r="A16" s="602"/>
      <c r="B16" s="612" t="s">
        <v>1114</v>
      </c>
      <c r="C16" s="612">
        <f>SUM(C14:C15)</f>
        <v>4607238</v>
      </c>
      <c r="D16" s="612">
        <f>SUM(D14:D15)</f>
        <v>1474291</v>
      </c>
      <c r="E16" s="612">
        <f>SUM(E14:E15)</f>
        <v>6081529</v>
      </c>
    </row>
    <row r="17" spans="1:5" s="21" customFormat="1" ht="14.25" customHeight="1">
      <c r="A17" s="604" t="s">
        <v>1115</v>
      </c>
      <c r="B17" s="605" t="s">
        <v>1661</v>
      </c>
      <c r="C17" s="607"/>
      <c r="D17" s="611"/>
      <c r="E17" s="611">
        <f aca="true" t="shared" si="1" ref="E17:E22">SUM(C17:D17)</f>
        <v>0</v>
      </c>
    </row>
    <row r="18" spans="1:5" s="21" customFormat="1" ht="14.25" customHeight="1">
      <c r="A18" s="609" t="s">
        <v>1116</v>
      </c>
      <c r="B18" s="607" t="s">
        <v>1119</v>
      </c>
      <c r="C18" s="607"/>
      <c r="D18" s="611"/>
      <c r="E18" s="611">
        <f t="shared" si="1"/>
        <v>0</v>
      </c>
    </row>
    <row r="19" spans="1:5" s="21" customFormat="1" ht="14.25" customHeight="1">
      <c r="A19" s="610" t="s">
        <v>1117</v>
      </c>
      <c r="B19" s="607" t="s">
        <v>1118</v>
      </c>
      <c r="C19" s="607">
        <v>4000000</v>
      </c>
      <c r="D19" s="611"/>
      <c r="E19" s="611">
        <f t="shared" si="1"/>
        <v>4000000</v>
      </c>
    </row>
    <row r="20" spans="1:5" s="21" customFormat="1" ht="14.25" customHeight="1">
      <c r="A20" s="610" t="s">
        <v>1120</v>
      </c>
      <c r="B20" s="607" t="s">
        <v>1121</v>
      </c>
      <c r="C20" s="607">
        <v>240000</v>
      </c>
      <c r="D20" s="611"/>
      <c r="E20" s="611">
        <f t="shared" si="1"/>
        <v>240000</v>
      </c>
    </row>
    <row r="21" spans="1:5" s="21" customFormat="1" ht="14.25" customHeight="1">
      <c r="A21" s="610" t="s">
        <v>1122</v>
      </c>
      <c r="B21" s="607" t="s">
        <v>1123</v>
      </c>
      <c r="C21" s="607">
        <v>13500</v>
      </c>
      <c r="D21" s="611"/>
      <c r="E21" s="611">
        <f t="shared" si="1"/>
        <v>13500</v>
      </c>
    </row>
    <row r="22" spans="1:5" s="21" customFormat="1" ht="14.25" customHeight="1">
      <c r="A22" s="609" t="s">
        <v>1124</v>
      </c>
      <c r="B22" s="607" t="s">
        <v>1126</v>
      </c>
      <c r="C22" s="607">
        <v>5000</v>
      </c>
      <c r="D22" s="611"/>
      <c r="E22" s="611">
        <f t="shared" si="1"/>
        <v>5000</v>
      </c>
    </row>
    <row r="23" spans="1:5" ht="15" customHeight="1">
      <c r="A23" s="602"/>
      <c r="B23" s="612" t="s">
        <v>1125</v>
      </c>
      <c r="C23" s="612">
        <f>SUM(C17:C22)</f>
        <v>4258500</v>
      </c>
      <c r="D23" s="612">
        <f>SUM(D17:D22)</f>
        <v>0</v>
      </c>
      <c r="E23" s="612">
        <f>SUM(E17:E22)</f>
        <v>4258500</v>
      </c>
    </row>
    <row r="24" spans="1:5" s="21" customFormat="1" ht="15" customHeight="1">
      <c r="A24" s="604" t="s">
        <v>1127</v>
      </c>
      <c r="B24" s="605" t="s">
        <v>1666</v>
      </c>
      <c r="C24" s="605">
        <v>2115965</v>
      </c>
      <c r="D24" s="605">
        <v>517698</v>
      </c>
      <c r="E24" s="605">
        <f>SUM(C24:D24)</f>
        <v>2633663</v>
      </c>
    </row>
    <row r="25" spans="1:5" s="21" customFormat="1" ht="15" customHeight="1">
      <c r="A25" s="604" t="s">
        <v>1128</v>
      </c>
      <c r="B25" s="605" t="s">
        <v>1667</v>
      </c>
      <c r="C25" s="607"/>
      <c r="D25" s="611"/>
      <c r="E25" s="611"/>
    </row>
    <row r="26" spans="1:5" s="21" customFormat="1" ht="15" customHeight="1">
      <c r="A26" s="613" t="s">
        <v>1129</v>
      </c>
      <c r="B26" s="607" t="s">
        <v>1130</v>
      </c>
      <c r="C26" s="607">
        <v>251100</v>
      </c>
      <c r="D26" s="611">
        <v>2500</v>
      </c>
      <c r="E26" s="611">
        <f>SUM(C26:D26)</f>
        <v>253600</v>
      </c>
    </row>
    <row r="27" spans="1:5" s="21" customFormat="1" ht="15" customHeight="1">
      <c r="A27" s="613" t="s">
        <v>539</v>
      </c>
      <c r="B27" s="607" t="s">
        <v>540</v>
      </c>
      <c r="C27" s="607"/>
      <c r="D27" s="611">
        <v>400</v>
      </c>
      <c r="E27" s="611">
        <f>SUM(C27:D27)</f>
        <v>400</v>
      </c>
    </row>
    <row r="28" spans="1:5" s="21" customFormat="1" ht="15" customHeight="1">
      <c r="A28" s="614"/>
      <c r="B28" s="612" t="s">
        <v>1131</v>
      </c>
      <c r="C28" s="612">
        <f>SUM(C26:C27)</f>
        <v>251100</v>
      </c>
      <c r="D28" s="612">
        <f>SUM(D26:D27)</f>
        <v>2900</v>
      </c>
      <c r="E28" s="612">
        <f>SUM(E26:E27)</f>
        <v>254000</v>
      </c>
    </row>
    <row r="29" spans="1:5" s="21" customFormat="1" ht="15" customHeight="1">
      <c r="A29" s="602" t="s">
        <v>1132</v>
      </c>
      <c r="B29" s="612" t="s">
        <v>1668</v>
      </c>
      <c r="C29" s="612">
        <v>59600</v>
      </c>
      <c r="D29" s="612">
        <v>954</v>
      </c>
      <c r="E29" s="612">
        <f>SUM(C29:D29)</f>
        <v>60554</v>
      </c>
    </row>
    <row r="30" spans="1:5" s="21" customFormat="1" ht="15" customHeight="1">
      <c r="A30" s="604" t="s">
        <v>1133</v>
      </c>
      <c r="B30" s="605" t="s">
        <v>1669</v>
      </c>
      <c r="C30" s="605"/>
      <c r="D30" s="611"/>
      <c r="E30" s="611">
        <f>SUM(C30:D30)</f>
        <v>0</v>
      </c>
    </row>
    <row r="31" spans="1:5" s="21" customFormat="1" ht="24.75" customHeight="1">
      <c r="A31" s="613" t="s">
        <v>1134</v>
      </c>
      <c r="B31" s="607" t="s">
        <v>1135</v>
      </c>
      <c r="C31" s="607">
        <v>20000</v>
      </c>
      <c r="D31" s="611"/>
      <c r="E31" s="611">
        <f>SUM(C31:D31)</f>
        <v>20000</v>
      </c>
    </row>
    <row r="32" spans="1:5" s="21" customFormat="1" ht="15" customHeight="1">
      <c r="A32" s="613" t="s">
        <v>1136</v>
      </c>
      <c r="B32" s="607" t="s">
        <v>1137</v>
      </c>
      <c r="C32" s="607">
        <v>200000</v>
      </c>
      <c r="D32" s="611">
        <v>1146</v>
      </c>
      <c r="E32" s="611">
        <f>SUM(C32:D32)</f>
        <v>201146</v>
      </c>
    </row>
    <row r="33" spans="1:5" s="21" customFormat="1" ht="15" customHeight="1">
      <c r="A33" s="614"/>
      <c r="B33" s="612" t="s">
        <v>1138</v>
      </c>
      <c r="C33" s="612">
        <f>SUM(C31:C32)</f>
        <v>220000</v>
      </c>
      <c r="D33" s="612">
        <f>SUM(D31:D32)</f>
        <v>1146</v>
      </c>
      <c r="E33" s="612">
        <f>SUM(E31:E32)</f>
        <v>221146</v>
      </c>
    </row>
    <row r="34" spans="1:5" s="21" customFormat="1" ht="15" customHeight="1">
      <c r="A34" s="602" t="s">
        <v>1139</v>
      </c>
      <c r="B34" s="612" t="s">
        <v>1360</v>
      </c>
      <c r="C34" s="612">
        <f>SUM(C12+C16+C23+C24+C28+C29+C33)</f>
        <v>14333320</v>
      </c>
      <c r="D34" s="612">
        <f>SUM(D12+D16+D23+D24+D28+D29+D33)</f>
        <v>2548297</v>
      </c>
      <c r="E34" s="612">
        <f>SUM(E12+E16+E23+E24+E28+E29+E33)</f>
        <v>16881617</v>
      </c>
    </row>
    <row r="35" spans="1:5" s="21" customFormat="1" ht="15.75" customHeight="1">
      <c r="A35" s="604" t="s">
        <v>1140</v>
      </c>
      <c r="B35" s="605" t="s">
        <v>773</v>
      </c>
      <c r="C35" s="605"/>
      <c r="D35" s="611"/>
      <c r="E35" s="611">
        <f>SUM(C35:D35)</f>
        <v>0</v>
      </c>
    </row>
    <row r="36" spans="1:5" s="21" customFormat="1" ht="14.25" customHeight="1">
      <c r="A36" s="609" t="s">
        <v>1141</v>
      </c>
      <c r="B36" s="607" t="s">
        <v>1142</v>
      </c>
      <c r="C36" s="607"/>
      <c r="D36" s="611"/>
      <c r="E36" s="611">
        <f>SUM(C36:D36)</f>
        <v>0</v>
      </c>
    </row>
    <row r="37" spans="1:5" s="21" customFormat="1" ht="14.25" customHeight="1">
      <c r="A37" s="615" t="s">
        <v>1143</v>
      </c>
      <c r="B37" s="616" t="s">
        <v>1144</v>
      </c>
      <c r="C37" s="607">
        <v>658892</v>
      </c>
      <c r="D37" s="611">
        <v>-20000</v>
      </c>
      <c r="E37" s="611">
        <f>SUM(C37:D37)</f>
        <v>638892</v>
      </c>
    </row>
    <row r="38" spans="1:5" s="21" customFormat="1" ht="14.25" customHeight="1">
      <c r="A38" s="615" t="s">
        <v>1145</v>
      </c>
      <c r="B38" s="616" t="s">
        <v>1362</v>
      </c>
      <c r="C38" s="607">
        <v>2966806</v>
      </c>
      <c r="D38" s="611">
        <v>517494</v>
      </c>
      <c r="E38" s="611">
        <f>SUM(C38:D38)</f>
        <v>3484300</v>
      </c>
    </row>
    <row r="39" spans="1:5" s="21" customFormat="1" ht="14.25" customHeight="1">
      <c r="A39" s="617"/>
      <c r="B39" s="612" t="s">
        <v>1146</v>
      </c>
      <c r="C39" s="618">
        <f>SUM(C37:C38)</f>
        <v>3625698</v>
      </c>
      <c r="D39" s="618">
        <f>SUM(D37:D38)</f>
        <v>497494</v>
      </c>
      <c r="E39" s="618">
        <f>SUM(E37:E38)</f>
        <v>4123192</v>
      </c>
    </row>
    <row r="40" spans="1:5" ht="15.75" customHeight="1">
      <c r="A40" s="602"/>
      <c r="B40" s="612" t="s">
        <v>1147</v>
      </c>
      <c r="C40" s="612">
        <f>SUM(C34+C39)</f>
        <v>17959018</v>
      </c>
      <c r="D40" s="612">
        <f>SUM(D34+D39)</f>
        <v>3045791</v>
      </c>
      <c r="E40" s="612">
        <f>SUM(E34+E39)</f>
        <v>21004809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208" t="s">
        <v>54</v>
      </c>
      <c r="B1" s="338" t="s">
        <v>968</v>
      </c>
    </row>
    <row r="2" spans="1:4" ht="24.75" customHeight="1">
      <c r="A2" s="339" t="s">
        <v>55</v>
      </c>
      <c r="B2" s="441" t="s">
        <v>1702</v>
      </c>
      <c r="C2" s="341"/>
      <c r="D2" s="342"/>
    </row>
    <row r="3" spans="1:4" ht="24.75" customHeight="1">
      <c r="A3" s="339" t="s">
        <v>56</v>
      </c>
      <c r="B3" s="340">
        <v>800</v>
      </c>
      <c r="C3" s="341"/>
      <c r="D3" s="342"/>
    </row>
    <row r="4" spans="1:4" ht="24.75" customHeight="1">
      <c r="A4" s="343" t="s">
        <v>57</v>
      </c>
      <c r="B4" s="340">
        <v>45537</v>
      </c>
      <c r="C4" s="341"/>
      <c r="D4" s="342"/>
    </row>
    <row r="5" spans="1:4" ht="24.75" customHeight="1">
      <c r="A5" s="343" t="s">
        <v>58</v>
      </c>
      <c r="B5" s="340">
        <v>49294</v>
      </c>
      <c r="C5" s="341"/>
      <c r="D5" s="342"/>
    </row>
    <row r="6" spans="1:4" ht="24.75" customHeight="1">
      <c r="A6" s="339" t="s">
        <v>59</v>
      </c>
      <c r="B6" s="344"/>
      <c r="C6" s="341"/>
      <c r="D6" s="342"/>
    </row>
    <row r="7" spans="1:2" ht="13.5" customHeight="1">
      <c r="A7" s="345" t="s">
        <v>1658</v>
      </c>
      <c r="B7" s="346">
        <f>SUM(B2:B6)</f>
        <v>95631</v>
      </c>
    </row>
    <row r="8" ht="13.5" customHeight="1">
      <c r="B8" s="347"/>
    </row>
    <row r="10" ht="12.75">
      <c r="A10" t="s">
        <v>82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14.  melléklet
Adatok :ezerFt-ban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3" width="10.375" style="29" customWidth="1"/>
    <col min="4" max="11" width="11.00390625" style="29" bestFit="1" customWidth="1"/>
    <col min="12" max="12" width="10.375" style="29" customWidth="1"/>
    <col min="13" max="13" width="11.00390625" style="29" bestFit="1" customWidth="1"/>
    <col min="14" max="14" width="11.875" style="29" customWidth="1"/>
    <col min="15" max="16384" width="9.375" style="29" customWidth="1"/>
  </cols>
  <sheetData>
    <row r="1" spans="1:14" s="30" customFormat="1" ht="42" customHeight="1">
      <c r="A1" s="48" t="s">
        <v>1345</v>
      </c>
      <c r="B1" s="206" t="s">
        <v>335</v>
      </c>
      <c r="C1" s="206" t="s">
        <v>336</v>
      </c>
      <c r="D1" s="206" t="s">
        <v>337</v>
      </c>
      <c r="E1" s="206" t="s">
        <v>338</v>
      </c>
      <c r="F1" s="206" t="s">
        <v>339</v>
      </c>
      <c r="G1" s="206" t="s">
        <v>340</v>
      </c>
      <c r="H1" s="206" t="s">
        <v>341</v>
      </c>
      <c r="I1" s="206" t="s">
        <v>342</v>
      </c>
      <c r="J1" s="206" t="s">
        <v>343</v>
      </c>
      <c r="K1" s="206" t="s">
        <v>344</v>
      </c>
      <c r="L1" s="206" t="s">
        <v>345</v>
      </c>
      <c r="M1" s="206" t="s">
        <v>346</v>
      </c>
      <c r="N1" s="48" t="s">
        <v>1348</v>
      </c>
    </row>
    <row r="2" spans="1:14" ht="18.75" customHeight="1">
      <c r="A2" s="46" t="s">
        <v>347</v>
      </c>
      <c r="B2" s="47">
        <v>738678</v>
      </c>
      <c r="C2" s="47">
        <v>970335</v>
      </c>
      <c r="D2" s="47">
        <v>1926836</v>
      </c>
      <c r="E2" s="47">
        <v>1102137</v>
      </c>
      <c r="F2" s="47">
        <v>1396292</v>
      </c>
      <c r="G2" s="47">
        <v>2053252</v>
      </c>
      <c r="H2" s="47">
        <v>1450101</v>
      </c>
      <c r="I2" s="47">
        <v>1059974</v>
      </c>
      <c r="J2" s="47">
        <v>2320875</v>
      </c>
      <c r="K2" s="47">
        <v>1277085</v>
      </c>
      <c r="L2" s="47">
        <v>1142184</v>
      </c>
      <c r="M2" s="47">
        <v>820536</v>
      </c>
      <c r="N2" s="47">
        <f>SUM(B2:M2)</f>
        <v>16258285</v>
      </c>
    </row>
    <row r="3" spans="1:14" ht="18" customHeight="1">
      <c r="A3" s="358" t="s">
        <v>348</v>
      </c>
      <c r="B3" s="47"/>
      <c r="C3" s="47"/>
      <c r="D3" s="47"/>
      <c r="E3" s="50"/>
      <c r="F3" s="47"/>
      <c r="G3" s="47"/>
      <c r="H3" s="47"/>
      <c r="I3" s="47"/>
      <c r="J3" s="47"/>
      <c r="K3" s="47"/>
      <c r="L3" s="47"/>
      <c r="M3" s="47"/>
      <c r="N3" s="47"/>
    </row>
    <row r="4" spans="1:14" ht="16.5" customHeight="1">
      <c r="A4" s="299" t="s">
        <v>1349</v>
      </c>
      <c r="B4" s="47">
        <v>5500</v>
      </c>
      <c r="C4" s="47">
        <v>19200</v>
      </c>
      <c r="D4" s="47">
        <v>8500</v>
      </c>
      <c r="E4" s="47">
        <v>8550</v>
      </c>
      <c r="F4" s="47">
        <v>37850</v>
      </c>
      <c r="G4" s="47">
        <v>2176</v>
      </c>
      <c r="H4" s="47">
        <v>2050</v>
      </c>
      <c r="I4" s="47">
        <v>2050</v>
      </c>
      <c r="J4" s="47">
        <v>1050</v>
      </c>
      <c r="K4" s="47">
        <v>1000</v>
      </c>
      <c r="L4" s="47">
        <v>1000</v>
      </c>
      <c r="M4" s="47">
        <v>1000</v>
      </c>
      <c r="N4" s="47">
        <f aca="true" t="shared" si="0" ref="N4:N20">SUM(B4:M4)</f>
        <v>89926</v>
      </c>
    </row>
    <row r="5" spans="1:15" ht="24.75" customHeight="1">
      <c r="A5" s="299" t="s">
        <v>1238</v>
      </c>
      <c r="B5" s="359">
        <v>47135</v>
      </c>
      <c r="C5" s="359">
        <v>47135</v>
      </c>
      <c r="D5" s="359">
        <v>47135</v>
      </c>
      <c r="E5" s="359">
        <v>46135</v>
      </c>
      <c r="F5" s="359">
        <v>43135</v>
      </c>
      <c r="G5" s="359">
        <v>15143</v>
      </c>
      <c r="H5" s="359">
        <v>500</v>
      </c>
      <c r="I5" s="359">
        <v>500</v>
      </c>
      <c r="J5" s="359">
        <v>46135</v>
      </c>
      <c r="K5" s="359">
        <v>46135</v>
      </c>
      <c r="L5" s="359">
        <v>46135</v>
      </c>
      <c r="M5" s="359">
        <v>46135</v>
      </c>
      <c r="N5" s="47">
        <f t="shared" si="0"/>
        <v>431358</v>
      </c>
      <c r="O5" s="32"/>
    </row>
    <row r="6" spans="1:15" ht="20.25" customHeight="1">
      <c r="A6" s="299" t="s">
        <v>740</v>
      </c>
      <c r="B6" s="359">
        <v>9318</v>
      </c>
      <c r="C6" s="359">
        <v>11318</v>
      </c>
      <c r="D6" s="359">
        <v>12318</v>
      </c>
      <c r="E6" s="359">
        <v>11018</v>
      </c>
      <c r="F6" s="359">
        <v>11318</v>
      </c>
      <c r="G6" s="359">
        <v>7450</v>
      </c>
      <c r="H6" s="359">
        <v>2318</v>
      </c>
      <c r="I6" s="359">
        <v>2645</v>
      </c>
      <c r="J6" s="359">
        <v>10657</v>
      </c>
      <c r="K6" s="359">
        <v>12618</v>
      </c>
      <c r="L6" s="359">
        <v>11318</v>
      </c>
      <c r="M6" s="359">
        <v>9518</v>
      </c>
      <c r="N6" s="47">
        <f t="shared" si="0"/>
        <v>111814</v>
      </c>
      <c r="O6" s="32"/>
    </row>
    <row r="7" spans="1:15" ht="18.75" customHeight="1">
      <c r="A7" s="300" t="s">
        <v>741</v>
      </c>
      <c r="B7" s="359">
        <v>24388</v>
      </c>
      <c r="C7" s="359">
        <v>24388</v>
      </c>
      <c r="D7" s="359">
        <v>24388</v>
      </c>
      <c r="E7" s="359">
        <v>24388</v>
      </c>
      <c r="F7" s="359">
        <v>24388</v>
      </c>
      <c r="G7" s="359">
        <v>24388</v>
      </c>
      <c r="H7" s="359">
        <v>24388</v>
      </c>
      <c r="I7" s="359">
        <v>24388</v>
      </c>
      <c r="J7" s="359">
        <v>24388</v>
      </c>
      <c r="K7" s="359">
        <v>24388</v>
      </c>
      <c r="L7" s="359">
        <v>24389</v>
      </c>
      <c r="M7" s="359">
        <v>24389</v>
      </c>
      <c r="N7" s="47">
        <f t="shared" si="0"/>
        <v>292658</v>
      </c>
      <c r="O7" s="32"/>
    </row>
    <row r="8" spans="1:15" ht="21" customHeight="1">
      <c r="A8" s="300" t="s">
        <v>742</v>
      </c>
      <c r="B8" s="359">
        <v>3700</v>
      </c>
      <c r="C8" s="359">
        <v>3700</v>
      </c>
      <c r="D8" s="359">
        <v>3230</v>
      </c>
      <c r="E8" s="359">
        <v>3250</v>
      </c>
      <c r="F8" s="359">
        <v>3247</v>
      </c>
      <c r="G8" s="359">
        <v>3230</v>
      </c>
      <c r="H8" s="359">
        <v>2500</v>
      </c>
      <c r="I8" s="359">
        <v>2500</v>
      </c>
      <c r="J8" s="359">
        <v>2500</v>
      </c>
      <c r="K8" s="359">
        <v>3210</v>
      </c>
      <c r="L8" s="359">
        <v>3250</v>
      </c>
      <c r="M8" s="359">
        <v>3230</v>
      </c>
      <c r="N8" s="47">
        <f t="shared" si="0"/>
        <v>37547</v>
      </c>
      <c r="O8" s="32"/>
    </row>
    <row r="9" spans="1:15" ht="24" customHeight="1">
      <c r="A9" s="300" t="s">
        <v>743</v>
      </c>
      <c r="B9" s="359">
        <v>3700</v>
      </c>
      <c r="C9" s="359">
        <v>3700</v>
      </c>
      <c r="D9" s="359">
        <v>3220</v>
      </c>
      <c r="E9" s="359">
        <v>3250</v>
      </c>
      <c r="F9" s="359">
        <v>3247</v>
      </c>
      <c r="G9" s="359">
        <v>3220</v>
      </c>
      <c r="H9" s="359">
        <v>2500</v>
      </c>
      <c r="I9" s="359">
        <v>1500</v>
      </c>
      <c r="J9" s="359">
        <v>1500</v>
      </c>
      <c r="K9" s="359">
        <v>1940</v>
      </c>
      <c r="L9" s="359">
        <v>1940</v>
      </c>
      <c r="M9" s="359">
        <v>3230</v>
      </c>
      <c r="N9" s="47">
        <f t="shared" si="0"/>
        <v>32947</v>
      </c>
      <c r="O9" s="32"/>
    </row>
    <row r="10" spans="1:15" ht="16.5" customHeight="1">
      <c r="A10" s="300" t="s">
        <v>744</v>
      </c>
      <c r="B10" s="359">
        <v>2800</v>
      </c>
      <c r="C10" s="359">
        <v>2800</v>
      </c>
      <c r="D10" s="359">
        <v>2740</v>
      </c>
      <c r="E10" s="359">
        <v>2560</v>
      </c>
      <c r="F10" s="359">
        <v>2900</v>
      </c>
      <c r="G10" s="359">
        <v>2200</v>
      </c>
      <c r="H10" s="359">
        <v>2018</v>
      </c>
      <c r="I10" s="359">
        <v>1500</v>
      </c>
      <c r="J10" s="359">
        <v>1500</v>
      </c>
      <c r="K10" s="359">
        <v>1940</v>
      </c>
      <c r="L10" s="359">
        <v>1940</v>
      </c>
      <c r="M10" s="359">
        <v>2300</v>
      </c>
      <c r="N10" s="47">
        <f t="shared" si="0"/>
        <v>27198</v>
      </c>
      <c r="O10" s="32"/>
    </row>
    <row r="11" spans="1:15" ht="16.5" customHeight="1">
      <c r="A11" s="300" t="s">
        <v>745</v>
      </c>
      <c r="B11" s="359">
        <v>2656</v>
      </c>
      <c r="C11" s="359">
        <v>2655</v>
      </c>
      <c r="D11" s="359">
        <v>2740</v>
      </c>
      <c r="E11" s="359">
        <v>2560</v>
      </c>
      <c r="F11" s="359">
        <v>2900</v>
      </c>
      <c r="G11" s="359">
        <v>2200</v>
      </c>
      <c r="H11" s="359">
        <v>2018</v>
      </c>
      <c r="I11" s="359">
        <v>1500</v>
      </c>
      <c r="J11" s="359">
        <v>1500</v>
      </c>
      <c r="K11" s="359">
        <v>1940</v>
      </c>
      <c r="L11" s="359">
        <v>1940</v>
      </c>
      <c r="M11" s="359">
        <v>2300</v>
      </c>
      <c r="N11" s="47">
        <f t="shared" si="0"/>
        <v>26909</v>
      </c>
      <c r="O11" s="32"/>
    </row>
    <row r="12" spans="1:15" ht="35.25" customHeight="1">
      <c r="A12" s="300" t="s">
        <v>746</v>
      </c>
      <c r="B12" s="359">
        <v>2700</v>
      </c>
      <c r="C12" s="359">
        <v>6700</v>
      </c>
      <c r="D12" s="359">
        <v>5700</v>
      </c>
      <c r="E12" s="359">
        <v>4700</v>
      </c>
      <c r="F12" s="359">
        <v>6466</v>
      </c>
      <c r="G12" s="359">
        <v>500</v>
      </c>
      <c r="H12" s="359">
        <v>0</v>
      </c>
      <c r="I12" s="359">
        <v>0</v>
      </c>
      <c r="J12" s="360">
        <v>700</v>
      </c>
      <c r="K12" s="359">
        <v>800</v>
      </c>
      <c r="L12" s="359">
        <v>800</v>
      </c>
      <c r="M12" s="359">
        <v>1600</v>
      </c>
      <c r="N12" s="47">
        <f t="shared" si="0"/>
        <v>30666</v>
      </c>
      <c r="O12" s="32"/>
    </row>
    <row r="13" spans="1:15" ht="23.25" customHeight="1">
      <c r="A13" s="301" t="s">
        <v>737</v>
      </c>
      <c r="B13" s="359">
        <v>4250</v>
      </c>
      <c r="C13" s="359">
        <v>4218</v>
      </c>
      <c r="D13" s="359">
        <v>4175</v>
      </c>
      <c r="E13" s="148">
        <v>3750</v>
      </c>
      <c r="F13" s="359">
        <v>3750</v>
      </c>
      <c r="G13" s="359">
        <v>3750</v>
      </c>
      <c r="H13" s="359">
        <v>3750</v>
      </c>
      <c r="I13" s="359">
        <v>3750</v>
      </c>
      <c r="J13" s="359">
        <v>3750</v>
      </c>
      <c r="K13" s="359">
        <v>3750</v>
      </c>
      <c r="L13" s="359">
        <v>3750</v>
      </c>
      <c r="M13" s="359">
        <v>3750</v>
      </c>
      <c r="N13" s="47">
        <f t="shared" si="0"/>
        <v>46393</v>
      </c>
      <c r="O13" s="32"/>
    </row>
    <row r="14" spans="1:15" ht="27.75" customHeight="1">
      <c r="A14" s="300" t="s">
        <v>747</v>
      </c>
      <c r="B14" s="361">
        <v>630</v>
      </c>
      <c r="C14" s="361">
        <v>550</v>
      </c>
      <c r="D14" s="361">
        <v>485</v>
      </c>
      <c r="E14" s="361">
        <v>60</v>
      </c>
      <c r="F14" s="361">
        <v>60</v>
      </c>
      <c r="G14" s="361">
        <v>46</v>
      </c>
      <c r="H14" s="361">
        <v>40</v>
      </c>
      <c r="I14" s="361">
        <v>10</v>
      </c>
      <c r="J14" s="361">
        <v>10</v>
      </c>
      <c r="K14" s="361">
        <v>10</v>
      </c>
      <c r="L14" s="361">
        <v>30</v>
      </c>
      <c r="M14" s="361">
        <v>60</v>
      </c>
      <c r="N14" s="47">
        <f t="shared" si="0"/>
        <v>1991</v>
      </c>
      <c r="O14" s="32"/>
    </row>
    <row r="15" spans="1:15" ht="25.5" customHeight="1">
      <c r="A15" s="362" t="s">
        <v>738</v>
      </c>
      <c r="B15" s="359">
        <v>3350</v>
      </c>
      <c r="C15" s="359">
        <v>4850</v>
      </c>
      <c r="D15" s="359">
        <v>5662</v>
      </c>
      <c r="E15" s="359">
        <v>1350</v>
      </c>
      <c r="F15" s="359">
        <v>1350</v>
      </c>
      <c r="G15" s="359">
        <v>20353</v>
      </c>
      <c r="H15" s="359">
        <v>1350</v>
      </c>
      <c r="I15" s="359">
        <v>1350</v>
      </c>
      <c r="J15" s="359">
        <v>1850</v>
      </c>
      <c r="K15" s="359">
        <v>1350</v>
      </c>
      <c r="L15" s="359">
        <v>1350</v>
      </c>
      <c r="M15" s="359">
        <v>1850</v>
      </c>
      <c r="N15" s="47">
        <f t="shared" si="0"/>
        <v>46015</v>
      </c>
      <c r="O15" s="32"/>
    </row>
    <row r="16" spans="1:15" ht="13.5" customHeight="1">
      <c r="A16" s="362" t="s">
        <v>739</v>
      </c>
      <c r="B16" s="359">
        <v>7825</v>
      </c>
      <c r="C16" s="359">
        <v>11130</v>
      </c>
      <c r="D16" s="359">
        <v>11426</v>
      </c>
      <c r="E16" s="359">
        <v>27550</v>
      </c>
      <c r="F16" s="359">
        <v>16830</v>
      </c>
      <c r="G16" s="359">
        <v>17171</v>
      </c>
      <c r="H16" s="359">
        <v>9880</v>
      </c>
      <c r="I16" s="359">
        <v>8870</v>
      </c>
      <c r="J16" s="359">
        <v>17960</v>
      </c>
      <c r="K16" s="359">
        <v>11530</v>
      </c>
      <c r="L16" s="359">
        <v>19390</v>
      </c>
      <c r="M16" s="359">
        <v>9612</v>
      </c>
      <c r="N16" s="47">
        <f t="shared" si="0"/>
        <v>169174</v>
      </c>
      <c r="O16" s="32"/>
    </row>
    <row r="17" spans="1:15" ht="16.5" customHeight="1">
      <c r="A17" s="362" t="s">
        <v>748</v>
      </c>
      <c r="B17" s="47">
        <v>4000</v>
      </c>
      <c r="C17" s="47">
        <v>4000</v>
      </c>
      <c r="D17" s="47">
        <v>7000</v>
      </c>
      <c r="E17" s="47">
        <v>7000</v>
      </c>
      <c r="F17" s="47">
        <v>5000</v>
      </c>
      <c r="G17" s="47">
        <v>3000</v>
      </c>
      <c r="H17" s="47">
        <v>3000</v>
      </c>
      <c r="I17" s="47">
        <v>3750</v>
      </c>
      <c r="J17" s="47">
        <v>22000</v>
      </c>
      <c r="K17" s="47">
        <v>40000</v>
      </c>
      <c r="L17" s="47">
        <v>50000</v>
      </c>
      <c r="M17" s="47">
        <v>65000</v>
      </c>
      <c r="N17" s="47">
        <f t="shared" si="0"/>
        <v>213750</v>
      </c>
      <c r="O17" s="32"/>
    </row>
    <row r="18" spans="1:15" ht="16.5" customHeight="1">
      <c r="A18" s="362" t="s">
        <v>749</v>
      </c>
      <c r="B18" s="47">
        <v>4000</v>
      </c>
      <c r="C18" s="47">
        <v>500</v>
      </c>
      <c r="D18" s="47">
        <v>500</v>
      </c>
      <c r="E18" s="47">
        <v>500</v>
      </c>
      <c r="F18" s="47">
        <v>500</v>
      </c>
      <c r="G18" s="47">
        <v>0</v>
      </c>
      <c r="H18" s="47">
        <v>0</v>
      </c>
      <c r="I18" s="47">
        <v>0</v>
      </c>
      <c r="J18" s="47">
        <v>1500</v>
      </c>
      <c r="K18" s="47">
        <v>3500</v>
      </c>
      <c r="L18" s="47">
        <v>5000</v>
      </c>
      <c r="M18" s="47">
        <v>10280</v>
      </c>
      <c r="N18" s="47">
        <f t="shared" si="0"/>
        <v>26280</v>
      </c>
      <c r="O18" s="32"/>
    </row>
    <row r="19" spans="1:15" ht="24" customHeight="1">
      <c r="A19" s="362" t="s">
        <v>750</v>
      </c>
      <c r="B19" s="47">
        <v>8855</v>
      </c>
      <c r="C19" s="47">
        <v>9017</v>
      </c>
      <c r="D19" s="47">
        <v>661</v>
      </c>
      <c r="E19" s="47">
        <v>673</v>
      </c>
      <c r="F19" s="47">
        <v>273</v>
      </c>
      <c r="G19" s="47">
        <v>2134</v>
      </c>
      <c r="H19" s="47">
        <v>273</v>
      </c>
      <c r="I19" s="47">
        <v>273</v>
      </c>
      <c r="J19" s="47">
        <v>361</v>
      </c>
      <c r="K19" s="47">
        <v>273</v>
      </c>
      <c r="L19" s="47">
        <v>274</v>
      </c>
      <c r="M19" s="47">
        <v>2140</v>
      </c>
      <c r="N19" s="47">
        <f t="shared" si="0"/>
        <v>25207</v>
      </c>
      <c r="O19" s="32"/>
    </row>
    <row r="20" spans="1:15" ht="16.5" customHeight="1">
      <c r="A20" s="362" t="s">
        <v>1644</v>
      </c>
      <c r="B20" s="47">
        <v>14200</v>
      </c>
      <c r="C20" s="47">
        <v>5200</v>
      </c>
      <c r="D20" s="47">
        <v>5100</v>
      </c>
      <c r="E20" s="47">
        <v>6100</v>
      </c>
      <c r="F20" s="47">
        <v>7100</v>
      </c>
      <c r="G20" s="47">
        <v>9000</v>
      </c>
      <c r="H20" s="47">
        <v>7000</v>
      </c>
      <c r="I20" s="47">
        <v>7000</v>
      </c>
      <c r="J20" s="47">
        <v>7000</v>
      </c>
      <c r="K20" s="47">
        <v>8000</v>
      </c>
      <c r="L20" s="47">
        <v>7600</v>
      </c>
      <c r="M20" s="47">
        <v>7600</v>
      </c>
      <c r="N20" s="47">
        <f t="shared" si="0"/>
        <v>90900</v>
      </c>
      <c r="O20" s="32"/>
    </row>
    <row r="21" spans="1:15" ht="20.25" customHeight="1">
      <c r="A21" s="363" t="s">
        <v>529</v>
      </c>
      <c r="B21" s="55">
        <f aca="true" t="shared" si="1" ref="B21:N21">SUM(B4:B20)</f>
        <v>149007</v>
      </c>
      <c r="C21" s="55">
        <f t="shared" si="1"/>
        <v>161061</v>
      </c>
      <c r="D21" s="55">
        <f t="shared" si="1"/>
        <v>144980</v>
      </c>
      <c r="E21" s="55">
        <f t="shared" si="1"/>
        <v>153394</v>
      </c>
      <c r="F21" s="55">
        <f t="shared" si="1"/>
        <v>170314</v>
      </c>
      <c r="G21" s="55">
        <f t="shared" si="1"/>
        <v>115961</v>
      </c>
      <c r="H21" s="55">
        <f t="shared" si="1"/>
        <v>63585</v>
      </c>
      <c r="I21" s="55">
        <f t="shared" si="1"/>
        <v>61586</v>
      </c>
      <c r="J21" s="55">
        <f t="shared" si="1"/>
        <v>144361</v>
      </c>
      <c r="K21" s="55">
        <f t="shared" si="1"/>
        <v>162384</v>
      </c>
      <c r="L21" s="55">
        <f t="shared" si="1"/>
        <v>180106</v>
      </c>
      <c r="M21" s="55">
        <f t="shared" si="1"/>
        <v>193994</v>
      </c>
      <c r="N21" s="55">
        <f t="shared" si="1"/>
        <v>1700733</v>
      </c>
      <c r="O21" s="364"/>
    </row>
    <row r="22" spans="1:15" ht="24" customHeight="1">
      <c r="A22" s="365" t="s">
        <v>349</v>
      </c>
      <c r="B22" s="55">
        <f aca="true" t="shared" si="2" ref="B22:N22">SUM(B2+B21)</f>
        <v>887685</v>
      </c>
      <c r="C22" s="55">
        <f t="shared" si="2"/>
        <v>1131396</v>
      </c>
      <c r="D22" s="55">
        <f t="shared" si="2"/>
        <v>2071816</v>
      </c>
      <c r="E22" s="55">
        <f t="shared" si="2"/>
        <v>1255531</v>
      </c>
      <c r="F22" s="55">
        <f t="shared" si="2"/>
        <v>1566606</v>
      </c>
      <c r="G22" s="55">
        <f t="shared" si="2"/>
        <v>2169213</v>
      </c>
      <c r="H22" s="55">
        <f t="shared" si="2"/>
        <v>1513686</v>
      </c>
      <c r="I22" s="55">
        <f t="shared" si="2"/>
        <v>1121560</v>
      </c>
      <c r="J22" s="55">
        <f t="shared" si="2"/>
        <v>2465236</v>
      </c>
      <c r="K22" s="55">
        <f t="shared" si="2"/>
        <v>1439469</v>
      </c>
      <c r="L22" s="55">
        <f t="shared" si="2"/>
        <v>1322290</v>
      </c>
      <c r="M22" s="55">
        <f t="shared" si="2"/>
        <v>1014530</v>
      </c>
      <c r="N22" s="55">
        <f t="shared" si="2"/>
        <v>17959018</v>
      </c>
      <c r="O22" s="364"/>
    </row>
    <row r="23" spans="2:7" ht="13.5" customHeight="1">
      <c r="B23" s="32"/>
      <c r="C23" s="32"/>
      <c r="D23" s="32"/>
      <c r="E23" s="32"/>
      <c r="F23" s="32"/>
      <c r="G23" s="32"/>
    </row>
    <row r="24" spans="2:7" ht="13.5" customHeight="1">
      <c r="B24" s="32"/>
      <c r="C24" s="32"/>
      <c r="D24" s="32"/>
      <c r="E24" s="32"/>
      <c r="F24" s="32"/>
      <c r="G24" s="32"/>
    </row>
    <row r="25" spans="2:7" ht="13.5" customHeight="1"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2014. ÉVI BEVÉTELI ELŐIRÁNYZATAI NAK FELHASZNÁLÁSI ÜTEMTERVE&amp;R&amp;"Times New Roman,Félkövér dőlt"15.a melléklet
Adatok: ezer Ft-ban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3" sqref="B3:F3"/>
    </sheetView>
  </sheetViews>
  <sheetFormatPr defaultColWidth="9.00390625" defaultRowHeight="12.75"/>
  <cols>
    <col min="1" max="1" width="30.625" style="29" customWidth="1"/>
    <col min="2" max="2" width="10.50390625" style="29" customWidth="1"/>
    <col min="3" max="6" width="10.375" style="29" customWidth="1"/>
    <col min="7" max="8" width="10.50390625" style="29" customWidth="1"/>
    <col min="9" max="9" width="10.875" style="29" customWidth="1"/>
    <col min="10" max="10" width="11.125" style="29" customWidth="1"/>
    <col min="11" max="11" width="10.625" style="29" customWidth="1"/>
    <col min="12" max="12" width="10.50390625" style="29" customWidth="1"/>
    <col min="13" max="13" width="11.625" style="29" customWidth="1"/>
    <col min="14" max="14" width="12.875" style="29" customWidth="1"/>
    <col min="15" max="16384" width="9.375" style="29" customWidth="1"/>
  </cols>
  <sheetData>
    <row r="1" spans="1:14" s="30" customFormat="1" ht="42" customHeight="1">
      <c r="A1" s="48" t="s">
        <v>1345</v>
      </c>
      <c r="B1" s="206" t="s">
        <v>335</v>
      </c>
      <c r="C1" s="206" t="s">
        <v>336</v>
      </c>
      <c r="D1" s="206" t="s">
        <v>337</v>
      </c>
      <c r="E1" s="206" t="s">
        <v>338</v>
      </c>
      <c r="F1" s="206" t="s">
        <v>339</v>
      </c>
      <c r="G1" s="206" t="s">
        <v>340</v>
      </c>
      <c r="H1" s="206" t="s">
        <v>341</v>
      </c>
      <c r="I1" s="206" t="s">
        <v>342</v>
      </c>
      <c r="J1" s="206" t="s">
        <v>343</v>
      </c>
      <c r="K1" s="206" t="s">
        <v>344</v>
      </c>
      <c r="L1" s="206" t="s">
        <v>345</v>
      </c>
      <c r="M1" s="206" t="s">
        <v>346</v>
      </c>
      <c r="N1" s="48" t="s">
        <v>1348</v>
      </c>
    </row>
    <row r="2" spans="1:14" ht="15" customHeight="1">
      <c r="A2" s="46" t="s">
        <v>350</v>
      </c>
      <c r="B2" s="47">
        <v>177300</v>
      </c>
      <c r="C2" s="47">
        <v>288120</v>
      </c>
      <c r="D2" s="47">
        <v>338120</v>
      </c>
      <c r="E2" s="47">
        <v>288120</v>
      </c>
      <c r="F2" s="47">
        <v>288120</v>
      </c>
      <c r="G2" s="47">
        <v>338120</v>
      </c>
      <c r="H2" s="47">
        <v>288120</v>
      </c>
      <c r="I2" s="47">
        <v>357938</v>
      </c>
      <c r="J2" s="47">
        <v>338120</v>
      </c>
      <c r="K2" s="47">
        <v>338120</v>
      </c>
      <c r="L2" s="47">
        <v>348143</v>
      </c>
      <c r="M2" s="47">
        <v>288121</v>
      </c>
      <c r="N2" s="47">
        <f>SUM(B2:M2)</f>
        <v>3676462</v>
      </c>
    </row>
    <row r="3" spans="1:14" ht="15" customHeight="1">
      <c r="A3" s="46" t="s">
        <v>351</v>
      </c>
      <c r="B3" s="373">
        <v>168972</v>
      </c>
      <c r="C3" s="373">
        <v>300944</v>
      </c>
      <c r="D3" s="373">
        <v>1193299</v>
      </c>
      <c r="E3" s="373">
        <v>393752</v>
      </c>
      <c r="F3" s="373">
        <v>716791</v>
      </c>
      <c r="G3" s="47">
        <v>1320717</v>
      </c>
      <c r="H3" s="47">
        <v>769990</v>
      </c>
      <c r="I3" s="47">
        <v>338850</v>
      </c>
      <c r="J3" s="47">
        <v>1662277</v>
      </c>
      <c r="K3" s="47">
        <v>554973</v>
      </c>
      <c r="L3" s="47">
        <v>427628</v>
      </c>
      <c r="M3" s="47">
        <v>168155</v>
      </c>
      <c r="N3" s="47">
        <f>SUM(B3:M3)</f>
        <v>8016348</v>
      </c>
    </row>
    <row r="4" spans="1:14" ht="28.5" customHeight="1">
      <c r="A4" s="147" t="s">
        <v>352</v>
      </c>
      <c r="B4" s="366">
        <f aca="true" t="shared" si="0" ref="B4:N4">SUM(B2:B3)</f>
        <v>346272</v>
      </c>
      <c r="C4" s="366">
        <f t="shared" si="0"/>
        <v>589064</v>
      </c>
      <c r="D4" s="366">
        <f t="shared" si="0"/>
        <v>1531419</v>
      </c>
      <c r="E4" s="366">
        <f t="shared" si="0"/>
        <v>681872</v>
      </c>
      <c r="F4" s="366">
        <f>SUM(F2:F3)</f>
        <v>1004911</v>
      </c>
      <c r="G4" s="366">
        <f t="shared" si="0"/>
        <v>1658837</v>
      </c>
      <c r="H4" s="366">
        <f t="shared" si="0"/>
        <v>1058110</v>
      </c>
      <c r="I4" s="366">
        <f t="shared" si="0"/>
        <v>696788</v>
      </c>
      <c r="J4" s="366">
        <f t="shared" si="0"/>
        <v>2000397</v>
      </c>
      <c r="K4" s="366">
        <f t="shared" si="0"/>
        <v>893093</v>
      </c>
      <c r="L4" s="366">
        <f t="shared" si="0"/>
        <v>775771</v>
      </c>
      <c r="M4" s="366">
        <f t="shared" si="0"/>
        <v>456276</v>
      </c>
      <c r="N4" s="366">
        <f t="shared" si="0"/>
        <v>11692810</v>
      </c>
    </row>
    <row r="5" spans="1:14" ht="17.25" customHeight="1">
      <c r="A5" s="358" t="s">
        <v>348</v>
      </c>
      <c r="B5" s="367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</row>
    <row r="6" spans="1:14" ht="15" customHeight="1">
      <c r="A6" s="299" t="s">
        <v>1349</v>
      </c>
      <c r="B6" s="47">
        <v>95500</v>
      </c>
      <c r="C6" s="47">
        <v>110200</v>
      </c>
      <c r="D6" s="47">
        <v>99000</v>
      </c>
      <c r="E6" s="47">
        <v>99500</v>
      </c>
      <c r="F6" s="47">
        <v>125750</v>
      </c>
      <c r="G6" s="47">
        <v>96076</v>
      </c>
      <c r="H6" s="47">
        <v>96500</v>
      </c>
      <c r="I6" s="47">
        <v>97000</v>
      </c>
      <c r="J6" s="47">
        <v>99500</v>
      </c>
      <c r="K6" s="47">
        <v>104000</v>
      </c>
      <c r="L6" s="47">
        <v>105000</v>
      </c>
      <c r="M6" s="47">
        <v>109049</v>
      </c>
      <c r="N6" s="359">
        <f aca="true" t="shared" si="1" ref="N6:N22">SUM(B6:M6)</f>
        <v>1237075</v>
      </c>
    </row>
    <row r="7" spans="1:14" ht="14.25" customHeight="1">
      <c r="A7" s="299" t="s">
        <v>734</v>
      </c>
      <c r="B7" s="359">
        <v>130266</v>
      </c>
      <c r="C7" s="359">
        <v>132094</v>
      </c>
      <c r="D7" s="359">
        <v>128771</v>
      </c>
      <c r="E7" s="359">
        <v>126953</v>
      </c>
      <c r="F7" s="359">
        <v>124560</v>
      </c>
      <c r="G7" s="359">
        <v>116492</v>
      </c>
      <c r="H7" s="359">
        <v>87950</v>
      </c>
      <c r="I7" s="359">
        <v>64863</v>
      </c>
      <c r="J7" s="359">
        <v>66836</v>
      </c>
      <c r="K7" s="359">
        <v>131466</v>
      </c>
      <c r="L7" s="359">
        <v>125697</v>
      </c>
      <c r="M7" s="359">
        <v>125819</v>
      </c>
      <c r="N7" s="359">
        <f t="shared" si="1"/>
        <v>1361767</v>
      </c>
    </row>
    <row r="8" spans="1:14" ht="15" customHeight="1">
      <c r="A8" s="299" t="s">
        <v>740</v>
      </c>
      <c r="B8" s="359">
        <v>31235</v>
      </c>
      <c r="C8" s="359">
        <v>31235</v>
      </c>
      <c r="D8" s="359">
        <v>31233</v>
      </c>
      <c r="E8" s="359">
        <v>31233</v>
      </c>
      <c r="F8" s="359">
        <v>31233</v>
      </c>
      <c r="G8" s="359">
        <v>29670</v>
      </c>
      <c r="H8" s="359">
        <v>28670</v>
      </c>
      <c r="I8" s="359">
        <v>28670</v>
      </c>
      <c r="J8" s="359">
        <v>29733</v>
      </c>
      <c r="K8" s="359">
        <v>30033</v>
      </c>
      <c r="L8" s="359">
        <v>30233</v>
      </c>
      <c r="M8" s="359">
        <v>29626</v>
      </c>
      <c r="N8" s="359">
        <f t="shared" si="1"/>
        <v>362804</v>
      </c>
    </row>
    <row r="9" spans="1:14" ht="15.75" customHeight="1">
      <c r="A9" s="300" t="s">
        <v>353</v>
      </c>
      <c r="B9" s="359">
        <v>26353</v>
      </c>
      <c r="C9" s="359">
        <v>26351</v>
      </c>
      <c r="D9" s="359">
        <v>26351</v>
      </c>
      <c r="E9" s="359">
        <v>26351</v>
      </c>
      <c r="F9" s="359">
        <v>26351</v>
      </c>
      <c r="G9" s="359">
        <v>26351</v>
      </c>
      <c r="H9" s="359">
        <v>26351</v>
      </c>
      <c r="I9" s="359">
        <v>26351</v>
      </c>
      <c r="J9" s="359">
        <v>26351</v>
      </c>
      <c r="K9" s="359">
        <v>26351</v>
      </c>
      <c r="L9" s="359">
        <v>26355</v>
      </c>
      <c r="M9" s="359">
        <v>26351</v>
      </c>
      <c r="N9" s="359">
        <f t="shared" si="1"/>
        <v>316218</v>
      </c>
    </row>
    <row r="10" spans="1:14" ht="16.5" customHeight="1">
      <c r="A10" s="300" t="s">
        <v>354</v>
      </c>
      <c r="B10" s="359">
        <v>32430</v>
      </c>
      <c r="C10" s="359">
        <v>28000</v>
      </c>
      <c r="D10" s="359">
        <v>28000</v>
      </c>
      <c r="E10" s="359">
        <v>27000</v>
      </c>
      <c r="F10" s="359">
        <v>22000</v>
      </c>
      <c r="G10" s="359">
        <v>22000</v>
      </c>
      <c r="H10" s="359">
        <v>21279</v>
      </c>
      <c r="I10" s="359">
        <v>21824</v>
      </c>
      <c r="J10" s="359">
        <v>25853</v>
      </c>
      <c r="K10" s="359">
        <v>25853</v>
      </c>
      <c r="L10" s="359">
        <v>28000</v>
      </c>
      <c r="M10" s="359">
        <v>28000</v>
      </c>
      <c r="N10" s="359">
        <f t="shared" si="1"/>
        <v>310239</v>
      </c>
    </row>
    <row r="11" spans="1:14" ht="13.5" customHeight="1">
      <c r="A11" s="300" t="s">
        <v>355</v>
      </c>
      <c r="B11" s="359">
        <v>28930</v>
      </c>
      <c r="C11" s="359">
        <v>26500</v>
      </c>
      <c r="D11" s="359">
        <v>26500</v>
      </c>
      <c r="E11" s="359">
        <v>25500</v>
      </c>
      <c r="F11" s="359">
        <v>24500</v>
      </c>
      <c r="G11" s="359">
        <v>20500</v>
      </c>
      <c r="H11" s="359">
        <v>18000</v>
      </c>
      <c r="I11" s="359">
        <v>18000</v>
      </c>
      <c r="J11" s="359">
        <v>24351</v>
      </c>
      <c r="K11" s="359">
        <v>24353</v>
      </c>
      <c r="L11" s="359">
        <v>25500</v>
      </c>
      <c r="M11" s="359">
        <v>25500</v>
      </c>
      <c r="N11" s="359">
        <f t="shared" si="1"/>
        <v>288134</v>
      </c>
    </row>
    <row r="12" spans="1:14" ht="15" customHeight="1">
      <c r="A12" s="300" t="s">
        <v>744</v>
      </c>
      <c r="B12" s="359">
        <v>28600</v>
      </c>
      <c r="C12" s="359">
        <v>26200</v>
      </c>
      <c r="D12" s="359">
        <v>26200</v>
      </c>
      <c r="E12" s="359">
        <v>25500</v>
      </c>
      <c r="F12" s="359">
        <v>24150</v>
      </c>
      <c r="G12" s="359">
        <v>20200</v>
      </c>
      <c r="H12" s="359">
        <v>18000</v>
      </c>
      <c r="I12" s="359">
        <v>18000</v>
      </c>
      <c r="J12" s="359">
        <v>24000</v>
      </c>
      <c r="K12" s="359">
        <v>22136</v>
      </c>
      <c r="L12" s="359">
        <v>25500</v>
      </c>
      <c r="M12" s="359">
        <v>25500</v>
      </c>
      <c r="N12" s="359">
        <f t="shared" si="1"/>
        <v>283986</v>
      </c>
    </row>
    <row r="13" spans="1:14" ht="15" customHeight="1">
      <c r="A13" s="300" t="s">
        <v>745</v>
      </c>
      <c r="B13" s="359">
        <v>29000</v>
      </c>
      <c r="C13" s="359">
        <v>26500</v>
      </c>
      <c r="D13" s="359">
        <v>26500</v>
      </c>
      <c r="E13" s="359">
        <v>25800</v>
      </c>
      <c r="F13" s="359">
        <v>24150</v>
      </c>
      <c r="G13" s="359">
        <v>20200</v>
      </c>
      <c r="H13" s="359">
        <v>19000</v>
      </c>
      <c r="I13" s="359">
        <v>19000</v>
      </c>
      <c r="J13" s="359">
        <v>24000</v>
      </c>
      <c r="K13" s="359">
        <v>22136</v>
      </c>
      <c r="L13" s="359">
        <v>25738</v>
      </c>
      <c r="M13" s="359">
        <v>25738</v>
      </c>
      <c r="N13" s="359">
        <f t="shared" si="1"/>
        <v>287762</v>
      </c>
    </row>
    <row r="14" spans="1:14" ht="14.25" customHeight="1">
      <c r="A14" s="300" t="s">
        <v>356</v>
      </c>
      <c r="B14" s="359">
        <v>9300</v>
      </c>
      <c r="C14" s="359">
        <v>9300</v>
      </c>
      <c r="D14" s="359">
        <v>9300</v>
      </c>
      <c r="E14" s="359">
        <v>9300</v>
      </c>
      <c r="F14" s="359">
        <v>9300</v>
      </c>
      <c r="G14" s="359">
        <v>9300</v>
      </c>
      <c r="H14" s="359">
        <v>9300</v>
      </c>
      <c r="I14" s="359">
        <v>9300</v>
      </c>
      <c r="J14" s="359">
        <v>9300</v>
      </c>
      <c r="K14" s="359">
        <v>9300</v>
      </c>
      <c r="L14" s="359">
        <v>9300</v>
      </c>
      <c r="M14" s="359">
        <v>9725</v>
      </c>
      <c r="N14" s="359">
        <f t="shared" si="1"/>
        <v>112025</v>
      </c>
    </row>
    <row r="15" spans="1:14" ht="11.25" customHeight="1">
      <c r="A15" s="301" t="s">
        <v>357</v>
      </c>
      <c r="B15" s="359">
        <v>15607</v>
      </c>
      <c r="C15" s="359">
        <v>16503</v>
      </c>
      <c r="D15" s="359">
        <v>15603</v>
      </c>
      <c r="E15" s="359">
        <v>15603</v>
      </c>
      <c r="F15" s="359">
        <v>15603</v>
      </c>
      <c r="G15" s="359">
        <v>15603</v>
      </c>
      <c r="H15" s="359">
        <v>15603</v>
      </c>
      <c r="I15" s="359">
        <v>15603</v>
      </c>
      <c r="J15" s="359">
        <v>15603</v>
      </c>
      <c r="K15" s="359">
        <v>15603</v>
      </c>
      <c r="L15" s="359">
        <v>15603</v>
      </c>
      <c r="M15" s="359">
        <v>15604</v>
      </c>
      <c r="N15" s="359">
        <f t="shared" si="1"/>
        <v>188141</v>
      </c>
    </row>
    <row r="16" spans="1:14" ht="23.25" customHeight="1">
      <c r="A16" s="300" t="s">
        <v>747</v>
      </c>
      <c r="B16" s="359">
        <v>1281</v>
      </c>
      <c r="C16" s="359">
        <v>1306</v>
      </c>
      <c r="D16" s="359">
        <v>1431</v>
      </c>
      <c r="E16" s="359">
        <v>1431</v>
      </c>
      <c r="F16" s="359">
        <v>1281</v>
      </c>
      <c r="G16" s="359">
        <v>1231</v>
      </c>
      <c r="H16" s="359">
        <v>1231</v>
      </c>
      <c r="I16" s="359">
        <v>1231</v>
      </c>
      <c r="J16" s="359">
        <v>1281</v>
      </c>
      <c r="K16" s="359">
        <v>1281</v>
      </c>
      <c r="L16" s="359">
        <v>1281</v>
      </c>
      <c r="M16" s="359">
        <v>1289</v>
      </c>
      <c r="N16" s="359">
        <f t="shared" si="1"/>
        <v>15555</v>
      </c>
    </row>
    <row r="17" spans="1:14" ht="23.25" customHeight="1">
      <c r="A17" s="362" t="s">
        <v>738</v>
      </c>
      <c r="B17" s="359">
        <v>14435</v>
      </c>
      <c r="C17" s="359">
        <v>20735</v>
      </c>
      <c r="D17" s="359">
        <v>26200</v>
      </c>
      <c r="E17" s="359">
        <v>35700</v>
      </c>
      <c r="F17" s="359">
        <v>34350</v>
      </c>
      <c r="G17" s="359">
        <v>51000</v>
      </c>
      <c r="H17" s="359">
        <v>38479</v>
      </c>
      <c r="I17" s="359">
        <v>29320</v>
      </c>
      <c r="J17" s="359">
        <v>27167</v>
      </c>
      <c r="K17" s="359">
        <v>27748</v>
      </c>
      <c r="L17" s="359">
        <v>30535</v>
      </c>
      <c r="M17" s="359">
        <v>18035</v>
      </c>
      <c r="N17" s="359">
        <f t="shared" si="1"/>
        <v>353704</v>
      </c>
    </row>
    <row r="18" spans="1:14" ht="12.75" customHeight="1">
      <c r="A18" s="362" t="s">
        <v>739</v>
      </c>
      <c r="B18" s="359">
        <v>17421</v>
      </c>
      <c r="C18" s="359">
        <v>16150</v>
      </c>
      <c r="D18" s="359">
        <v>20990</v>
      </c>
      <c r="E18" s="359">
        <v>48470</v>
      </c>
      <c r="F18" s="359">
        <v>24149</v>
      </c>
      <c r="G18" s="359">
        <v>20535</v>
      </c>
      <c r="H18" s="359">
        <v>17994</v>
      </c>
      <c r="I18" s="359">
        <v>21915</v>
      </c>
      <c r="J18" s="359">
        <v>18145</v>
      </c>
      <c r="K18" s="359">
        <v>23045</v>
      </c>
      <c r="L18" s="359">
        <v>21459</v>
      </c>
      <c r="M18" s="359">
        <v>21419</v>
      </c>
      <c r="N18" s="359">
        <f t="shared" si="1"/>
        <v>271692</v>
      </c>
    </row>
    <row r="19" spans="1:14" ht="12.75" customHeight="1">
      <c r="A19" s="362" t="s">
        <v>748</v>
      </c>
      <c r="B19" s="359">
        <v>49000</v>
      </c>
      <c r="C19" s="359">
        <v>49000</v>
      </c>
      <c r="D19" s="359">
        <v>52000</v>
      </c>
      <c r="E19" s="359">
        <v>52000</v>
      </c>
      <c r="F19" s="359">
        <v>50000</v>
      </c>
      <c r="G19" s="359">
        <v>36000</v>
      </c>
      <c r="H19" s="359">
        <v>36000</v>
      </c>
      <c r="I19" s="359">
        <v>32476</v>
      </c>
      <c r="J19" s="359">
        <v>47000</v>
      </c>
      <c r="K19" s="359">
        <v>55000</v>
      </c>
      <c r="L19" s="359">
        <v>50000</v>
      </c>
      <c r="M19" s="359">
        <v>65000</v>
      </c>
      <c r="N19" s="359">
        <f t="shared" si="1"/>
        <v>573476</v>
      </c>
    </row>
    <row r="20" spans="1:14" ht="15" customHeight="1">
      <c r="A20" s="362" t="s">
        <v>749</v>
      </c>
      <c r="B20" s="359">
        <v>9000</v>
      </c>
      <c r="C20" s="359">
        <v>8000</v>
      </c>
      <c r="D20" s="359">
        <v>8000</v>
      </c>
      <c r="E20" s="359">
        <v>8000</v>
      </c>
      <c r="F20" s="359">
        <v>8000</v>
      </c>
      <c r="G20" s="359">
        <v>7000</v>
      </c>
      <c r="H20" s="359">
        <v>5000</v>
      </c>
      <c r="I20" s="359">
        <v>5000</v>
      </c>
      <c r="J20" s="359">
        <v>9500</v>
      </c>
      <c r="K20" s="359">
        <v>10580</v>
      </c>
      <c r="L20" s="359">
        <v>9500</v>
      </c>
      <c r="M20" s="359">
        <v>14780</v>
      </c>
      <c r="N20" s="359">
        <f t="shared" si="1"/>
        <v>102360</v>
      </c>
    </row>
    <row r="21" spans="1:14" ht="21" customHeight="1">
      <c r="A21" s="362" t="s">
        <v>750</v>
      </c>
      <c r="B21" s="359">
        <v>8855</v>
      </c>
      <c r="C21" s="359">
        <v>9058</v>
      </c>
      <c r="D21" s="359">
        <v>9218</v>
      </c>
      <c r="E21" s="359">
        <v>9218</v>
      </c>
      <c r="F21" s="359">
        <v>9218</v>
      </c>
      <c r="G21" s="359">
        <v>9218</v>
      </c>
      <c r="H21" s="359">
        <v>9219</v>
      </c>
      <c r="I21" s="359">
        <v>9219</v>
      </c>
      <c r="J21" s="359">
        <v>9219</v>
      </c>
      <c r="K21" s="359">
        <v>9491</v>
      </c>
      <c r="L21" s="359">
        <v>9218</v>
      </c>
      <c r="M21" s="359">
        <v>9219</v>
      </c>
      <c r="N21" s="359">
        <f t="shared" si="1"/>
        <v>110370</v>
      </c>
    </row>
    <row r="22" spans="1:14" ht="14.25" customHeight="1">
      <c r="A22" s="362" t="s">
        <v>1644</v>
      </c>
      <c r="B22" s="359">
        <v>14200</v>
      </c>
      <c r="C22" s="359">
        <v>5200</v>
      </c>
      <c r="D22" s="359">
        <v>5100</v>
      </c>
      <c r="E22" s="359">
        <v>6100</v>
      </c>
      <c r="F22" s="359">
        <v>7100</v>
      </c>
      <c r="G22" s="359">
        <v>9000</v>
      </c>
      <c r="H22" s="359">
        <v>7000</v>
      </c>
      <c r="I22" s="359">
        <v>7000</v>
      </c>
      <c r="J22" s="359">
        <v>7000</v>
      </c>
      <c r="K22" s="359">
        <v>8000</v>
      </c>
      <c r="L22" s="359">
        <v>7600</v>
      </c>
      <c r="M22" s="359">
        <v>7600</v>
      </c>
      <c r="N22" s="359">
        <f t="shared" si="1"/>
        <v>90900</v>
      </c>
    </row>
    <row r="23" spans="1:15" ht="15" customHeight="1">
      <c r="A23" s="363" t="s">
        <v>529</v>
      </c>
      <c r="B23" s="207">
        <f aca="true" t="shared" si="2" ref="B23:N23">SUM(B6:B22)</f>
        <v>541413</v>
      </c>
      <c r="C23" s="207">
        <f t="shared" si="2"/>
        <v>542332</v>
      </c>
      <c r="D23" s="207">
        <f t="shared" si="2"/>
        <v>540397</v>
      </c>
      <c r="E23" s="207">
        <f t="shared" si="2"/>
        <v>573659</v>
      </c>
      <c r="F23" s="207">
        <f t="shared" si="2"/>
        <v>561695</v>
      </c>
      <c r="G23" s="207">
        <f t="shared" si="2"/>
        <v>510376</v>
      </c>
      <c r="H23" s="207">
        <f t="shared" si="2"/>
        <v>455576</v>
      </c>
      <c r="I23" s="207">
        <f t="shared" si="2"/>
        <v>424772</v>
      </c>
      <c r="J23" s="207">
        <f t="shared" si="2"/>
        <v>464839</v>
      </c>
      <c r="K23" s="207">
        <f t="shared" si="2"/>
        <v>546376</v>
      </c>
      <c r="L23" s="207">
        <f t="shared" si="2"/>
        <v>546519</v>
      </c>
      <c r="M23" s="207">
        <f t="shared" si="2"/>
        <v>558254</v>
      </c>
      <c r="N23" s="207">
        <f t="shared" si="2"/>
        <v>6266208</v>
      </c>
      <c r="O23" s="364"/>
    </row>
    <row r="24" spans="1:14" ht="27.75" customHeight="1">
      <c r="A24" s="181" t="s">
        <v>358</v>
      </c>
      <c r="B24" s="207">
        <f aca="true" t="shared" si="3" ref="B24:N24">SUM(B4+B23)</f>
        <v>887685</v>
      </c>
      <c r="C24" s="207">
        <f t="shared" si="3"/>
        <v>1131396</v>
      </c>
      <c r="D24" s="207">
        <f t="shared" si="3"/>
        <v>2071816</v>
      </c>
      <c r="E24" s="207">
        <f t="shared" si="3"/>
        <v>1255531</v>
      </c>
      <c r="F24" s="207">
        <f t="shared" si="3"/>
        <v>1566606</v>
      </c>
      <c r="G24" s="207">
        <f t="shared" si="3"/>
        <v>2169213</v>
      </c>
      <c r="H24" s="207">
        <f t="shared" si="3"/>
        <v>1513686</v>
      </c>
      <c r="I24" s="207">
        <f t="shared" si="3"/>
        <v>1121560</v>
      </c>
      <c r="J24" s="207">
        <f t="shared" si="3"/>
        <v>2465236</v>
      </c>
      <c r="K24" s="207">
        <f t="shared" si="3"/>
        <v>1439469</v>
      </c>
      <c r="L24" s="207">
        <f t="shared" si="3"/>
        <v>1322290</v>
      </c>
      <c r="M24" s="207">
        <f t="shared" si="3"/>
        <v>1014530</v>
      </c>
      <c r="N24" s="207">
        <f t="shared" si="3"/>
        <v>17959018</v>
      </c>
    </row>
    <row r="25" spans="1:7" ht="13.5" customHeight="1">
      <c r="A25" s="370"/>
      <c r="B25" s="32"/>
      <c r="C25" s="32"/>
      <c r="D25" s="32"/>
      <c r="E25" s="32"/>
      <c r="F25" s="32"/>
      <c r="G25" s="32"/>
    </row>
    <row r="26" spans="2:7" ht="13.5" customHeight="1">
      <c r="B26" s="32"/>
      <c r="C26" s="32"/>
      <c r="D26" s="32"/>
      <c r="E26" s="32"/>
      <c r="F26" s="32"/>
      <c r="G26" s="32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2014. ÉVI KIADÁSI ELŐIRÁNYZATAINAK FELHASZNÁLÁSI ÜTEMTERVE&amp;R&amp;"Times New Roman,Félkövér dőlt"15.b melléklet
Adatok: ezer Ft-ban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5:F23"/>
  <sheetViews>
    <sheetView zoomScalePageLayoutView="0" workbookViewId="0" topLeftCell="A1">
      <selection activeCell="F12" sqref="F12"/>
    </sheetView>
  </sheetViews>
  <sheetFormatPr defaultColWidth="10.625" defaultRowHeight="12.75"/>
  <cols>
    <col min="1" max="1" width="47.125" style="350" customWidth="1"/>
    <col min="2" max="2" width="14.875" style="350" customWidth="1"/>
    <col min="3" max="3" width="14.625" style="350" customWidth="1"/>
    <col min="4" max="5" width="16.50390625" style="350" customWidth="1"/>
    <col min="6" max="6" width="34.375" style="350" customWidth="1"/>
    <col min="7" max="16384" width="10.625" style="350" customWidth="1"/>
  </cols>
  <sheetData>
    <row r="5" spans="1:6" ht="34.5" customHeight="1">
      <c r="A5" s="348"/>
      <c r="B5" s="443" t="s">
        <v>965</v>
      </c>
      <c r="C5" s="443" t="s">
        <v>60</v>
      </c>
      <c r="D5" s="443" t="s">
        <v>61</v>
      </c>
      <c r="E5" s="443" t="s">
        <v>73</v>
      </c>
      <c r="F5" s="349" t="s">
        <v>62</v>
      </c>
    </row>
    <row r="6" spans="1:6" ht="12.75">
      <c r="A6" s="351" t="s">
        <v>63</v>
      </c>
      <c r="B6" s="444">
        <v>58970</v>
      </c>
      <c r="C6" s="352">
        <v>34810</v>
      </c>
      <c r="D6" s="352">
        <v>63758</v>
      </c>
      <c r="E6" s="352">
        <v>62445</v>
      </c>
      <c r="F6" s="348" t="s">
        <v>75</v>
      </c>
    </row>
    <row r="7" spans="1:6" ht="12.75">
      <c r="A7" s="348"/>
      <c r="B7" s="353"/>
      <c r="C7" s="353"/>
      <c r="D7" s="353"/>
      <c r="E7" s="353"/>
      <c r="F7" s="348"/>
    </row>
    <row r="8" spans="1:6" ht="12.75">
      <c r="A8" s="351" t="s">
        <v>64</v>
      </c>
      <c r="B8" s="352"/>
      <c r="C8" s="352">
        <v>561061</v>
      </c>
      <c r="D8" s="352"/>
      <c r="E8" s="352"/>
      <c r="F8" s="354" t="s">
        <v>74</v>
      </c>
    </row>
    <row r="9" spans="1:6" ht="12.75">
      <c r="A9" s="348"/>
      <c r="B9" s="352"/>
      <c r="C9" s="353"/>
      <c r="D9" s="353"/>
      <c r="E9" s="353"/>
      <c r="F9" s="348"/>
    </row>
    <row r="10" spans="1:6" ht="12.75">
      <c r="A10" s="351" t="s">
        <v>77</v>
      </c>
      <c r="B10" s="353"/>
      <c r="C10" s="353"/>
      <c r="D10" s="353"/>
      <c r="E10" s="353"/>
      <c r="F10" s="348"/>
    </row>
    <row r="11" spans="1:6" ht="12.75">
      <c r="A11" s="354" t="s">
        <v>65</v>
      </c>
      <c r="B11" s="353">
        <v>70000</v>
      </c>
      <c r="C11" s="353">
        <v>34000</v>
      </c>
      <c r="D11" s="353"/>
      <c r="E11" s="353"/>
      <c r="F11" s="447">
        <v>42369</v>
      </c>
    </row>
    <row r="12" spans="1:6" ht="12.75">
      <c r="A12" s="354" t="s">
        <v>66</v>
      </c>
      <c r="B12" s="353">
        <v>57029</v>
      </c>
      <c r="C12" s="353">
        <v>57029</v>
      </c>
      <c r="D12" s="353">
        <v>57029</v>
      </c>
      <c r="E12" s="353"/>
      <c r="F12" s="447">
        <v>42735</v>
      </c>
    </row>
    <row r="13" spans="1:6" ht="12.75">
      <c r="A13" s="354" t="s">
        <v>78</v>
      </c>
      <c r="B13" s="353">
        <v>25000</v>
      </c>
      <c r="C13" s="353">
        <v>25000</v>
      </c>
      <c r="D13" s="353">
        <v>25000</v>
      </c>
      <c r="E13" s="353">
        <v>25000</v>
      </c>
      <c r="F13" s="354" t="s">
        <v>80</v>
      </c>
    </row>
    <row r="14" spans="1:6" ht="12.75">
      <c r="A14" s="354" t="s">
        <v>79</v>
      </c>
      <c r="B14" s="353"/>
      <c r="C14" s="353">
        <v>31750</v>
      </c>
      <c r="D14" s="353">
        <v>31750</v>
      </c>
      <c r="E14" s="353">
        <v>31750</v>
      </c>
      <c r="F14" s="354" t="s">
        <v>81</v>
      </c>
    </row>
    <row r="15" spans="1:6" ht="12.75">
      <c r="A15" s="351" t="s">
        <v>76</v>
      </c>
      <c r="B15" s="352">
        <f>SUM(B11:B14)</f>
        <v>152029</v>
      </c>
      <c r="C15" s="352">
        <f>SUM(C11:C14)</f>
        <v>147779</v>
      </c>
      <c r="D15" s="352">
        <f>SUM(D11:D14)</f>
        <v>113779</v>
      </c>
      <c r="E15" s="352">
        <f>SUM(E11:E14)</f>
        <v>56750</v>
      </c>
      <c r="F15" s="348"/>
    </row>
    <row r="16" spans="1:6" ht="12.75">
      <c r="A16" s="351"/>
      <c r="B16" s="352"/>
      <c r="C16" s="352"/>
      <c r="D16" s="352"/>
      <c r="E16" s="352"/>
      <c r="F16" s="348"/>
    </row>
    <row r="17" spans="1:6" ht="12.75">
      <c r="A17" s="351" t="s">
        <v>67</v>
      </c>
      <c r="B17" s="353"/>
      <c r="C17" s="353"/>
      <c r="D17" s="353"/>
      <c r="E17" s="353"/>
      <c r="F17" s="348"/>
    </row>
    <row r="18" spans="1:6" ht="12.75">
      <c r="A18" s="355" t="s">
        <v>68</v>
      </c>
      <c r="B18" s="353">
        <v>20000</v>
      </c>
      <c r="C18" s="353">
        <v>20000</v>
      </c>
      <c r="D18" s="353"/>
      <c r="E18" s="353"/>
      <c r="F18" s="348"/>
    </row>
    <row r="19" spans="1:6" ht="12.75">
      <c r="A19" s="355" t="s">
        <v>69</v>
      </c>
      <c r="B19" s="353">
        <v>5482</v>
      </c>
      <c r="C19" s="353">
        <v>5482</v>
      </c>
      <c r="D19" s="353">
        <v>5482</v>
      </c>
      <c r="E19" s="353">
        <v>5482</v>
      </c>
      <c r="F19" s="348"/>
    </row>
    <row r="20" spans="1:6" ht="12.75">
      <c r="A20" s="355" t="s">
        <v>70</v>
      </c>
      <c r="B20" s="353">
        <v>8904</v>
      </c>
      <c r="C20" s="353">
        <v>8904</v>
      </c>
      <c r="D20" s="353">
        <v>8904</v>
      </c>
      <c r="E20" s="353">
        <v>8904</v>
      </c>
      <c r="F20" s="348"/>
    </row>
    <row r="21" spans="1:6" ht="12.75">
      <c r="A21" s="445" t="s">
        <v>969</v>
      </c>
      <c r="B21" s="446">
        <v>34738</v>
      </c>
      <c r="C21" s="446">
        <v>34738</v>
      </c>
      <c r="D21" s="446">
        <v>34738</v>
      </c>
      <c r="E21" s="446">
        <v>34738</v>
      </c>
      <c r="F21" s="348"/>
    </row>
    <row r="22" spans="1:6" ht="12.75">
      <c r="A22" s="351" t="s">
        <v>71</v>
      </c>
      <c r="B22" s="352">
        <f>SUM(B18:B21)</f>
        <v>69124</v>
      </c>
      <c r="C22" s="352">
        <f>SUM(C18:C21)</f>
        <v>69124</v>
      </c>
      <c r="D22" s="352">
        <f>SUM(D18:D21)</f>
        <v>49124</v>
      </c>
      <c r="E22" s="352">
        <f>SUM(E18:E21)</f>
        <v>49124</v>
      </c>
      <c r="F22" s="348"/>
    </row>
    <row r="23" spans="1:6" ht="19.5" customHeight="1">
      <c r="A23" s="356" t="s">
        <v>72</v>
      </c>
      <c r="B23" s="357">
        <f>SUM(B6+B8+B15+B22)</f>
        <v>280123</v>
      </c>
      <c r="C23" s="357">
        <f>SUM(C6+C8+C15+C22)</f>
        <v>812774</v>
      </c>
      <c r="D23" s="357">
        <f>SUM(D6+D8+D15+D22)</f>
        <v>226661</v>
      </c>
      <c r="E23" s="357">
        <f>SUM(E6+E8+E15+E22)</f>
        <v>168319</v>
      </c>
      <c r="F23" s="35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 dőlt"TÖBB ÉVES KIHATÁSSAL JÁRÓ DÖNTÉSEK SZÁMSZERŰSÍTÉSE ÉVENKÉNTI BONTÁSBAN&amp;R&amp;"Arial,Félkövér dőlt"16. melléklet
Adatok:  eFt-ban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B71" sqref="B71"/>
    </sheetView>
  </sheetViews>
  <sheetFormatPr defaultColWidth="10.625" defaultRowHeight="12.75"/>
  <cols>
    <col min="1" max="1" width="4.50390625" style="390" customWidth="1"/>
    <col min="2" max="2" width="88.125" style="376" customWidth="1"/>
    <col min="3" max="16384" width="10.625" style="376" customWidth="1"/>
  </cols>
  <sheetData>
    <row r="1" spans="1:2" ht="15">
      <c r="A1" s="374"/>
      <c r="B1" s="375"/>
    </row>
    <row r="2" spans="1:2" ht="15">
      <c r="A2" s="377"/>
      <c r="B2" s="378"/>
    </row>
    <row r="3" spans="1:2" ht="15">
      <c r="A3" s="379" t="s">
        <v>1437</v>
      </c>
      <c r="B3" s="380" t="s">
        <v>1438</v>
      </c>
    </row>
    <row r="4" spans="1:2" ht="15">
      <c r="A4" s="379" t="s">
        <v>218</v>
      </c>
      <c r="B4" s="380" t="s">
        <v>1238</v>
      </c>
    </row>
    <row r="5" spans="1:2" ht="15">
      <c r="A5" s="379"/>
      <c r="B5" s="375" t="s">
        <v>1439</v>
      </c>
    </row>
    <row r="6" spans="1:2" ht="30">
      <c r="A6" s="379"/>
      <c r="B6" s="381" t="s">
        <v>1440</v>
      </c>
    </row>
    <row r="7" spans="1:2" ht="30">
      <c r="A7" s="379"/>
      <c r="B7" s="381" t="s">
        <v>1441</v>
      </c>
    </row>
    <row r="8" spans="1:2" ht="30">
      <c r="A8" s="379"/>
      <c r="B8" s="381" t="s">
        <v>1442</v>
      </c>
    </row>
    <row r="9" spans="1:2" ht="15">
      <c r="A9" s="379"/>
      <c r="B9" s="382" t="s">
        <v>1443</v>
      </c>
    </row>
    <row r="10" spans="1:2" ht="15">
      <c r="A10" s="379"/>
      <c r="B10" s="382" t="s">
        <v>1444</v>
      </c>
    </row>
    <row r="11" spans="1:2" ht="15">
      <c r="A11" s="379"/>
      <c r="B11" s="382" t="s">
        <v>1445</v>
      </c>
    </row>
    <row r="12" spans="1:2" ht="15" hidden="1">
      <c r="A12" s="379"/>
      <c r="B12" s="382"/>
    </row>
    <row r="13" spans="1:2" ht="15" hidden="1">
      <c r="A13" s="379"/>
      <c r="B13" s="382"/>
    </row>
    <row r="14" spans="1:2" ht="30">
      <c r="A14" s="379"/>
      <c r="B14" s="382" t="s">
        <v>1446</v>
      </c>
    </row>
    <row r="15" spans="1:2" ht="27" customHeight="1">
      <c r="A15" s="379"/>
      <c r="B15" s="382" t="s">
        <v>1447</v>
      </c>
    </row>
    <row r="16" spans="1:2" ht="15">
      <c r="A16" s="379"/>
      <c r="B16" s="382" t="s">
        <v>1448</v>
      </c>
    </row>
    <row r="17" spans="1:2" ht="15">
      <c r="A17" s="379"/>
      <c r="B17" s="382" t="s">
        <v>1449</v>
      </c>
    </row>
    <row r="18" spans="1:2" ht="15">
      <c r="A18" s="379"/>
      <c r="B18" s="375" t="s">
        <v>1450</v>
      </c>
    </row>
    <row r="19" spans="1:2" ht="24.75" customHeight="1">
      <c r="A19" s="379"/>
      <c r="B19" s="381" t="s">
        <v>1451</v>
      </c>
    </row>
    <row r="20" spans="1:2" ht="24.75" customHeight="1">
      <c r="A20" s="379"/>
      <c r="B20" s="381" t="s">
        <v>1452</v>
      </c>
    </row>
    <row r="21" spans="1:2" ht="15" hidden="1">
      <c r="A21" s="379"/>
      <c r="B21" s="375"/>
    </row>
    <row r="22" spans="1:2" ht="15">
      <c r="A22" s="379" t="s">
        <v>686</v>
      </c>
      <c r="B22" s="383" t="s">
        <v>746</v>
      </c>
    </row>
    <row r="23" spans="1:2" ht="15">
      <c r="A23" s="379"/>
      <c r="B23" s="382" t="s">
        <v>1439</v>
      </c>
    </row>
    <row r="24" spans="1:2" ht="15">
      <c r="A24" s="379"/>
      <c r="B24" s="382" t="s">
        <v>1453</v>
      </c>
    </row>
    <row r="25" spans="1:2" ht="15">
      <c r="A25" s="379"/>
      <c r="B25" s="382" t="s">
        <v>1454</v>
      </c>
    </row>
    <row r="26" spans="1:2" ht="15">
      <c r="A26" s="379"/>
      <c r="B26" s="382" t="s">
        <v>1455</v>
      </c>
    </row>
    <row r="27" spans="1:2" ht="15">
      <c r="A27" s="379" t="s">
        <v>688</v>
      </c>
      <c r="B27" s="380" t="s">
        <v>740</v>
      </c>
    </row>
    <row r="28" spans="1:2" ht="15">
      <c r="A28" s="379"/>
      <c r="B28" s="375" t="s">
        <v>1456</v>
      </c>
    </row>
    <row r="29" spans="1:2" ht="15">
      <c r="A29" s="379"/>
      <c r="B29" s="375" t="s">
        <v>1457</v>
      </c>
    </row>
    <row r="30" spans="1:2" ht="15">
      <c r="A30" s="379"/>
      <c r="B30" s="375" t="s">
        <v>1458</v>
      </c>
    </row>
    <row r="31" spans="1:2" ht="15">
      <c r="A31" s="379"/>
      <c r="B31" s="375" t="s">
        <v>1459</v>
      </c>
    </row>
    <row r="32" spans="1:2" ht="26.25" customHeight="1">
      <c r="A32" s="384" t="s">
        <v>1180</v>
      </c>
      <c r="B32" s="385" t="s">
        <v>1494</v>
      </c>
    </row>
    <row r="33" spans="1:2" ht="15">
      <c r="A33" s="379" t="s">
        <v>1178</v>
      </c>
      <c r="B33" s="380" t="s">
        <v>1495</v>
      </c>
    </row>
    <row r="34" spans="1:2" ht="27" customHeight="1">
      <c r="A34" s="386" t="s">
        <v>1183</v>
      </c>
      <c r="B34" s="385" t="s">
        <v>1496</v>
      </c>
    </row>
    <row r="35" spans="1:2" ht="15">
      <c r="A35" s="379"/>
      <c r="B35" s="375" t="s">
        <v>1460</v>
      </c>
    </row>
    <row r="36" spans="1:2" ht="15">
      <c r="A36" s="379"/>
      <c r="B36" s="375" t="s">
        <v>1461</v>
      </c>
    </row>
    <row r="37" spans="1:2" ht="15">
      <c r="A37" s="379"/>
      <c r="B37" s="375" t="s">
        <v>1462</v>
      </c>
    </row>
    <row r="38" spans="1:2" ht="15">
      <c r="A38" s="379"/>
      <c r="B38" s="375" t="s">
        <v>1463</v>
      </c>
    </row>
    <row r="39" spans="1:2" ht="15">
      <c r="A39" s="379"/>
      <c r="B39" s="375" t="s">
        <v>1464</v>
      </c>
    </row>
    <row r="40" spans="1:2" ht="15">
      <c r="A40" s="379"/>
      <c r="B40" s="375" t="s">
        <v>1465</v>
      </c>
    </row>
    <row r="41" spans="1:2" ht="15">
      <c r="A41" s="379" t="s">
        <v>1185</v>
      </c>
      <c r="B41" s="380" t="s">
        <v>1466</v>
      </c>
    </row>
    <row r="42" spans="1:2" ht="15">
      <c r="A42" s="379"/>
      <c r="B42" s="375" t="s">
        <v>1467</v>
      </c>
    </row>
    <row r="43" spans="1:2" ht="15">
      <c r="A43" s="379"/>
      <c r="B43" s="375" t="s">
        <v>1468</v>
      </c>
    </row>
    <row r="44" spans="1:2" ht="15">
      <c r="A44" s="379"/>
      <c r="B44" s="375" t="s">
        <v>1469</v>
      </c>
    </row>
    <row r="45" spans="1:2" ht="15">
      <c r="A45" s="379"/>
      <c r="B45" s="375" t="s">
        <v>1470</v>
      </c>
    </row>
    <row r="46" spans="1:2" ht="15">
      <c r="A46" s="379" t="s">
        <v>1187</v>
      </c>
      <c r="B46" s="380" t="s">
        <v>1471</v>
      </c>
    </row>
    <row r="47" spans="1:2" ht="30">
      <c r="A47" s="379"/>
      <c r="B47" s="381" t="s">
        <v>1472</v>
      </c>
    </row>
    <row r="48" spans="1:2" ht="15">
      <c r="A48" s="379"/>
      <c r="B48" s="375" t="s">
        <v>1473</v>
      </c>
    </row>
    <row r="49" spans="1:2" ht="30">
      <c r="A49" s="379"/>
      <c r="B49" s="381" t="s">
        <v>1474</v>
      </c>
    </row>
    <row r="50" spans="1:2" ht="30">
      <c r="A50" s="379"/>
      <c r="B50" s="381" t="s">
        <v>1475</v>
      </c>
    </row>
    <row r="51" spans="1:2" ht="15">
      <c r="A51" s="379" t="s">
        <v>1017</v>
      </c>
      <c r="B51" s="380" t="s">
        <v>1476</v>
      </c>
    </row>
    <row r="52" spans="1:2" ht="15">
      <c r="A52" s="379"/>
      <c r="B52" s="375" t="s">
        <v>1477</v>
      </c>
    </row>
    <row r="53" spans="1:2" ht="15">
      <c r="A53" s="379"/>
      <c r="B53" s="375" t="s">
        <v>1478</v>
      </c>
    </row>
    <row r="54" spans="1:2" ht="15">
      <c r="A54" s="379"/>
      <c r="B54" s="375" t="s">
        <v>1479</v>
      </c>
    </row>
    <row r="55" spans="1:2" ht="15">
      <c r="A55" s="379" t="s">
        <v>1018</v>
      </c>
      <c r="B55" s="380" t="s">
        <v>745</v>
      </c>
    </row>
    <row r="56" spans="1:2" ht="15">
      <c r="A56" s="379"/>
      <c r="B56" s="375" t="s">
        <v>1480</v>
      </c>
    </row>
    <row r="57" spans="1:2" ht="30">
      <c r="A57" s="379"/>
      <c r="B57" s="381" t="s">
        <v>1481</v>
      </c>
    </row>
    <row r="58" spans="1:2" ht="15">
      <c r="A58" s="379"/>
      <c r="B58" s="375" t="s">
        <v>1482</v>
      </c>
    </row>
    <row r="59" spans="1:2" ht="15">
      <c r="A59" s="379"/>
      <c r="B59" s="375" t="s">
        <v>1483</v>
      </c>
    </row>
    <row r="60" spans="1:2" ht="15">
      <c r="A60" s="379" t="s">
        <v>1019</v>
      </c>
      <c r="B60" s="380" t="s">
        <v>1497</v>
      </c>
    </row>
    <row r="61" spans="1:2" ht="15">
      <c r="A61" s="379"/>
      <c r="B61" s="375" t="s">
        <v>1484</v>
      </c>
    </row>
    <row r="62" spans="1:2" ht="15">
      <c r="A62" s="379"/>
      <c r="B62" s="375" t="s">
        <v>1485</v>
      </c>
    </row>
    <row r="63" spans="1:2" ht="15">
      <c r="A63" s="379"/>
      <c r="B63" s="375" t="s">
        <v>1486</v>
      </c>
    </row>
    <row r="64" spans="1:2" ht="15">
      <c r="A64" s="379"/>
      <c r="B64" s="375" t="s">
        <v>1487</v>
      </c>
    </row>
    <row r="65" spans="1:2" ht="15">
      <c r="A65" s="379" t="s">
        <v>1020</v>
      </c>
      <c r="B65" s="380" t="s">
        <v>1498</v>
      </c>
    </row>
    <row r="66" spans="1:2" ht="15">
      <c r="A66" s="379" t="s">
        <v>1021</v>
      </c>
      <c r="B66" s="380" t="s">
        <v>1499</v>
      </c>
    </row>
    <row r="67" spans="1:2" ht="15">
      <c r="A67" s="379" t="s">
        <v>1022</v>
      </c>
      <c r="B67" s="380" t="s">
        <v>1488</v>
      </c>
    </row>
    <row r="68" spans="1:2" ht="15">
      <c r="A68" s="384" t="s">
        <v>654</v>
      </c>
      <c r="B68" s="380" t="s">
        <v>749</v>
      </c>
    </row>
    <row r="69" spans="1:2" ht="15">
      <c r="A69" s="384" t="s">
        <v>1023</v>
      </c>
      <c r="B69" s="380" t="s">
        <v>738</v>
      </c>
    </row>
    <row r="70" spans="1:2" ht="15">
      <c r="A70" s="374"/>
      <c r="B70" s="375" t="s">
        <v>1439</v>
      </c>
    </row>
    <row r="71" spans="1:2" ht="15">
      <c r="A71" s="374"/>
      <c r="B71" s="387" t="s">
        <v>1489</v>
      </c>
    </row>
    <row r="72" spans="1:2" ht="15">
      <c r="A72" s="374"/>
      <c r="B72" s="387" t="s">
        <v>1490</v>
      </c>
    </row>
    <row r="73" spans="1:2" ht="15">
      <c r="A73" s="384" t="s">
        <v>1024</v>
      </c>
      <c r="B73" s="388" t="s">
        <v>739</v>
      </c>
    </row>
    <row r="74" spans="1:2" ht="15">
      <c r="A74" s="374"/>
      <c r="B74" s="387" t="s">
        <v>1439</v>
      </c>
    </row>
    <row r="75" spans="1:2" ht="15">
      <c r="A75" s="374"/>
      <c r="B75" s="387" t="s">
        <v>1491</v>
      </c>
    </row>
    <row r="76" spans="1:2" ht="15">
      <c r="A76" s="374"/>
      <c r="B76" s="387" t="s">
        <v>1492</v>
      </c>
    </row>
    <row r="77" spans="1:2" ht="25.5" customHeight="1">
      <c r="A77" s="374"/>
      <c r="B77" s="389" t="s">
        <v>1493</v>
      </c>
    </row>
    <row r="78" spans="1:2" ht="15">
      <c r="A78" s="374"/>
      <c r="B78" s="387"/>
    </row>
    <row r="79" spans="1:2" ht="15">
      <c r="A79" s="377"/>
      <c r="B79" s="387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  <headerFooter alignWithMargins="0">
    <oddHeader>&amp;CA közbeszerzés hatálya alá tartozó költségvetési szervek köre
(villamosenergia és gáz beszerzés)&amp;R17. melléklet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50" sqref="K50"/>
    </sheetView>
  </sheetViews>
  <sheetFormatPr defaultColWidth="9.00390625" defaultRowHeight="12.75"/>
  <cols>
    <col min="1" max="1" width="81.00390625" style="152" customWidth="1"/>
    <col min="2" max="2" width="8.875" style="152" customWidth="1"/>
    <col min="3" max="3" width="10.00390625" style="152" customWidth="1"/>
    <col min="4" max="4" width="12.50390625" style="152" customWidth="1"/>
    <col min="5" max="5" width="11.50390625" style="152" customWidth="1"/>
    <col min="6" max="6" width="10.50390625" style="152" customWidth="1"/>
    <col min="7" max="7" width="9.875" style="151" customWidth="1"/>
    <col min="8" max="8" width="10.375" style="151" customWidth="1"/>
    <col min="9" max="9" width="12.875" style="151" customWidth="1"/>
    <col min="10" max="10" width="10.625" style="151" customWidth="1"/>
    <col min="11" max="11" width="11.375" style="151" customWidth="1"/>
    <col min="12" max="14" width="9.375" style="151" customWidth="1"/>
    <col min="15" max="16384" width="9.375" style="152" customWidth="1"/>
  </cols>
  <sheetData>
    <row r="1" spans="1:14" ht="23.25" customHeight="1" thickBot="1">
      <c r="A1" s="619"/>
      <c r="B1" s="1266" t="s">
        <v>791</v>
      </c>
      <c r="C1" s="1267"/>
      <c r="D1" s="1267"/>
      <c r="E1" s="1267"/>
      <c r="F1" s="1267"/>
      <c r="G1" s="1268" t="s">
        <v>792</v>
      </c>
      <c r="H1" s="1268"/>
      <c r="I1" s="1268"/>
      <c r="J1" s="1268"/>
      <c r="K1" s="1268"/>
      <c r="N1" s="152"/>
    </row>
    <row r="2" spans="1:13" s="154" customFormat="1" ht="45.75" customHeight="1" thickBot="1">
      <c r="A2" s="620" t="s">
        <v>1426</v>
      </c>
      <c r="B2" s="621" t="s">
        <v>1427</v>
      </c>
      <c r="C2" s="625" t="s">
        <v>1428</v>
      </c>
      <c r="D2" s="625" t="s">
        <v>1429</v>
      </c>
      <c r="E2" s="625" t="s">
        <v>1369</v>
      </c>
      <c r="F2" s="626" t="s">
        <v>1430</v>
      </c>
      <c r="G2" s="627" t="s">
        <v>1427</v>
      </c>
      <c r="H2" s="627" t="s">
        <v>1428</v>
      </c>
      <c r="I2" s="627" t="s">
        <v>1429</v>
      </c>
      <c r="J2" s="627" t="s">
        <v>1369</v>
      </c>
      <c r="K2" s="627" t="s">
        <v>1430</v>
      </c>
      <c r="L2" s="153"/>
      <c r="M2" s="153"/>
    </row>
    <row r="3" spans="1:14" ht="13.5" customHeight="1">
      <c r="A3" s="628" t="s">
        <v>1431</v>
      </c>
      <c r="B3" s="629"/>
      <c r="C3" s="629"/>
      <c r="D3" s="629"/>
      <c r="E3" s="629"/>
      <c r="F3" s="630"/>
      <c r="G3" s="629"/>
      <c r="H3" s="629"/>
      <c r="I3" s="629"/>
      <c r="J3" s="629"/>
      <c r="K3" s="631"/>
      <c r="M3" s="152"/>
      <c r="N3" s="152"/>
    </row>
    <row r="4" spans="1:14" ht="13.5" customHeight="1">
      <c r="A4" s="632" t="s">
        <v>1370</v>
      </c>
      <c r="B4" s="633"/>
      <c r="C4" s="633">
        <v>134.94</v>
      </c>
      <c r="D4" s="629">
        <v>4580000</v>
      </c>
      <c r="E4" s="629">
        <v>618025</v>
      </c>
      <c r="F4" s="630"/>
      <c r="G4" s="633"/>
      <c r="H4" s="633">
        <v>134.94</v>
      </c>
      <c r="I4" s="629">
        <v>4580000</v>
      </c>
      <c r="J4" s="629">
        <v>618025</v>
      </c>
      <c r="K4" s="629"/>
      <c r="M4" s="152"/>
      <c r="N4" s="152"/>
    </row>
    <row r="5" spans="1:14" ht="13.5" customHeight="1">
      <c r="A5" s="632" t="s">
        <v>1371</v>
      </c>
      <c r="B5" s="633"/>
      <c r="C5" s="633"/>
      <c r="D5" s="629"/>
      <c r="E5" s="629"/>
      <c r="F5" s="630">
        <v>106378</v>
      </c>
      <c r="G5" s="633"/>
      <c r="H5" s="633"/>
      <c r="I5" s="629"/>
      <c r="J5" s="629"/>
      <c r="K5" s="629">
        <v>106378</v>
      </c>
      <c r="M5" s="152"/>
      <c r="N5" s="152"/>
    </row>
    <row r="6" spans="1:14" ht="13.5" customHeight="1">
      <c r="A6" s="632" t="s">
        <v>1372</v>
      </c>
      <c r="B6" s="629"/>
      <c r="C6" s="629"/>
      <c r="D6" s="629"/>
      <c r="E6" s="629"/>
      <c r="F6" s="630"/>
      <c r="G6" s="629"/>
      <c r="H6" s="629"/>
      <c r="I6" s="629"/>
      <c r="J6" s="629"/>
      <c r="K6" s="629"/>
      <c r="M6" s="152"/>
      <c r="N6" s="152"/>
    </row>
    <row r="7" spans="1:14" ht="13.5" customHeight="1">
      <c r="A7" s="632" t="s">
        <v>1373</v>
      </c>
      <c r="B7" s="629"/>
      <c r="C7" s="629"/>
      <c r="D7" s="629"/>
      <c r="E7" s="629"/>
      <c r="F7" s="630">
        <v>0</v>
      </c>
      <c r="G7" s="629"/>
      <c r="H7" s="629"/>
      <c r="I7" s="629"/>
      <c r="J7" s="629"/>
      <c r="K7" s="629">
        <v>0</v>
      </c>
      <c r="M7" s="152"/>
      <c r="N7" s="152"/>
    </row>
    <row r="8" spans="1:14" ht="13.5" customHeight="1">
      <c r="A8" s="632" t="s">
        <v>1432</v>
      </c>
      <c r="B8" s="629"/>
      <c r="C8" s="633"/>
      <c r="D8" s="629">
        <v>22300</v>
      </c>
      <c r="E8" s="629">
        <v>50222</v>
      </c>
      <c r="F8" s="630"/>
      <c r="G8" s="629"/>
      <c r="H8" s="633"/>
      <c r="I8" s="629">
        <v>22300</v>
      </c>
      <c r="J8" s="629">
        <v>50222</v>
      </c>
      <c r="K8" s="629"/>
      <c r="M8" s="152"/>
      <c r="N8" s="152"/>
    </row>
    <row r="9" spans="1:14" ht="13.5" customHeight="1">
      <c r="A9" s="632" t="s">
        <v>1433</v>
      </c>
      <c r="B9" s="629"/>
      <c r="C9" s="629"/>
      <c r="D9" s="629">
        <v>423700</v>
      </c>
      <c r="E9" s="629">
        <v>158963</v>
      </c>
      <c r="F9" s="630"/>
      <c r="G9" s="629"/>
      <c r="H9" s="629"/>
      <c r="I9" s="629">
        <v>423700</v>
      </c>
      <c r="J9" s="629">
        <v>158963</v>
      </c>
      <c r="K9" s="629"/>
      <c r="M9" s="152"/>
      <c r="N9" s="152"/>
    </row>
    <row r="10" spans="1:14" ht="13.5" customHeight="1">
      <c r="A10" s="632" t="s">
        <v>1434</v>
      </c>
      <c r="B10" s="629"/>
      <c r="C10" s="629">
        <v>323446</v>
      </c>
      <c r="D10" s="629">
        <v>70</v>
      </c>
      <c r="E10" s="629">
        <v>22641</v>
      </c>
      <c r="F10" s="630"/>
      <c r="G10" s="629"/>
      <c r="H10" s="629">
        <v>323446</v>
      </c>
      <c r="I10" s="629">
        <v>70</v>
      </c>
      <c r="J10" s="629">
        <v>22641</v>
      </c>
      <c r="K10" s="629"/>
      <c r="M10" s="152"/>
      <c r="N10" s="152"/>
    </row>
    <row r="11" spans="1:14" ht="13.5" customHeight="1">
      <c r="A11" s="632" t="s">
        <v>1435</v>
      </c>
      <c r="B11" s="629"/>
      <c r="C11" s="629"/>
      <c r="D11" s="629"/>
      <c r="E11" s="629">
        <v>102643</v>
      </c>
      <c r="F11" s="630"/>
      <c r="G11" s="629"/>
      <c r="H11" s="629"/>
      <c r="I11" s="629"/>
      <c r="J11" s="629">
        <v>102643</v>
      </c>
      <c r="K11" s="629"/>
      <c r="M11" s="152"/>
      <c r="N11" s="152"/>
    </row>
    <row r="12" spans="1:14" ht="13.5" customHeight="1">
      <c r="A12" s="632" t="s">
        <v>1374</v>
      </c>
      <c r="B12" s="629">
        <v>59097</v>
      </c>
      <c r="C12" s="629"/>
      <c r="D12" s="629">
        <v>2700</v>
      </c>
      <c r="E12" s="629">
        <v>159562</v>
      </c>
      <c r="F12" s="630"/>
      <c r="G12" s="629">
        <v>59097</v>
      </c>
      <c r="H12" s="629"/>
      <c r="I12" s="629">
        <v>2700</v>
      </c>
      <c r="J12" s="629">
        <v>159562</v>
      </c>
      <c r="K12" s="629"/>
      <c r="M12" s="152"/>
      <c r="N12" s="152"/>
    </row>
    <row r="13" spans="1:14" ht="13.5" customHeight="1">
      <c r="A13" s="632" t="s">
        <v>1375</v>
      </c>
      <c r="B13" s="629"/>
      <c r="C13" s="629"/>
      <c r="D13" s="629"/>
      <c r="E13" s="629"/>
      <c r="F13" s="630">
        <v>79781</v>
      </c>
      <c r="G13" s="629"/>
      <c r="H13" s="629"/>
      <c r="I13" s="629"/>
      <c r="J13" s="629"/>
      <c r="K13" s="629">
        <v>79781</v>
      </c>
      <c r="M13" s="152"/>
      <c r="N13" s="152"/>
    </row>
    <row r="14" spans="1:14" ht="13.5" customHeight="1">
      <c r="A14" s="632" t="s">
        <v>1376</v>
      </c>
      <c r="B14" s="629">
        <v>59097</v>
      </c>
      <c r="C14" s="629"/>
      <c r="D14" s="629" t="s">
        <v>1503</v>
      </c>
      <c r="E14" s="629">
        <v>163145</v>
      </c>
      <c r="F14" s="630"/>
      <c r="G14" s="629">
        <v>59097</v>
      </c>
      <c r="H14" s="629"/>
      <c r="I14" s="629" t="s">
        <v>1503</v>
      </c>
      <c r="J14" s="629">
        <v>163145</v>
      </c>
      <c r="K14" s="629"/>
      <c r="M14" s="152"/>
      <c r="N14" s="152"/>
    </row>
    <row r="15" spans="1:14" ht="13.5" customHeight="1">
      <c r="A15" s="632" t="s">
        <v>533</v>
      </c>
      <c r="B15" s="629"/>
      <c r="C15" s="629"/>
      <c r="D15" s="629"/>
      <c r="E15" s="629"/>
      <c r="F15" s="630">
        <v>81573</v>
      </c>
      <c r="G15" s="629"/>
      <c r="H15" s="629"/>
      <c r="I15" s="629"/>
      <c r="J15" s="629"/>
      <c r="K15" s="629">
        <v>81572</v>
      </c>
      <c r="M15" s="152"/>
      <c r="N15" s="152"/>
    </row>
    <row r="16" spans="1:14" ht="13.5" customHeight="1">
      <c r="A16" s="632" t="s">
        <v>1377</v>
      </c>
      <c r="B16" s="629"/>
      <c r="C16" s="629"/>
      <c r="D16" s="629"/>
      <c r="E16" s="629">
        <v>-1007470</v>
      </c>
      <c r="F16" s="630"/>
      <c r="G16" s="629"/>
      <c r="H16" s="629"/>
      <c r="I16" s="629"/>
      <c r="J16" s="629">
        <v>-1007470</v>
      </c>
      <c r="K16" s="629"/>
      <c r="M16" s="152"/>
      <c r="N16" s="152"/>
    </row>
    <row r="17" spans="1:14" ht="13.5" customHeight="1">
      <c r="A17" s="632" t="s">
        <v>1378</v>
      </c>
      <c r="B17" s="629"/>
      <c r="C17" s="629">
        <v>1500</v>
      </c>
      <c r="D17" s="629">
        <v>100</v>
      </c>
      <c r="E17" s="629"/>
      <c r="F17" s="630">
        <f>SUM(C17*D17)/1000</f>
        <v>150</v>
      </c>
      <c r="G17" s="629"/>
      <c r="H17" s="629">
        <v>1500</v>
      </c>
      <c r="I17" s="629">
        <v>100</v>
      </c>
      <c r="J17" s="629"/>
      <c r="K17" s="629">
        <f>SUM(H17*I17)/1000</f>
        <v>150</v>
      </c>
      <c r="M17" s="152"/>
      <c r="N17" s="152"/>
    </row>
    <row r="18" spans="1:14" ht="13.5" customHeight="1">
      <c r="A18" s="628" t="s">
        <v>1436</v>
      </c>
      <c r="B18" s="629"/>
      <c r="C18" s="629"/>
      <c r="D18" s="629"/>
      <c r="E18" s="629"/>
      <c r="F18" s="630"/>
      <c r="G18" s="629"/>
      <c r="H18" s="629"/>
      <c r="I18" s="629"/>
      <c r="J18" s="629"/>
      <c r="K18" s="629"/>
      <c r="M18" s="152"/>
      <c r="N18" s="152"/>
    </row>
    <row r="19" spans="1:14" ht="24.75" customHeight="1">
      <c r="A19" s="634" t="s">
        <v>1500</v>
      </c>
      <c r="B19" s="629"/>
      <c r="C19" s="629"/>
      <c r="D19" s="629"/>
      <c r="E19" s="629"/>
      <c r="F19" s="630"/>
      <c r="G19" s="629"/>
      <c r="H19" s="629"/>
      <c r="I19" s="629"/>
      <c r="J19" s="629"/>
      <c r="K19" s="629"/>
      <c r="M19" s="152"/>
      <c r="N19" s="152"/>
    </row>
    <row r="20" spans="1:14" ht="15" customHeight="1">
      <c r="A20" s="634" t="s">
        <v>1379</v>
      </c>
      <c r="B20" s="629"/>
      <c r="C20" s="635">
        <v>144.3</v>
      </c>
      <c r="D20" s="633">
        <v>2674666.67</v>
      </c>
      <c r="E20" s="633"/>
      <c r="F20" s="630">
        <f>SUM(C20*D20)/1000</f>
        <v>385954.400481</v>
      </c>
      <c r="G20" s="629"/>
      <c r="H20" s="635">
        <v>144.3</v>
      </c>
      <c r="I20" s="633">
        <v>2674666.67</v>
      </c>
      <c r="J20" s="633"/>
      <c r="K20" s="629">
        <f>SUM(H20*I20)/1000</f>
        <v>385954.400481</v>
      </c>
      <c r="M20" s="152"/>
      <c r="N20" s="152"/>
    </row>
    <row r="21" spans="1:14" ht="15" customHeight="1">
      <c r="A21" s="634" t="s">
        <v>1380</v>
      </c>
      <c r="B21" s="629"/>
      <c r="C21" s="635">
        <v>141.2</v>
      </c>
      <c r="D21" s="633">
        <v>1337333.33</v>
      </c>
      <c r="E21" s="633"/>
      <c r="F21" s="630">
        <f>SUM(C21*D21)/1000</f>
        <v>188831.46619600002</v>
      </c>
      <c r="G21" s="629"/>
      <c r="H21" s="635">
        <v>141.2</v>
      </c>
      <c r="I21" s="633">
        <v>1337333.33</v>
      </c>
      <c r="J21" s="633"/>
      <c r="K21" s="629">
        <f>SUM(H21*I21)/1000</f>
        <v>188831.46619600002</v>
      </c>
      <c r="M21" s="152"/>
      <c r="N21" s="152"/>
    </row>
    <row r="22" spans="1:14" ht="15" customHeight="1">
      <c r="A22" s="636" t="s">
        <v>1381</v>
      </c>
      <c r="B22" s="629"/>
      <c r="C22" s="635">
        <v>141.2</v>
      </c>
      <c r="D22" s="629">
        <v>34400</v>
      </c>
      <c r="E22" s="629"/>
      <c r="F22" s="630">
        <f>SUM(C22*D22)/1000</f>
        <v>4857.28</v>
      </c>
      <c r="G22" s="629"/>
      <c r="H22" s="635">
        <v>141.2</v>
      </c>
      <c r="I22" s="629">
        <v>34400</v>
      </c>
      <c r="J22" s="629"/>
      <c r="K22" s="629">
        <f>SUM(H22*I22)/1000</f>
        <v>4857.28</v>
      </c>
      <c r="M22" s="152"/>
      <c r="N22" s="152"/>
    </row>
    <row r="23" spans="1:14" ht="24.75" customHeight="1">
      <c r="A23" s="634" t="s">
        <v>1382</v>
      </c>
      <c r="B23" s="629"/>
      <c r="C23" s="629">
        <v>90</v>
      </c>
      <c r="D23" s="629">
        <v>1200000</v>
      </c>
      <c r="E23" s="637"/>
      <c r="F23" s="630">
        <f>SUM(C23*D23)/1000</f>
        <v>108000</v>
      </c>
      <c r="G23" s="629"/>
      <c r="H23" s="629">
        <v>90</v>
      </c>
      <c r="I23" s="629">
        <v>1200000</v>
      </c>
      <c r="J23" s="637"/>
      <c r="K23" s="629">
        <f>SUM(H23*I23)/1000</f>
        <v>108000</v>
      </c>
      <c r="M23" s="152"/>
      <c r="N23" s="152"/>
    </row>
    <row r="24" spans="1:14" ht="24.75" customHeight="1">
      <c r="A24" s="634" t="s">
        <v>1383</v>
      </c>
      <c r="B24" s="629"/>
      <c r="C24" s="629">
        <v>90</v>
      </c>
      <c r="D24" s="629">
        <v>600000</v>
      </c>
      <c r="E24" s="637"/>
      <c r="F24" s="630">
        <f>SUM(C24*D24)/1000</f>
        <v>54000</v>
      </c>
      <c r="G24" s="629"/>
      <c r="H24" s="629">
        <v>90</v>
      </c>
      <c r="I24" s="629">
        <v>600000</v>
      </c>
      <c r="J24" s="637"/>
      <c r="K24" s="629">
        <f>SUM(H24*I24)/1000</f>
        <v>54000</v>
      </c>
      <c r="M24" s="152"/>
      <c r="N24" s="152"/>
    </row>
    <row r="25" spans="1:14" ht="13.5" customHeight="1">
      <c r="A25" s="632" t="s">
        <v>1501</v>
      </c>
      <c r="B25" s="633">
        <v>1621.67</v>
      </c>
      <c r="C25" s="629"/>
      <c r="D25" s="629">
        <v>56000</v>
      </c>
      <c r="E25" s="637"/>
      <c r="F25" s="630">
        <v>90814</v>
      </c>
      <c r="G25" s="633">
        <v>1621.67</v>
      </c>
      <c r="H25" s="629"/>
      <c r="I25" s="629">
        <v>56000</v>
      </c>
      <c r="J25" s="637"/>
      <c r="K25" s="629">
        <v>90814</v>
      </c>
      <c r="M25" s="152"/>
      <c r="N25" s="152"/>
    </row>
    <row r="26" spans="1:14" ht="13.5" customHeight="1">
      <c r="A26" s="628" t="s">
        <v>1502</v>
      </c>
      <c r="B26" s="629"/>
      <c r="C26" s="629"/>
      <c r="D26" s="637"/>
      <c r="E26" s="637"/>
      <c r="F26" s="630"/>
      <c r="G26" s="629"/>
      <c r="H26" s="629"/>
      <c r="I26" s="637"/>
      <c r="J26" s="637"/>
      <c r="K26" s="629"/>
      <c r="M26" s="152"/>
      <c r="N26" s="152"/>
    </row>
    <row r="27" spans="1:14" ht="13.5" customHeight="1">
      <c r="A27" s="632" t="s">
        <v>1504</v>
      </c>
      <c r="B27" s="629">
        <v>59859</v>
      </c>
      <c r="C27" s="638">
        <v>11.9718</v>
      </c>
      <c r="D27" s="629">
        <v>3950000</v>
      </c>
      <c r="E27" s="629"/>
      <c r="F27" s="630">
        <f>SUM(C27*D27)/1000</f>
        <v>47288.61</v>
      </c>
      <c r="G27" s="629">
        <v>59859</v>
      </c>
      <c r="H27" s="638">
        <v>11.9718</v>
      </c>
      <c r="I27" s="629">
        <v>3950000</v>
      </c>
      <c r="J27" s="629"/>
      <c r="K27" s="629">
        <f>SUM(H27*I27)/1000</f>
        <v>47288.61</v>
      </c>
      <c r="M27" s="152"/>
      <c r="N27" s="152"/>
    </row>
    <row r="28" spans="1:14" ht="13.5" customHeight="1">
      <c r="A28" s="632" t="s">
        <v>935</v>
      </c>
      <c r="B28" s="629">
        <v>59859</v>
      </c>
      <c r="C28" s="629"/>
      <c r="D28" s="629">
        <v>300</v>
      </c>
      <c r="E28" s="629"/>
      <c r="F28" s="630">
        <f>SUM(B28*D28)/1000</f>
        <v>17957.7</v>
      </c>
      <c r="G28" s="629">
        <v>59859</v>
      </c>
      <c r="H28" s="629"/>
      <c r="I28" s="629">
        <v>300</v>
      </c>
      <c r="J28" s="629"/>
      <c r="K28" s="629">
        <f>SUM(G28*I28)/1000</f>
        <v>17957.7</v>
      </c>
      <c r="M28" s="152"/>
      <c r="N28" s="152"/>
    </row>
    <row r="29" spans="1:14" ht="24.75" customHeight="1">
      <c r="A29" s="634" t="s">
        <v>936</v>
      </c>
      <c r="B29" s="629">
        <v>9067</v>
      </c>
      <c r="C29" s="629"/>
      <c r="D29" s="629">
        <v>1200</v>
      </c>
      <c r="E29" s="629"/>
      <c r="F29" s="630">
        <f>SUM(B29*D29)/1000</f>
        <v>10880.4</v>
      </c>
      <c r="G29" s="629">
        <v>9067</v>
      </c>
      <c r="H29" s="629"/>
      <c r="I29" s="629">
        <v>1200</v>
      </c>
      <c r="J29" s="629"/>
      <c r="K29" s="629">
        <f>SUM(G29*I29)/1000</f>
        <v>10880.4</v>
      </c>
      <c r="M29" s="152"/>
      <c r="N29" s="152"/>
    </row>
    <row r="30" spans="1:14" ht="13.5" customHeight="1">
      <c r="A30" s="632" t="s">
        <v>937</v>
      </c>
      <c r="B30" s="629"/>
      <c r="C30" s="629"/>
      <c r="D30" s="629"/>
      <c r="E30" s="629"/>
      <c r="F30" s="630"/>
      <c r="G30" s="629"/>
      <c r="H30" s="629"/>
      <c r="I30" s="629"/>
      <c r="J30" s="629"/>
      <c r="K30" s="629"/>
      <c r="M30" s="152"/>
      <c r="N30" s="152"/>
    </row>
    <row r="31" spans="1:14" ht="13.5" customHeight="1">
      <c r="A31" s="632" t="s">
        <v>1670</v>
      </c>
      <c r="B31" s="629"/>
      <c r="C31" s="629">
        <v>1</v>
      </c>
      <c r="D31" s="629">
        <v>2099400</v>
      </c>
      <c r="E31" s="629"/>
      <c r="F31" s="630">
        <f aca="true" t="shared" si="0" ref="F31:F36">SUM(C31*D31)/1000</f>
        <v>2099.4</v>
      </c>
      <c r="G31" s="629"/>
      <c r="H31" s="629">
        <v>1</v>
      </c>
      <c r="I31" s="629">
        <v>2099400</v>
      </c>
      <c r="J31" s="629"/>
      <c r="K31" s="629">
        <f aca="true" t="shared" si="1" ref="K31:K36">SUM(H31*I31)/1000</f>
        <v>2099.4</v>
      </c>
      <c r="M31" s="152"/>
      <c r="N31" s="152"/>
    </row>
    <row r="32" spans="1:14" ht="13.5" customHeight="1">
      <c r="A32" s="632" t="s">
        <v>1671</v>
      </c>
      <c r="B32" s="639"/>
      <c r="C32" s="629">
        <v>450</v>
      </c>
      <c r="D32" s="629">
        <v>60896</v>
      </c>
      <c r="E32" s="629"/>
      <c r="F32" s="630">
        <f t="shared" si="0"/>
        <v>27403.2</v>
      </c>
      <c r="G32" s="639"/>
      <c r="H32" s="629">
        <v>450</v>
      </c>
      <c r="I32" s="629">
        <v>60896</v>
      </c>
      <c r="J32" s="629"/>
      <c r="K32" s="629">
        <f t="shared" si="1"/>
        <v>27403.2</v>
      </c>
      <c r="M32" s="152"/>
      <c r="N32" s="152"/>
    </row>
    <row r="33" spans="1:14" ht="13.5" customHeight="1">
      <c r="A33" s="632" t="s">
        <v>1672</v>
      </c>
      <c r="B33" s="639"/>
      <c r="C33" s="629">
        <v>65</v>
      </c>
      <c r="D33" s="629">
        <v>188500</v>
      </c>
      <c r="E33" s="629"/>
      <c r="F33" s="630">
        <f t="shared" si="0"/>
        <v>12252.5</v>
      </c>
      <c r="G33" s="639"/>
      <c r="H33" s="629">
        <v>65</v>
      </c>
      <c r="I33" s="629">
        <v>188500</v>
      </c>
      <c r="J33" s="629"/>
      <c r="K33" s="629">
        <f t="shared" si="1"/>
        <v>12252.5</v>
      </c>
      <c r="M33" s="152"/>
      <c r="N33" s="152"/>
    </row>
    <row r="34" spans="1:14" ht="13.5" customHeight="1">
      <c r="A34" s="634" t="s">
        <v>1673</v>
      </c>
      <c r="B34" s="640"/>
      <c r="C34" s="629">
        <v>83</v>
      </c>
      <c r="D34" s="629">
        <v>163500</v>
      </c>
      <c r="E34" s="629"/>
      <c r="F34" s="630">
        <f t="shared" si="0"/>
        <v>13570.5</v>
      </c>
      <c r="G34" s="640"/>
      <c r="H34" s="629">
        <v>83</v>
      </c>
      <c r="I34" s="629">
        <v>163500</v>
      </c>
      <c r="J34" s="629"/>
      <c r="K34" s="629">
        <f t="shared" si="1"/>
        <v>13570.5</v>
      </c>
      <c r="M34" s="152"/>
      <c r="N34" s="152"/>
    </row>
    <row r="35" spans="1:14" ht="13.5" customHeight="1">
      <c r="A35" s="634" t="s">
        <v>1674</v>
      </c>
      <c r="B35" s="640"/>
      <c r="C35" s="629">
        <v>6</v>
      </c>
      <c r="D35" s="629">
        <v>550000</v>
      </c>
      <c r="E35" s="629"/>
      <c r="F35" s="630">
        <f t="shared" si="0"/>
        <v>3300</v>
      </c>
      <c r="G35" s="640"/>
      <c r="H35" s="629">
        <v>6</v>
      </c>
      <c r="I35" s="629">
        <v>550000</v>
      </c>
      <c r="J35" s="629"/>
      <c r="K35" s="629">
        <f t="shared" si="1"/>
        <v>3300</v>
      </c>
      <c r="M35" s="152"/>
      <c r="N35" s="152"/>
    </row>
    <row r="36" spans="1:14" ht="13.5" customHeight="1">
      <c r="A36" s="634" t="s">
        <v>1675</v>
      </c>
      <c r="B36" s="640"/>
      <c r="C36" s="629">
        <v>21</v>
      </c>
      <c r="D36" s="629">
        <v>372000</v>
      </c>
      <c r="E36" s="629"/>
      <c r="F36" s="630">
        <f t="shared" si="0"/>
        <v>7812</v>
      </c>
      <c r="G36" s="640"/>
      <c r="H36" s="629">
        <v>21</v>
      </c>
      <c r="I36" s="629">
        <v>372000</v>
      </c>
      <c r="J36" s="629"/>
      <c r="K36" s="629">
        <f t="shared" si="1"/>
        <v>7812</v>
      </c>
      <c r="M36" s="152"/>
      <c r="N36" s="152"/>
    </row>
    <row r="37" spans="1:14" ht="15" customHeight="1">
      <c r="A37" s="634" t="s">
        <v>1676</v>
      </c>
      <c r="B37" s="640"/>
      <c r="C37" s="629"/>
      <c r="D37" s="629"/>
      <c r="E37" s="629"/>
      <c r="F37" s="630"/>
      <c r="G37" s="640"/>
      <c r="H37" s="629"/>
      <c r="I37" s="629"/>
      <c r="J37" s="629"/>
      <c r="K37" s="629"/>
      <c r="M37" s="152"/>
      <c r="N37" s="152"/>
    </row>
    <row r="38" spans="1:14" ht="13.5" customHeight="1">
      <c r="A38" s="632" t="s">
        <v>1677</v>
      </c>
      <c r="B38" s="632"/>
      <c r="C38" s="632">
        <v>258</v>
      </c>
      <c r="D38" s="639">
        <v>494100</v>
      </c>
      <c r="E38" s="639"/>
      <c r="F38" s="630">
        <f>SUM(C38*D38)/1000</f>
        <v>127477.8</v>
      </c>
      <c r="G38" s="632"/>
      <c r="H38" s="632">
        <v>258</v>
      </c>
      <c r="I38" s="639">
        <v>494100</v>
      </c>
      <c r="J38" s="639"/>
      <c r="K38" s="629">
        <f>SUM(H38*I38)/1000</f>
        <v>127477.8</v>
      </c>
      <c r="M38" s="152"/>
      <c r="N38" s="152"/>
    </row>
    <row r="39" spans="1:14" ht="13.5" customHeight="1">
      <c r="A39" s="632" t="s">
        <v>945</v>
      </c>
      <c r="B39" s="632"/>
      <c r="C39" s="641">
        <v>4</v>
      </c>
      <c r="D39" s="629">
        <v>741150</v>
      </c>
      <c r="E39" s="629"/>
      <c r="F39" s="630">
        <f>SUM(C39*D39)/1000</f>
        <v>2964.6</v>
      </c>
      <c r="G39" s="632"/>
      <c r="H39" s="641">
        <v>4</v>
      </c>
      <c r="I39" s="629">
        <v>741150</v>
      </c>
      <c r="J39" s="629"/>
      <c r="K39" s="629">
        <f>SUM(H39*I39)/1000</f>
        <v>2964.6</v>
      </c>
      <c r="M39" s="152"/>
      <c r="N39" s="152"/>
    </row>
    <row r="40" spans="1:11" ht="13.5" customHeight="1">
      <c r="A40" s="632" t="s">
        <v>1384</v>
      </c>
      <c r="B40" s="642"/>
      <c r="C40" s="629">
        <v>20</v>
      </c>
      <c r="D40" s="629">
        <v>518805</v>
      </c>
      <c r="E40" s="629"/>
      <c r="F40" s="630">
        <f>SUM(C40*D40)/1000</f>
        <v>10376.1</v>
      </c>
      <c r="G40" s="642"/>
      <c r="H40" s="629">
        <v>20</v>
      </c>
      <c r="I40" s="629">
        <v>518805</v>
      </c>
      <c r="J40" s="629"/>
      <c r="K40" s="629">
        <f>SUM(H40*I40)/1000</f>
        <v>10376.1</v>
      </c>
    </row>
    <row r="41" spans="1:11" ht="13.5" customHeight="1">
      <c r="A41" s="632" t="s">
        <v>1690</v>
      </c>
      <c r="B41" s="642"/>
      <c r="C41" s="629">
        <v>1</v>
      </c>
      <c r="D41" s="629">
        <v>635650</v>
      </c>
      <c r="E41" s="629"/>
      <c r="F41" s="630">
        <f>SUM(C41*D41)/1000</f>
        <v>635.65</v>
      </c>
      <c r="G41" s="642"/>
      <c r="H41" s="629">
        <v>1</v>
      </c>
      <c r="I41" s="629">
        <v>635650</v>
      </c>
      <c r="J41" s="629"/>
      <c r="K41" s="629">
        <f>SUM(H41*I41)/1000</f>
        <v>635.65</v>
      </c>
    </row>
    <row r="42" spans="1:11" ht="24.75" customHeight="1">
      <c r="A42" s="634" t="s">
        <v>958</v>
      </c>
      <c r="B42" s="639"/>
      <c r="C42" s="629"/>
      <c r="D42" s="629"/>
      <c r="E42" s="629"/>
      <c r="F42" s="630"/>
      <c r="G42" s="639"/>
      <c r="H42" s="629"/>
      <c r="I42" s="629"/>
      <c r="J42" s="629"/>
      <c r="K42" s="629"/>
    </row>
    <row r="43" spans="1:11" ht="15" customHeight="1">
      <c r="A43" s="634" t="s">
        <v>959</v>
      </c>
      <c r="B43" s="639"/>
      <c r="C43" s="629">
        <v>37</v>
      </c>
      <c r="D43" s="629">
        <v>2606040</v>
      </c>
      <c r="E43" s="629"/>
      <c r="F43" s="630">
        <f>SUM(C43*D43)/1000</f>
        <v>96423.48</v>
      </c>
      <c r="G43" s="639"/>
      <c r="H43" s="629">
        <v>37</v>
      </c>
      <c r="I43" s="629">
        <v>2606040</v>
      </c>
      <c r="J43" s="629"/>
      <c r="K43" s="629">
        <f>SUM(H43*I43)/1000</f>
        <v>96423.48</v>
      </c>
    </row>
    <row r="44" spans="1:11" ht="13.5" customHeight="1">
      <c r="A44" s="632" t="s">
        <v>960</v>
      </c>
      <c r="B44" s="639"/>
      <c r="C44" s="629"/>
      <c r="D44" s="629"/>
      <c r="E44" s="629"/>
      <c r="F44" s="630">
        <v>18351</v>
      </c>
      <c r="G44" s="639"/>
      <c r="H44" s="629"/>
      <c r="I44" s="629"/>
      <c r="J44" s="629"/>
      <c r="K44" s="629">
        <v>18351</v>
      </c>
    </row>
    <row r="45" spans="1:11" ht="13.5" customHeight="1">
      <c r="A45" s="643" t="s">
        <v>1385</v>
      </c>
      <c r="B45" s="629"/>
      <c r="C45" s="629"/>
      <c r="D45" s="637"/>
      <c r="E45" s="637"/>
      <c r="F45" s="630"/>
      <c r="G45" s="629"/>
      <c r="H45" s="629"/>
      <c r="I45" s="637"/>
      <c r="J45" s="637"/>
      <c r="K45" s="629"/>
    </row>
    <row r="46" spans="1:11" ht="13.5" customHeight="1">
      <c r="A46" s="644" t="s">
        <v>503</v>
      </c>
      <c r="B46" s="629">
        <v>113.67</v>
      </c>
      <c r="C46" s="629"/>
      <c r="D46" s="629">
        <v>1632000</v>
      </c>
      <c r="E46" s="637"/>
      <c r="F46" s="630">
        <v>185509</v>
      </c>
      <c r="G46" s="629">
        <v>113.67</v>
      </c>
      <c r="H46" s="629"/>
      <c r="I46" s="629">
        <v>1632000</v>
      </c>
      <c r="J46" s="637"/>
      <c r="K46" s="629">
        <v>185509</v>
      </c>
    </row>
    <row r="47" spans="1:11" ht="13.5" customHeight="1">
      <c r="A47" s="644" t="s">
        <v>504</v>
      </c>
      <c r="B47" s="629"/>
      <c r="C47" s="629"/>
      <c r="D47" s="637"/>
      <c r="E47" s="637"/>
      <c r="F47" s="630">
        <v>44543</v>
      </c>
      <c r="G47" s="629"/>
      <c r="H47" s="629"/>
      <c r="I47" s="637"/>
      <c r="J47" s="637"/>
      <c r="K47" s="629">
        <v>44543</v>
      </c>
    </row>
    <row r="48" spans="1:11" ht="13.5" customHeight="1">
      <c r="A48" s="644" t="s">
        <v>541</v>
      </c>
      <c r="B48" s="629"/>
      <c r="C48" s="629"/>
      <c r="D48" s="637"/>
      <c r="E48" s="637"/>
      <c r="F48" s="630"/>
      <c r="G48" s="629"/>
      <c r="H48" s="629"/>
      <c r="I48" s="637"/>
      <c r="J48" s="637"/>
      <c r="K48" s="629">
        <v>279200</v>
      </c>
    </row>
    <row r="49" spans="1:11" ht="13.5" customHeight="1">
      <c r="A49" s="644" t="s">
        <v>542</v>
      </c>
      <c r="B49" s="629"/>
      <c r="C49" s="629"/>
      <c r="D49" s="637"/>
      <c r="E49" s="637"/>
      <c r="F49" s="630"/>
      <c r="G49" s="629"/>
      <c r="H49" s="629"/>
      <c r="I49" s="637"/>
      <c r="J49" s="637"/>
      <c r="K49" s="629">
        <v>110</v>
      </c>
    </row>
    <row r="50" spans="1:11" ht="13.5" customHeight="1">
      <c r="A50" s="645" t="s">
        <v>961</v>
      </c>
      <c r="B50" s="639"/>
      <c r="C50" s="629"/>
      <c r="D50" s="646"/>
      <c r="E50" s="646"/>
      <c r="F50" s="630"/>
      <c r="G50" s="639"/>
      <c r="H50" s="629"/>
      <c r="I50" s="646"/>
      <c r="J50" s="646"/>
      <c r="K50" s="629"/>
    </row>
    <row r="51" spans="1:11" ht="13.5" customHeight="1">
      <c r="A51" s="634" t="s">
        <v>0</v>
      </c>
      <c r="B51" s="639"/>
      <c r="C51" s="629"/>
      <c r="D51" s="646"/>
      <c r="E51" s="646"/>
      <c r="F51" s="630">
        <v>101100</v>
      </c>
      <c r="G51" s="639"/>
      <c r="H51" s="629"/>
      <c r="I51" s="646"/>
      <c r="J51" s="646"/>
      <c r="K51" s="629">
        <v>101100</v>
      </c>
    </row>
    <row r="52" spans="1:11" ht="24.75" customHeight="1">
      <c r="A52" s="634" t="s">
        <v>16</v>
      </c>
      <c r="B52" s="639"/>
      <c r="C52" s="629"/>
      <c r="D52" s="646"/>
      <c r="E52" s="646"/>
      <c r="F52" s="630">
        <v>112600</v>
      </c>
      <c r="G52" s="639"/>
      <c r="H52" s="629"/>
      <c r="I52" s="646"/>
      <c r="J52" s="646"/>
      <c r="K52" s="629">
        <v>112600</v>
      </c>
    </row>
    <row r="53" spans="1:11" ht="13.5" customHeight="1">
      <c r="A53" s="634" t="s">
        <v>1</v>
      </c>
      <c r="B53" s="647">
        <v>59097</v>
      </c>
      <c r="C53" s="629"/>
      <c r="D53" s="646">
        <v>400</v>
      </c>
      <c r="E53" s="646"/>
      <c r="F53" s="630">
        <f>SUM(B53*D53)/1000</f>
        <v>23638.8</v>
      </c>
      <c r="G53" s="647">
        <v>59097</v>
      </c>
      <c r="H53" s="629"/>
      <c r="I53" s="646">
        <v>400</v>
      </c>
      <c r="J53" s="646"/>
      <c r="K53" s="629">
        <f>SUM(G53*I53)/1000</f>
        <v>23638.8</v>
      </c>
    </row>
    <row r="54" spans="1:11" ht="24.75" customHeight="1">
      <c r="A54" s="634" t="s">
        <v>17</v>
      </c>
      <c r="B54" s="639"/>
      <c r="C54" s="629"/>
      <c r="D54" s="629"/>
      <c r="E54" s="629"/>
      <c r="F54" s="630">
        <v>167444</v>
      </c>
      <c r="G54" s="639"/>
      <c r="H54" s="629"/>
      <c r="I54" s="629"/>
      <c r="J54" s="629"/>
      <c r="K54" s="629">
        <v>167456</v>
      </c>
    </row>
    <row r="55" spans="1:11" ht="15" customHeight="1">
      <c r="A55" s="634" t="s">
        <v>2</v>
      </c>
      <c r="B55" s="639"/>
      <c r="C55" s="629"/>
      <c r="D55" s="629"/>
      <c r="E55" s="629"/>
      <c r="F55" s="630"/>
      <c r="G55" s="639"/>
      <c r="H55" s="629"/>
      <c r="I55" s="629"/>
      <c r="J55" s="629"/>
      <c r="K55" s="629"/>
    </row>
    <row r="56" spans="1:11" ht="15" customHeight="1">
      <c r="A56" s="634" t="s">
        <v>3</v>
      </c>
      <c r="B56" s="639"/>
      <c r="C56" s="629"/>
      <c r="D56" s="629"/>
      <c r="E56" s="629"/>
      <c r="F56" s="630"/>
      <c r="G56" s="639"/>
      <c r="H56" s="629"/>
      <c r="I56" s="629"/>
      <c r="J56" s="629"/>
      <c r="K56" s="629"/>
    </row>
    <row r="57" spans="1:11" ht="15" customHeight="1">
      <c r="A57" s="641" t="s">
        <v>4</v>
      </c>
      <c r="B57" s="639"/>
      <c r="C57" s="629"/>
      <c r="D57" s="629"/>
      <c r="E57" s="629"/>
      <c r="F57" s="630">
        <v>246600</v>
      </c>
      <c r="G57" s="639"/>
      <c r="H57" s="629"/>
      <c r="I57" s="629"/>
      <c r="J57" s="629"/>
      <c r="K57" s="629">
        <v>246600</v>
      </c>
    </row>
    <row r="58" spans="1:11" ht="15" customHeight="1">
      <c r="A58" s="648" t="s">
        <v>505</v>
      </c>
      <c r="B58" s="639"/>
      <c r="C58" s="629"/>
      <c r="D58" s="629"/>
      <c r="E58" s="629"/>
      <c r="F58" s="630"/>
      <c r="G58" s="639"/>
      <c r="H58" s="629"/>
      <c r="I58" s="629"/>
      <c r="J58" s="629"/>
      <c r="K58" s="629"/>
    </row>
    <row r="59" spans="1:11" ht="15" customHeight="1">
      <c r="A59" s="634" t="s">
        <v>793</v>
      </c>
      <c r="B59" s="639"/>
      <c r="C59" s="629"/>
      <c r="D59" s="629"/>
      <c r="E59" s="629"/>
      <c r="F59" s="630">
        <v>8699</v>
      </c>
      <c r="G59" s="639"/>
      <c r="H59" s="629"/>
      <c r="I59" s="629"/>
      <c r="J59" s="629"/>
      <c r="K59" s="629">
        <v>8699</v>
      </c>
    </row>
    <row r="60" spans="1:11" ht="15" customHeight="1">
      <c r="A60" s="634" t="s">
        <v>794</v>
      </c>
      <c r="B60" s="639"/>
      <c r="C60" s="639">
        <v>6955723</v>
      </c>
      <c r="D60" s="635">
        <v>1.5</v>
      </c>
      <c r="E60" s="635"/>
      <c r="F60" s="630">
        <f>SUM(C60*D60)/1000</f>
        <v>10433.5845</v>
      </c>
      <c r="G60" s="639"/>
      <c r="H60" s="639">
        <v>6955723</v>
      </c>
      <c r="I60" s="635">
        <v>1.5</v>
      </c>
      <c r="J60" s="635"/>
      <c r="K60" s="629">
        <f>SUM(H60*I60)/1000</f>
        <v>10433.5845</v>
      </c>
    </row>
    <row r="61" spans="1:11" ht="15" customHeight="1">
      <c r="A61" s="634" t="s">
        <v>795</v>
      </c>
      <c r="B61" s="639"/>
      <c r="C61" s="639"/>
      <c r="D61" s="635"/>
      <c r="E61" s="635"/>
      <c r="F61" s="630"/>
      <c r="G61" s="639"/>
      <c r="H61" s="639"/>
      <c r="I61" s="635"/>
      <c r="J61" s="635"/>
      <c r="K61" s="629">
        <v>10341</v>
      </c>
    </row>
    <row r="62" spans="1:11" ht="15" customHeight="1">
      <c r="A62" s="634" t="s">
        <v>796</v>
      </c>
      <c r="B62" s="639"/>
      <c r="C62" s="639"/>
      <c r="D62" s="635"/>
      <c r="E62" s="635"/>
      <c r="F62" s="630"/>
      <c r="G62" s="639"/>
      <c r="H62" s="639"/>
      <c r="I62" s="635"/>
      <c r="J62" s="635"/>
      <c r="K62" s="629">
        <v>8084</v>
      </c>
    </row>
    <row r="63" spans="1:11" ht="15" customHeight="1">
      <c r="A63" s="634" t="s">
        <v>797</v>
      </c>
      <c r="B63" s="639"/>
      <c r="C63" s="639"/>
      <c r="D63" s="635"/>
      <c r="E63" s="635"/>
      <c r="F63" s="630"/>
      <c r="G63" s="639"/>
      <c r="H63" s="639"/>
      <c r="I63" s="635"/>
      <c r="J63" s="635"/>
      <c r="K63" s="629">
        <v>24</v>
      </c>
    </row>
    <row r="64" spans="1:11" ht="15" customHeight="1">
      <c r="A64" s="634" t="s">
        <v>798</v>
      </c>
      <c r="B64" s="639"/>
      <c r="C64" s="639"/>
      <c r="D64" s="635"/>
      <c r="E64" s="635"/>
      <c r="F64" s="630"/>
      <c r="G64" s="639"/>
      <c r="H64" s="639"/>
      <c r="I64" s="635"/>
      <c r="J64" s="635"/>
      <c r="K64" s="629">
        <v>33986</v>
      </c>
    </row>
    <row r="65" spans="1:11" ht="15" customHeight="1">
      <c r="A65" s="634" t="s">
        <v>799</v>
      </c>
      <c r="B65" s="639"/>
      <c r="C65" s="639"/>
      <c r="D65" s="635"/>
      <c r="E65" s="635"/>
      <c r="F65" s="630"/>
      <c r="G65" s="639"/>
      <c r="H65" s="639"/>
      <c r="I65" s="635"/>
      <c r="J65" s="635"/>
      <c r="K65" s="629">
        <v>6000</v>
      </c>
    </row>
    <row r="66" spans="1:11" ht="15" customHeight="1">
      <c r="A66" s="634" t="s">
        <v>543</v>
      </c>
      <c r="B66" s="639"/>
      <c r="C66" s="639"/>
      <c r="D66" s="635"/>
      <c r="E66" s="635"/>
      <c r="F66" s="630"/>
      <c r="G66" s="639"/>
      <c r="H66" s="639"/>
      <c r="I66" s="635"/>
      <c r="J66" s="635"/>
      <c r="K66" s="629">
        <v>2528</v>
      </c>
    </row>
    <row r="67" spans="1:11" ht="15" customHeight="1">
      <c r="A67" s="634" t="s">
        <v>544</v>
      </c>
      <c r="B67" s="639"/>
      <c r="C67" s="639"/>
      <c r="D67" s="635"/>
      <c r="E67" s="635"/>
      <c r="F67" s="630"/>
      <c r="G67" s="639"/>
      <c r="H67" s="639"/>
      <c r="I67" s="635"/>
      <c r="J67" s="635"/>
      <c r="K67" s="629">
        <v>63</v>
      </c>
    </row>
    <row r="68" spans="1:11" ht="15" customHeight="1">
      <c r="A68" s="634" t="s">
        <v>545</v>
      </c>
      <c r="B68" s="639"/>
      <c r="C68" s="639"/>
      <c r="D68" s="635"/>
      <c r="E68" s="635"/>
      <c r="F68" s="630"/>
      <c r="G68" s="639"/>
      <c r="H68" s="639"/>
      <c r="I68" s="635"/>
      <c r="J68" s="635"/>
      <c r="K68" s="629">
        <v>5180</v>
      </c>
    </row>
    <row r="69" spans="1:11" ht="15" customHeight="1">
      <c r="A69" s="645" t="s">
        <v>800</v>
      </c>
      <c r="B69" s="639"/>
      <c r="C69" s="639"/>
      <c r="D69" s="635"/>
      <c r="E69" s="635"/>
      <c r="F69" s="630"/>
      <c r="G69" s="639"/>
      <c r="H69" s="639"/>
      <c r="I69" s="635"/>
      <c r="J69" s="635"/>
      <c r="K69" s="629"/>
    </row>
    <row r="70" spans="1:11" ht="15" customHeight="1">
      <c r="A70" s="634" t="s">
        <v>801</v>
      </c>
      <c r="B70" s="639"/>
      <c r="C70" s="639"/>
      <c r="D70" s="635"/>
      <c r="E70" s="635"/>
      <c r="F70" s="630"/>
      <c r="G70" s="639"/>
      <c r="H70" s="639"/>
      <c r="I70" s="635"/>
      <c r="J70" s="635"/>
      <c r="K70" s="629">
        <v>34104</v>
      </c>
    </row>
    <row r="71" spans="1:11" ht="15" customHeight="1">
      <c r="A71" s="634" t="s">
        <v>802</v>
      </c>
      <c r="B71" s="639"/>
      <c r="C71" s="639"/>
      <c r="D71" s="635"/>
      <c r="E71" s="635"/>
      <c r="F71" s="630"/>
      <c r="G71" s="639"/>
      <c r="H71" s="639"/>
      <c r="I71" s="635"/>
      <c r="J71" s="635"/>
      <c r="K71" s="629">
        <v>1243940</v>
      </c>
    </row>
    <row r="72" spans="1:11" ht="15" customHeight="1">
      <c r="A72" s="644" t="s">
        <v>546</v>
      </c>
      <c r="B72" s="629"/>
      <c r="C72" s="629"/>
      <c r="D72" s="637"/>
      <c r="E72" s="637"/>
      <c r="F72" s="630"/>
      <c r="G72" s="629"/>
      <c r="H72" s="629"/>
      <c r="I72" s="637"/>
      <c r="J72" s="637"/>
      <c r="K72" s="629">
        <v>18204</v>
      </c>
    </row>
    <row r="73" spans="1:14" s="154" customFormat="1" ht="13.5" customHeight="1">
      <c r="A73" s="649" t="s">
        <v>18</v>
      </c>
      <c r="B73" s="650"/>
      <c r="C73" s="650"/>
      <c r="D73" s="650"/>
      <c r="E73" s="650"/>
      <c r="F73" s="651">
        <f>SUM(F4:F60)</f>
        <v>2399699.4711769996</v>
      </c>
      <c r="G73" s="650"/>
      <c r="H73" s="650"/>
      <c r="I73" s="650"/>
      <c r="J73" s="650"/>
      <c r="K73" s="650">
        <f>SUM(K4:K72)</f>
        <v>4041474.4711769996</v>
      </c>
      <c r="L73" s="153"/>
      <c r="M73" s="153"/>
      <c r="N73" s="153"/>
    </row>
    <row r="74" spans="1:6" ht="12.75" customHeight="1">
      <c r="A74" s="155"/>
      <c r="B74" s="155"/>
      <c r="C74" s="155"/>
      <c r="D74" s="155"/>
      <c r="E74" s="155"/>
      <c r="F74" s="156"/>
    </row>
    <row r="75" spans="1:6" ht="18" customHeight="1">
      <c r="A75" s="157"/>
      <c r="B75" s="158"/>
      <c r="C75" s="158"/>
      <c r="D75" s="158"/>
      <c r="E75" s="158"/>
      <c r="F75" s="159"/>
    </row>
    <row r="76" ht="12" hidden="1"/>
    <row r="77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0" sqref="D10"/>
    </sheetView>
  </sheetViews>
  <sheetFormatPr defaultColWidth="9.00390625" defaultRowHeight="12.75"/>
  <cols>
    <col min="1" max="1" width="9.375" style="24" customWidth="1"/>
    <col min="2" max="2" width="50.50390625" style="24" customWidth="1"/>
    <col min="3" max="3" width="16.375" style="24" customWidth="1"/>
    <col min="4" max="4" width="14.50390625" style="24" customWidth="1"/>
    <col min="5" max="5" width="15.125" style="24" customWidth="1"/>
    <col min="6" max="16384" width="9.375" style="24" customWidth="1"/>
  </cols>
  <sheetData>
    <row r="1" spans="1:5" s="43" customFormat="1" ht="49.5" customHeight="1" thickBot="1">
      <c r="A1" s="652" t="s">
        <v>438</v>
      </c>
      <c r="B1" s="652" t="s">
        <v>1345</v>
      </c>
      <c r="C1" s="652" t="s">
        <v>785</v>
      </c>
      <c r="D1" s="653" t="s">
        <v>786</v>
      </c>
      <c r="E1" s="654" t="s">
        <v>788</v>
      </c>
    </row>
    <row r="2" spans="1:5" s="43" customFormat="1" ht="19.5" customHeight="1">
      <c r="A2" s="655"/>
      <c r="B2" s="656" t="s">
        <v>1359</v>
      </c>
      <c r="C2" s="655"/>
      <c r="D2" s="657"/>
      <c r="E2" s="657"/>
    </row>
    <row r="3" spans="1:5" s="44" customFormat="1" ht="12.75">
      <c r="A3" s="658" t="s">
        <v>439</v>
      </c>
      <c r="B3" s="659" t="s">
        <v>50</v>
      </c>
      <c r="C3" s="660">
        <v>2951765</v>
      </c>
      <c r="D3" s="661">
        <v>103315</v>
      </c>
      <c r="E3" s="661">
        <f>SUM(C3:D3)</f>
        <v>3055080</v>
      </c>
    </row>
    <row r="4" spans="1:5" s="34" customFormat="1" ht="12.75">
      <c r="A4" s="658" t="s">
        <v>440</v>
      </c>
      <c r="B4" s="662" t="s">
        <v>1631</v>
      </c>
      <c r="C4" s="663">
        <v>809399</v>
      </c>
      <c r="D4" s="664">
        <v>20892</v>
      </c>
      <c r="E4" s="661">
        <f>SUM(C4:D4)</f>
        <v>830291</v>
      </c>
    </row>
    <row r="5" spans="1:5" s="34" customFormat="1" ht="12.75">
      <c r="A5" s="658" t="s">
        <v>441</v>
      </c>
      <c r="B5" s="665" t="s">
        <v>1632</v>
      </c>
      <c r="C5" s="663">
        <v>4417840</v>
      </c>
      <c r="D5" s="664">
        <v>323404</v>
      </c>
      <c r="E5" s="661">
        <f>SUM(C5:D5)</f>
        <v>4741244</v>
      </c>
    </row>
    <row r="6" spans="1:5" s="34" customFormat="1" ht="12.75">
      <c r="A6" s="658" t="s">
        <v>442</v>
      </c>
      <c r="B6" s="665" t="s">
        <v>775</v>
      </c>
      <c r="C6" s="666">
        <v>143280</v>
      </c>
      <c r="D6" s="664">
        <v>279585</v>
      </c>
      <c r="E6" s="661">
        <f>SUM(C6:D6)</f>
        <v>422865</v>
      </c>
    </row>
    <row r="7" spans="1:5" s="34" customFormat="1" ht="12.75">
      <c r="A7" s="658" t="s">
        <v>443</v>
      </c>
      <c r="B7" s="665" t="s">
        <v>1031</v>
      </c>
      <c r="C7" s="663">
        <v>1583144</v>
      </c>
      <c r="D7" s="664">
        <v>173178</v>
      </c>
      <c r="E7" s="661">
        <f>SUM(C7:D7)</f>
        <v>1756322</v>
      </c>
    </row>
    <row r="8" spans="1:5" s="34" customFormat="1" ht="13.5">
      <c r="A8" s="658"/>
      <c r="B8" s="667" t="s">
        <v>1633</v>
      </c>
      <c r="C8" s="668">
        <f>SUM(C3:C7)</f>
        <v>9905428</v>
      </c>
      <c r="D8" s="668">
        <f>SUM(D3:D7)</f>
        <v>900374</v>
      </c>
      <c r="E8" s="668">
        <f>SUM(E3:E7)</f>
        <v>10805802</v>
      </c>
    </row>
    <row r="9" spans="1:5" s="34" customFormat="1" ht="12.75">
      <c r="A9" s="669" t="s">
        <v>444</v>
      </c>
      <c r="B9" s="663" t="s">
        <v>1015</v>
      </c>
      <c r="C9" s="663">
        <v>6800899</v>
      </c>
      <c r="D9" s="664">
        <v>479931</v>
      </c>
      <c r="E9" s="661">
        <f>SUM(C9:D9)</f>
        <v>7280830</v>
      </c>
    </row>
    <row r="10" spans="1:5" s="34" customFormat="1" ht="12.75">
      <c r="A10" s="669" t="s">
        <v>445</v>
      </c>
      <c r="B10" s="663" t="s">
        <v>1014</v>
      </c>
      <c r="C10" s="663">
        <v>701881</v>
      </c>
      <c r="D10" s="664">
        <v>25433</v>
      </c>
      <c r="E10" s="661">
        <f>SUM(C10:D10)</f>
        <v>727314</v>
      </c>
    </row>
    <row r="11" spans="1:5" s="34" customFormat="1" ht="12.75">
      <c r="A11" s="669" t="s">
        <v>446</v>
      </c>
      <c r="B11" s="663" t="s">
        <v>1161</v>
      </c>
      <c r="C11" s="666">
        <v>516142</v>
      </c>
      <c r="D11" s="664">
        <v>282056</v>
      </c>
      <c r="E11" s="661">
        <f>SUM(C11:D11)</f>
        <v>798198</v>
      </c>
    </row>
    <row r="12" spans="1:5" s="34" customFormat="1" ht="13.5">
      <c r="A12" s="669"/>
      <c r="B12" s="670" t="s">
        <v>1634</v>
      </c>
      <c r="C12" s="671">
        <f>SUM(C9:C11)</f>
        <v>8018922</v>
      </c>
      <c r="D12" s="671">
        <f>SUM(D9:D11)</f>
        <v>787420</v>
      </c>
      <c r="E12" s="671">
        <f>SUM(E9:E11)</f>
        <v>8806342</v>
      </c>
    </row>
    <row r="13" spans="1:5" s="34" customFormat="1" ht="18" customHeight="1">
      <c r="A13" s="669" t="s">
        <v>1162</v>
      </c>
      <c r="B13" s="670" t="s">
        <v>1163</v>
      </c>
      <c r="C13" s="671">
        <f>SUM(C8+C12)</f>
        <v>17924350</v>
      </c>
      <c r="D13" s="671">
        <f>SUM(D8+D12)</f>
        <v>1687794</v>
      </c>
      <c r="E13" s="671">
        <f>SUM(E8+E12)</f>
        <v>19612144</v>
      </c>
    </row>
    <row r="14" spans="1:5" s="34" customFormat="1" ht="16.5" customHeight="1">
      <c r="A14" s="669" t="s">
        <v>1164</v>
      </c>
      <c r="B14" s="670" t="s">
        <v>1358</v>
      </c>
      <c r="C14" s="671">
        <v>34668</v>
      </c>
      <c r="D14" s="672">
        <v>1357997</v>
      </c>
      <c r="E14" s="671">
        <f>SUM(C14:D14)</f>
        <v>1392665</v>
      </c>
    </row>
    <row r="15" spans="1:5" s="36" customFormat="1" ht="18.75" customHeight="1">
      <c r="A15" s="673"/>
      <c r="B15" s="674" t="s">
        <v>123</v>
      </c>
      <c r="C15" s="675">
        <f>SUM(C13:C14)</f>
        <v>17959018</v>
      </c>
      <c r="D15" s="675">
        <f>SUM(D13:D14)</f>
        <v>3045791</v>
      </c>
      <c r="E15" s="675">
        <f>SUM(E13:E14)</f>
        <v>21004809</v>
      </c>
    </row>
    <row r="16" spans="1:3" s="20" customFormat="1" ht="12.75">
      <c r="A16" s="53"/>
      <c r="B16" s="52"/>
      <c r="C16" s="52"/>
    </row>
    <row r="17" spans="1:3" s="7" customFormat="1" ht="12.75">
      <c r="A17" s="53"/>
      <c r="B17" s="53"/>
      <c r="C17" s="53"/>
    </row>
    <row r="18" spans="1:3" s="7" customFormat="1" ht="12.75">
      <c r="A18" s="53"/>
      <c r="B18" s="53"/>
      <c r="C18" s="53"/>
    </row>
    <row r="19" spans="1:3" s="7" customFormat="1" ht="12.75">
      <c r="A19" s="53"/>
      <c r="B19" s="53"/>
      <c r="C19" s="53"/>
    </row>
    <row r="20" spans="1:3" s="7" customFormat="1" ht="12.75">
      <c r="A20" s="53"/>
      <c r="B20" s="53"/>
      <c r="C20" s="53"/>
    </row>
    <row r="21" spans="1:3" s="7" customFormat="1" ht="12.75">
      <c r="A21" s="53"/>
      <c r="B21" s="53"/>
      <c r="C21" s="53"/>
    </row>
    <row r="22" spans="1:3" s="7" customFormat="1" ht="12.75">
      <c r="A22" s="53"/>
      <c r="B22" s="53"/>
      <c r="C22" s="53"/>
    </row>
    <row r="23" spans="1:3" s="7" customFormat="1" ht="12.75">
      <c r="A23" s="53"/>
      <c r="B23" s="53"/>
      <c r="C23" s="53"/>
    </row>
    <row r="24" spans="1:3" s="7" customFormat="1" ht="12.75">
      <c r="A24" s="53"/>
      <c r="B24" s="53"/>
      <c r="C24" s="53"/>
    </row>
    <row r="25" spans="1:3" s="7" customFormat="1" ht="12.75">
      <c r="A25" s="53"/>
      <c r="B25" s="53"/>
      <c r="C25" s="53"/>
    </row>
    <row r="26" spans="1:3" s="7" customFormat="1" ht="12.75">
      <c r="A26" s="54"/>
      <c r="B26" s="53"/>
      <c r="C26" s="53"/>
    </row>
    <row r="27" spans="1:3" ht="12.75">
      <c r="A27" s="54"/>
      <c r="B27" s="54"/>
      <c r="C27" s="54"/>
    </row>
    <row r="28" spans="1:3" ht="12.75">
      <c r="A28" s="54"/>
      <c r="B28" s="54"/>
      <c r="C28" s="54"/>
    </row>
    <row r="29" spans="1:3" ht="12.75">
      <c r="A29" s="54"/>
      <c r="B29" s="54"/>
      <c r="C29" s="54"/>
    </row>
    <row r="30" spans="1:3" ht="12.75">
      <c r="A30" s="54"/>
      <c r="B30" s="54"/>
      <c r="C30" s="54"/>
    </row>
    <row r="31" spans="1:3" ht="12.75">
      <c r="A31" s="54"/>
      <c r="B31" s="54"/>
      <c r="C31" s="54"/>
    </row>
    <row r="32" spans="2:3" ht="12.75">
      <c r="B32" s="54"/>
      <c r="C32" s="5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K15" sqref="K15:L15"/>
    </sheetView>
  </sheetViews>
  <sheetFormatPr defaultColWidth="9.00390625" defaultRowHeight="12.75"/>
  <cols>
    <col min="1" max="1" width="5.375" style="29" customWidth="1"/>
    <col min="2" max="2" width="7.00390625" style="29" customWidth="1"/>
    <col min="3" max="3" width="32.00390625" style="29" customWidth="1"/>
    <col min="4" max="4" width="11.50390625" style="29" customWidth="1"/>
    <col min="5" max="5" width="14.875" style="29" customWidth="1"/>
    <col min="6" max="6" width="11.625" style="29" customWidth="1"/>
    <col min="7" max="7" width="10.375" style="29" customWidth="1"/>
    <col min="8" max="8" width="11.875" style="29" customWidth="1"/>
    <col min="9" max="9" width="12.00390625" style="29" customWidth="1"/>
    <col min="10" max="11" width="10.875" style="29" customWidth="1"/>
    <col min="12" max="12" width="12.50390625" style="29" customWidth="1"/>
    <col min="13" max="13" width="12.625" style="29" customWidth="1"/>
    <col min="14" max="14" width="15.625" style="29" customWidth="1"/>
    <col min="15" max="16384" width="9.375" style="29" customWidth="1"/>
  </cols>
  <sheetData>
    <row r="1" spans="1:14" s="30" customFormat="1" ht="42" customHeight="1">
      <c r="A1" s="1269" t="s">
        <v>803</v>
      </c>
      <c r="B1" s="1269" t="s">
        <v>804</v>
      </c>
      <c r="C1" s="1273" t="s">
        <v>1345</v>
      </c>
      <c r="D1" s="1269" t="s">
        <v>1360</v>
      </c>
      <c r="E1" s="1269"/>
      <c r="F1" s="1269"/>
      <c r="G1" s="1269"/>
      <c r="H1" s="1269"/>
      <c r="I1" s="1269"/>
      <c r="J1" s="1269"/>
      <c r="K1" s="1270" t="s">
        <v>773</v>
      </c>
      <c r="L1" s="1269"/>
      <c r="M1" s="1269"/>
      <c r="N1" s="1271" t="s">
        <v>1348</v>
      </c>
    </row>
    <row r="2" spans="1:14" s="30" customFormat="1" ht="84.75" customHeight="1">
      <c r="A2" s="1269"/>
      <c r="B2" s="1269"/>
      <c r="C2" s="1273"/>
      <c r="D2" s="677" t="s">
        <v>1659</v>
      </c>
      <c r="E2" s="677" t="s">
        <v>1660</v>
      </c>
      <c r="F2" s="676" t="s">
        <v>1661</v>
      </c>
      <c r="G2" s="677" t="s">
        <v>1666</v>
      </c>
      <c r="H2" s="677" t="s">
        <v>1667</v>
      </c>
      <c r="I2" s="677" t="s">
        <v>1668</v>
      </c>
      <c r="J2" s="677" t="s">
        <v>1669</v>
      </c>
      <c r="K2" s="677" t="s">
        <v>1361</v>
      </c>
      <c r="L2" s="677" t="s">
        <v>1362</v>
      </c>
      <c r="M2" s="677" t="s">
        <v>1364</v>
      </c>
      <c r="N2" s="1272"/>
    </row>
    <row r="3" spans="1:14" ht="16.5" customHeight="1">
      <c r="A3" s="678">
        <v>1</v>
      </c>
      <c r="B3" s="679"/>
      <c r="C3" s="679" t="s">
        <v>1620</v>
      </c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</row>
    <row r="4" spans="1:14" ht="16.5" customHeight="1">
      <c r="A4" s="680"/>
      <c r="B4" s="680">
        <v>12</v>
      </c>
      <c r="C4" s="681" t="s">
        <v>19</v>
      </c>
      <c r="D4" s="682">
        <f>19+'[2]11'!D8</f>
        <v>75</v>
      </c>
      <c r="E4" s="682">
        <f>0+'[2]11'!E8</f>
        <v>0</v>
      </c>
      <c r="F4" s="682">
        <f>0+'[2]11'!F8</f>
        <v>0</v>
      </c>
      <c r="G4" s="682">
        <f>12325+'[2]11'!G8</f>
        <v>12325</v>
      </c>
      <c r="H4" s="682">
        <f>0+'[2]11'!H8</f>
        <v>0</v>
      </c>
      <c r="I4" s="682">
        <f>0+'[2]11'!I8</f>
        <v>0</v>
      </c>
      <c r="J4" s="682">
        <f>0+'[2]11'!J8</f>
        <v>0</v>
      </c>
      <c r="K4" s="682">
        <f>0+'[2]11'!K8</f>
        <v>0</v>
      </c>
      <c r="L4" s="682">
        <f>0+'[2]11'!L8</f>
        <v>0</v>
      </c>
      <c r="M4" s="682">
        <f>0+'[2]11'!M8</f>
        <v>0</v>
      </c>
      <c r="N4" s="682">
        <f aca="true" t="shared" si="0" ref="N4:N12">SUM(D4:M4)</f>
        <v>12400</v>
      </c>
    </row>
    <row r="5" spans="1:14" ht="16.5" customHeight="1">
      <c r="A5" s="680"/>
      <c r="B5" s="680">
        <v>13</v>
      </c>
      <c r="C5" s="681" t="s">
        <v>20</v>
      </c>
      <c r="D5" s="682">
        <f>47915+'[2]11'!D16</f>
        <v>48565</v>
      </c>
      <c r="E5" s="682">
        <f>200441+'[2]11'!E16</f>
        <v>200441</v>
      </c>
      <c r="F5" s="682">
        <f>0+'[2]11'!F16</f>
        <v>0</v>
      </c>
      <c r="G5" s="682">
        <f>5461+'[2]11'!G16</f>
        <v>5461</v>
      </c>
      <c r="H5" s="682">
        <f>0+'[2]11'!H16</f>
        <v>0</v>
      </c>
      <c r="I5" s="682">
        <f>0+'[2]11'!I16</f>
        <v>0</v>
      </c>
      <c r="J5" s="682">
        <f>0+'[2]11'!J16</f>
        <v>0</v>
      </c>
      <c r="K5" s="682">
        <f>0+'[2]11'!K16</f>
        <v>0</v>
      </c>
      <c r="L5" s="682">
        <f>0+'[2]11'!L16</f>
        <v>0</v>
      </c>
      <c r="M5" s="682">
        <f>0+'[2]11'!M16</f>
        <v>0</v>
      </c>
      <c r="N5" s="682">
        <f t="shared" si="0"/>
        <v>254467</v>
      </c>
    </row>
    <row r="6" spans="1:14" ht="16.5" customHeight="1">
      <c r="A6" s="680"/>
      <c r="B6" s="680">
        <v>15</v>
      </c>
      <c r="C6" s="681" t="s">
        <v>1350</v>
      </c>
      <c r="D6" s="682">
        <f>445+'[2]11'!D28</f>
        <v>1711</v>
      </c>
      <c r="E6" s="682">
        <f>371377+'[2]11'!E28</f>
        <v>337391</v>
      </c>
      <c r="F6" s="682">
        <f>0+'[2]11'!F28</f>
        <v>0</v>
      </c>
      <c r="G6" s="682">
        <f>680478+'[2]11'!G28</f>
        <v>702866</v>
      </c>
      <c r="H6" s="682">
        <f>0+'[2]11'!H28</f>
        <v>0</v>
      </c>
      <c r="I6" s="682">
        <f>0+'[2]11'!I28</f>
        <v>0</v>
      </c>
      <c r="J6" s="682">
        <f>746+'[2]11'!J28</f>
        <v>1146</v>
      </c>
      <c r="K6" s="682">
        <f>0+'[2]11'!K28</f>
        <v>0</v>
      </c>
      <c r="L6" s="682">
        <f>0+'[2]11'!L28</f>
        <v>0</v>
      </c>
      <c r="M6" s="682">
        <f>0+'[2]11'!M28</f>
        <v>0</v>
      </c>
      <c r="N6" s="682">
        <f t="shared" si="0"/>
        <v>1043114</v>
      </c>
    </row>
    <row r="7" spans="1:14" ht="16.5" customHeight="1">
      <c r="A7" s="680"/>
      <c r="B7" s="680">
        <v>16</v>
      </c>
      <c r="C7" s="681" t="s">
        <v>102</v>
      </c>
      <c r="D7" s="682">
        <f>0+'[2]11'!D31</f>
        <v>0</v>
      </c>
      <c r="E7" s="682">
        <f>4227845+'[2]11'!E31</f>
        <v>4227845</v>
      </c>
      <c r="F7" s="682">
        <f>0+'[2]11'!F31</f>
        <v>0</v>
      </c>
      <c r="G7" s="682">
        <f>5695+'[2]11'!G31</f>
        <v>5695</v>
      </c>
      <c r="H7" s="682">
        <f>0+'[2]11'!H31</f>
        <v>0</v>
      </c>
      <c r="I7" s="682">
        <f>0+'[2]11'!I31</f>
        <v>0</v>
      </c>
      <c r="J7" s="682">
        <f>200000+'[2]11'!J31</f>
        <v>200000</v>
      </c>
      <c r="K7" s="682">
        <f>0+'[2]11'!K31</f>
        <v>0</v>
      </c>
      <c r="L7" s="682">
        <f>0+'[2]11'!L31</f>
        <v>0</v>
      </c>
      <c r="M7" s="682">
        <f>0+'[2]11'!M31</f>
        <v>0</v>
      </c>
      <c r="N7" s="682">
        <f t="shared" si="0"/>
        <v>4433540</v>
      </c>
    </row>
    <row r="8" spans="1:14" ht="16.5" customHeight="1">
      <c r="A8" s="680"/>
      <c r="B8" s="680">
        <v>17</v>
      </c>
      <c r="C8" s="681" t="s">
        <v>1351</v>
      </c>
      <c r="D8" s="682">
        <f>0+'[2]11'!D39</f>
        <v>0</v>
      </c>
      <c r="E8" s="682">
        <f>0+'[2]11'!E39</f>
        <v>0</v>
      </c>
      <c r="F8" s="682">
        <f>0+'[2]11'!F39</f>
        <v>0</v>
      </c>
      <c r="G8" s="682">
        <f>271237+'[2]11'!G39</f>
        <v>335079</v>
      </c>
      <c r="H8" s="682">
        <f>251100+'[2]11'!H39</f>
        <v>253600</v>
      </c>
      <c r="I8" s="682">
        <f>0+'[2]11'!I39</f>
        <v>0</v>
      </c>
      <c r="J8" s="682">
        <f>20000+'[2]11'!J39</f>
        <v>20000</v>
      </c>
      <c r="K8" s="682">
        <f>0+'[2]11'!K39</f>
        <v>0</v>
      </c>
      <c r="L8" s="682">
        <f>342239+'[2]11'!L39</f>
        <v>342239</v>
      </c>
      <c r="M8" s="682">
        <f>0+'[2]11'!M39</f>
        <v>0</v>
      </c>
      <c r="N8" s="682">
        <f t="shared" si="0"/>
        <v>950918</v>
      </c>
    </row>
    <row r="9" spans="1:14" ht="16.5" customHeight="1">
      <c r="A9" s="680"/>
      <c r="B9" s="680">
        <v>18</v>
      </c>
      <c r="C9" s="681" t="s">
        <v>1612</v>
      </c>
      <c r="D9" s="682">
        <f>0+'[2]11'!D42</f>
        <v>0</v>
      </c>
      <c r="E9" s="682">
        <f>0+'[2]11'!E42</f>
        <v>0</v>
      </c>
      <c r="F9" s="682">
        <f>5000+'[2]11'!F42</f>
        <v>5000</v>
      </c>
      <c r="G9" s="682">
        <f>41910+'[2]11'!G42</f>
        <v>41910</v>
      </c>
      <c r="H9" s="682">
        <f>0+'[2]11'!H42</f>
        <v>0</v>
      </c>
      <c r="I9" s="682">
        <f>0+'[2]11'!I42</f>
        <v>0</v>
      </c>
      <c r="J9" s="682">
        <f>0+'[2]11'!J42</f>
        <v>0</v>
      </c>
      <c r="K9" s="682">
        <f>0+'[2]11'!K42</f>
        <v>0</v>
      </c>
      <c r="L9" s="682">
        <f>0+'[2]11'!L42</f>
        <v>0</v>
      </c>
      <c r="M9" s="682">
        <f>0+'[2]11'!M42</f>
        <v>0</v>
      </c>
      <c r="N9" s="682">
        <f t="shared" si="0"/>
        <v>46910</v>
      </c>
    </row>
    <row r="10" spans="1:14" ht="16.5" customHeight="1">
      <c r="A10" s="680"/>
      <c r="B10" s="680">
        <v>19</v>
      </c>
      <c r="C10" s="681" t="s">
        <v>676</v>
      </c>
      <c r="D10" s="682">
        <f>2624086+'[2]11'!D56</f>
        <v>2891899</v>
      </c>
      <c r="E10" s="682">
        <f>1314197+'[2]11'!E56</f>
        <v>1236776</v>
      </c>
      <c r="F10" s="682">
        <f>4253500+'[2]11'!F56</f>
        <v>4253500</v>
      </c>
      <c r="G10" s="682">
        <f>225588+'[2]11'!G56</f>
        <v>394547</v>
      </c>
      <c r="H10" s="682">
        <f>0+'[2]11'!H56</f>
        <v>0</v>
      </c>
      <c r="I10" s="682">
        <f>0+'[2]11'!I56</f>
        <v>0</v>
      </c>
      <c r="J10" s="682">
        <f>0+'[2]11'!J56</f>
        <v>0</v>
      </c>
      <c r="K10" s="682">
        <f>658892+'[2]11'!K56</f>
        <v>638892</v>
      </c>
      <c r="L10" s="682">
        <f>2777553+'[2]11'!L56</f>
        <v>2791553</v>
      </c>
      <c r="M10" s="682">
        <f>0+'[2]11'!M56</f>
        <v>0</v>
      </c>
      <c r="N10" s="682">
        <f t="shared" si="0"/>
        <v>12207167</v>
      </c>
    </row>
    <row r="11" spans="1:14" ht="16.5" customHeight="1">
      <c r="A11" s="680"/>
      <c r="B11" s="680">
        <v>20</v>
      </c>
      <c r="C11" s="683" t="s">
        <v>1548</v>
      </c>
      <c r="D11" s="682">
        <f>0+'[2]11'!D59</f>
        <v>0</v>
      </c>
      <c r="E11" s="682">
        <f>0+'[2]11'!E59</f>
        <v>0</v>
      </c>
      <c r="F11" s="682">
        <f>0+'[2]11'!F59</f>
        <v>0</v>
      </c>
      <c r="G11" s="682">
        <f>0+'[2]11'!G59</f>
        <v>0</v>
      </c>
      <c r="H11" s="682">
        <f>0+'[2]11'!H59</f>
        <v>0</v>
      </c>
      <c r="I11" s="682">
        <f>0+'[2]11'!I59</f>
        <v>0</v>
      </c>
      <c r="J11" s="682">
        <f>0+'[2]11'!J59</f>
        <v>0</v>
      </c>
      <c r="K11" s="682">
        <f>0+'[2]11'!K59</f>
        <v>0</v>
      </c>
      <c r="L11" s="682">
        <f>0+'[2]11'!L59</f>
        <v>0</v>
      </c>
      <c r="M11" s="682">
        <f>0+'[2]11'!M59</f>
        <v>0</v>
      </c>
      <c r="N11" s="682">
        <f t="shared" si="0"/>
        <v>0</v>
      </c>
    </row>
    <row r="12" spans="1:14" ht="16.5" customHeight="1">
      <c r="A12" s="680"/>
      <c r="B12" s="680">
        <v>22</v>
      </c>
      <c r="C12" s="681" t="s">
        <v>1279</v>
      </c>
      <c r="D12" s="682">
        <f>7185+'[2]11'!D63</f>
        <v>7185</v>
      </c>
      <c r="E12" s="682">
        <f>0+'[2]11'!E63</f>
        <v>0</v>
      </c>
      <c r="F12" s="682">
        <f>0+'[2]11'!F63</f>
        <v>0</v>
      </c>
      <c r="G12" s="682">
        <f>0+'[2]11'!G63</f>
        <v>0</v>
      </c>
      <c r="H12" s="682">
        <f>0+'[2]11'!H63</f>
        <v>0</v>
      </c>
      <c r="I12" s="682">
        <f>0+'[2]11'!I63</f>
        <v>500</v>
      </c>
      <c r="J12" s="682">
        <f>0+'[2]11'!J63</f>
        <v>0</v>
      </c>
      <c r="K12" s="682">
        <f>0+'[2]11'!K63</f>
        <v>0</v>
      </c>
      <c r="L12" s="682">
        <f>0+'[2]11'!L63</f>
        <v>0</v>
      </c>
      <c r="M12" s="682">
        <f>0+'[2]11'!M63</f>
        <v>0</v>
      </c>
      <c r="N12" s="682">
        <f t="shared" si="0"/>
        <v>7685</v>
      </c>
    </row>
    <row r="13" spans="1:14" ht="27.75" customHeight="1">
      <c r="A13" s="684"/>
      <c r="B13" s="684"/>
      <c r="C13" s="685" t="s">
        <v>805</v>
      </c>
      <c r="D13" s="686">
        <f aca="true" t="shared" si="1" ref="D13:N13">SUM(D4:D12)</f>
        <v>2949435</v>
      </c>
      <c r="E13" s="686">
        <f t="shared" si="1"/>
        <v>6002453</v>
      </c>
      <c r="F13" s="686">
        <f t="shared" si="1"/>
        <v>4258500</v>
      </c>
      <c r="G13" s="686">
        <f t="shared" si="1"/>
        <v>1497883</v>
      </c>
      <c r="H13" s="686">
        <f t="shared" si="1"/>
        <v>253600</v>
      </c>
      <c r="I13" s="686">
        <f t="shared" si="1"/>
        <v>500</v>
      </c>
      <c r="J13" s="686">
        <f t="shared" si="1"/>
        <v>221146</v>
      </c>
      <c r="K13" s="686">
        <f t="shared" si="1"/>
        <v>638892</v>
      </c>
      <c r="L13" s="686">
        <f t="shared" si="1"/>
        <v>3133792</v>
      </c>
      <c r="M13" s="686">
        <f t="shared" si="1"/>
        <v>0</v>
      </c>
      <c r="N13" s="686">
        <f t="shared" si="1"/>
        <v>18956201</v>
      </c>
    </row>
    <row r="14" spans="1:14" ht="16.5" customHeight="1">
      <c r="A14" s="687">
        <v>2</v>
      </c>
      <c r="B14" s="687"/>
      <c r="C14" s="681" t="s">
        <v>1621</v>
      </c>
      <c r="D14" s="682">
        <f>386888+'[2]táj.1.'!C20</f>
        <v>422790</v>
      </c>
      <c r="E14" s="682">
        <f>60876+'[2]táj.1.'!D20</f>
        <v>79076</v>
      </c>
      <c r="F14" s="682">
        <f>0+'[2]táj.1.'!E20</f>
        <v>0</v>
      </c>
      <c r="G14" s="682">
        <f>1132590+'[2]táj.1.'!F20</f>
        <v>1135780</v>
      </c>
      <c r="H14" s="682">
        <f>0+'[2]táj.1.'!G20</f>
        <v>400</v>
      </c>
      <c r="I14" s="682">
        <f>59994+'[2]táj.1.'!H20</f>
        <v>60054</v>
      </c>
      <c r="J14" s="682">
        <f>0+'[2]táj.1.'!I20</f>
        <v>0</v>
      </c>
      <c r="K14" s="682"/>
      <c r="L14" s="682">
        <f>350508+'[2]táj.1.'!J20</f>
        <v>350508</v>
      </c>
      <c r="M14" s="682">
        <f>0+'[2]táj.1.'!L20</f>
        <v>0</v>
      </c>
      <c r="N14" s="682">
        <f>SUM(D14:M14)</f>
        <v>2048608</v>
      </c>
    </row>
    <row r="15" spans="1:14" ht="16.5" customHeight="1">
      <c r="A15" s="684"/>
      <c r="B15" s="684"/>
      <c r="C15" s="688" t="s">
        <v>1599</v>
      </c>
      <c r="D15" s="686">
        <f aca="true" t="shared" si="2" ref="D15:N15">SUM(D13:D14)</f>
        <v>3372225</v>
      </c>
      <c r="E15" s="686">
        <f t="shared" si="2"/>
        <v>6081529</v>
      </c>
      <c r="F15" s="686">
        <f t="shared" si="2"/>
        <v>4258500</v>
      </c>
      <c r="G15" s="686">
        <f t="shared" si="2"/>
        <v>2633663</v>
      </c>
      <c r="H15" s="686">
        <f t="shared" si="2"/>
        <v>254000</v>
      </c>
      <c r="I15" s="686">
        <f t="shared" si="2"/>
        <v>60554</v>
      </c>
      <c r="J15" s="686">
        <f t="shared" si="2"/>
        <v>221146</v>
      </c>
      <c r="K15" s="686">
        <f t="shared" si="2"/>
        <v>638892</v>
      </c>
      <c r="L15" s="686">
        <f t="shared" si="2"/>
        <v>3484300</v>
      </c>
      <c r="M15" s="686">
        <f t="shared" si="2"/>
        <v>0</v>
      </c>
      <c r="N15" s="686">
        <f t="shared" si="2"/>
        <v>21004809</v>
      </c>
    </row>
    <row r="16" spans="3:12" ht="16.5" customHeight="1"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3:11" ht="13.5" customHeight="1">
      <c r="C17" s="31"/>
      <c r="D17" s="32"/>
      <c r="E17" s="32"/>
      <c r="F17" s="32"/>
      <c r="G17" s="32"/>
      <c r="H17" s="32"/>
      <c r="I17" s="32"/>
      <c r="J17" s="32"/>
      <c r="K17" s="32"/>
    </row>
    <row r="18" spans="4:11" ht="13.5" customHeight="1">
      <c r="D18" s="32"/>
      <c r="E18" s="32"/>
      <c r="F18" s="32"/>
      <c r="G18" s="32"/>
      <c r="H18" s="32"/>
      <c r="I18" s="32"/>
      <c r="J18" s="32"/>
      <c r="K18" s="32"/>
    </row>
    <row r="19" spans="4:11" ht="13.5" customHeight="1">
      <c r="D19" s="32"/>
      <c r="E19" s="32"/>
      <c r="F19" s="32"/>
      <c r="G19" s="32"/>
      <c r="H19" s="32"/>
      <c r="I19" s="32"/>
      <c r="J19" s="32"/>
      <c r="K19" s="32"/>
    </row>
    <row r="20" spans="4:11" ht="13.5" customHeight="1">
      <c r="D20" s="32"/>
      <c r="E20" s="32"/>
      <c r="F20" s="32"/>
      <c r="G20" s="32"/>
      <c r="H20" s="32"/>
      <c r="I20" s="32"/>
      <c r="J20" s="32"/>
      <c r="K20" s="32"/>
    </row>
    <row r="21" spans="4:11" ht="13.5" customHeight="1">
      <c r="D21" s="32"/>
      <c r="E21" s="32"/>
      <c r="F21" s="32"/>
      <c r="G21" s="32"/>
      <c r="H21" s="32"/>
      <c r="I21" s="32"/>
      <c r="J21" s="32"/>
      <c r="K21" s="32"/>
    </row>
    <row r="22" spans="4:11" ht="13.5" customHeight="1">
      <c r="D22" s="32"/>
      <c r="E22" s="32"/>
      <c r="F22" s="32"/>
      <c r="G22" s="32"/>
      <c r="H22" s="32"/>
      <c r="I22" s="32"/>
      <c r="J22" s="32"/>
      <c r="K22" s="32"/>
    </row>
    <row r="23" spans="4:11" ht="13.5" customHeight="1">
      <c r="D23" s="32"/>
      <c r="E23" s="32"/>
      <c r="F23" s="32"/>
      <c r="G23" s="32"/>
      <c r="H23" s="32"/>
      <c r="I23" s="32"/>
      <c r="J23" s="32"/>
      <c r="K23" s="32"/>
    </row>
    <row r="24" spans="4:11" ht="13.5" customHeight="1">
      <c r="D24" s="32"/>
      <c r="E24" s="32"/>
      <c r="F24" s="32"/>
      <c r="G24" s="32"/>
      <c r="H24" s="32"/>
      <c r="I24" s="32"/>
      <c r="J24" s="32"/>
      <c r="K24" s="32"/>
    </row>
    <row r="25" spans="4:11" ht="13.5" customHeight="1">
      <c r="D25" s="32"/>
      <c r="E25" s="32"/>
      <c r="F25" s="32"/>
      <c r="G25" s="32"/>
      <c r="H25" s="32"/>
      <c r="I25" s="32"/>
      <c r="J25" s="32"/>
      <c r="K25" s="32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pane ySplit="2" topLeftCell="BM94" activePane="bottomLeft" state="frozen"/>
      <selection pane="topLeft" activeCell="A1" sqref="A1"/>
      <selection pane="bottomLeft" activeCell="N1" sqref="N1:N2"/>
    </sheetView>
  </sheetViews>
  <sheetFormatPr defaultColWidth="9.00390625" defaultRowHeight="12.75"/>
  <cols>
    <col min="1" max="1" width="5.625" style="124" customWidth="1"/>
    <col min="2" max="2" width="6.50390625" style="124" customWidth="1"/>
    <col min="3" max="3" width="37.375" style="124" customWidth="1"/>
    <col min="4" max="4" width="13.625" style="124" customWidth="1"/>
    <col min="5" max="5" width="13.125" style="124" customWidth="1"/>
    <col min="6" max="6" width="12.375" style="124" customWidth="1"/>
    <col min="7" max="7" width="11.375" style="124" customWidth="1"/>
    <col min="8" max="8" width="13.00390625" style="124" customWidth="1"/>
    <col min="9" max="9" width="12.00390625" style="124" customWidth="1"/>
    <col min="10" max="10" width="13.125" style="124" customWidth="1"/>
    <col min="11" max="11" width="13.875" style="124" customWidth="1"/>
    <col min="12" max="12" width="11.50390625" style="124" customWidth="1"/>
    <col min="13" max="13" width="10.625" style="124" customWidth="1"/>
    <col min="14" max="14" width="13.125" style="124" customWidth="1"/>
    <col min="15" max="15" width="10.875" style="124" bestFit="1" customWidth="1"/>
    <col min="16" max="16" width="12.125" style="124" bestFit="1" customWidth="1"/>
    <col min="17" max="16384" width="9.375" style="124" customWidth="1"/>
  </cols>
  <sheetData>
    <row r="1" spans="1:14" ht="14.25" thickBot="1">
      <c r="A1" s="1265" t="s">
        <v>679</v>
      </c>
      <c r="B1" s="1261" t="s">
        <v>680</v>
      </c>
      <c r="C1" s="1274" t="s">
        <v>1345</v>
      </c>
      <c r="D1" s="1276" t="s">
        <v>1360</v>
      </c>
      <c r="E1" s="1277"/>
      <c r="F1" s="1277"/>
      <c r="G1" s="1277"/>
      <c r="H1" s="1277"/>
      <c r="I1" s="1277"/>
      <c r="J1" s="1278"/>
      <c r="K1" s="1263" t="s">
        <v>773</v>
      </c>
      <c r="L1" s="1264"/>
      <c r="M1" s="1264"/>
      <c r="N1" s="1274" t="s">
        <v>1658</v>
      </c>
    </row>
    <row r="2" spans="1:14" s="108" customFormat="1" ht="54.75" customHeight="1" thickBot="1">
      <c r="A2" s="1260"/>
      <c r="B2" s="1262"/>
      <c r="C2" s="1275"/>
      <c r="D2" s="231" t="s">
        <v>1659</v>
      </c>
      <c r="E2" s="228" t="s">
        <v>1660</v>
      </c>
      <c r="F2" s="227" t="s">
        <v>1661</v>
      </c>
      <c r="G2" s="229" t="s">
        <v>1666</v>
      </c>
      <c r="H2" s="227" t="s">
        <v>1667</v>
      </c>
      <c r="I2" s="227" t="s">
        <v>1668</v>
      </c>
      <c r="J2" s="227" t="s">
        <v>1669</v>
      </c>
      <c r="K2" s="227" t="s">
        <v>1361</v>
      </c>
      <c r="L2" s="227" t="s">
        <v>1362</v>
      </c>
      <c r="M2" s="448" t="s">
        <v>1364</v>
      </c>
      <c r="N2" s="1275"/>
    </row>
    <row r="3" spans="1:14" s="108" customFormat="1" ht="12.75" customHeight="1">
      <c r="A3" s="1">
        <v>1</v>
      </c>
      <c r="B3" s="1"/>
      <c r="C3" s="232" t="s">
        <v>1619</v>
      </c>
      <c r="D3" s="3"/>
      <c r="E3" s="3"/>
      <c r="F3" s="3"/>
      <c r="G3" s="3"/>
      <c r="H3" s="3"/>
      <c r="I3" s="3"/>
      <c r="J3" s="3"/>
      <c r="K3" s="3"/>
      <c r="L3" s="3"/>
      <c r="M3" s="3"/>
      <c r="N3" s="175"/>
    </row>
    <row r="4" spans="1:14" s="108" customFormat="1" ht="12.75" customHeight="1">
      <c r="A4" s="1">
        <v>1</v>
      </c>
      <c r="B4" s="1">
        <v>1</v>
      </c>
      <c r="C4" s="162" t="s">
        <v>1547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2" customFormat="1" ht="13.5" customHeight="1">
      <c r="A5" s="163">
        <v>1</v>
      </c>
      <c r="B5" s="163">
        <v>12</v>
      </c>
      <c r="C5" s="164" t="s">
        <v>19</v>
      </c>
      <c r="D5" s="165"/>
      <c r="E5" s="165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112" customFormat="1" ht="24.75" customHeight="1">
      <c r="A6" s="163"/>
      <c r="B6" s="163"/>
      <c r="C6" s="324" t="s">
        <v>162</v>
      </c>
      <c r="D6" s="165"/>
      <c r="E6" s="165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112" customFormat="1" ht="16.5" customHeight="1">
      <c r="A7" s="114"/>
      <c r="B7" s="114"/>
      <c r="C7" s="180" t="s">
        <v>1280</v>
      </c>
      <c r="D7" s="115"/>
      <c r="E7" s="115"/>
      <c r="F7" s="113"/>
      <c r="G7" s="113">
        <v>12325</v>
      </c>
      <c r="H7" s="113"/>
      <c r="I7" s="113"/>
      <c r="J7" s="113"/>
      <c r="K7" s="113"/>
      <c r="L7" s="113"/>
      <c r="M7" s="113"/>
      <c r="N7" s="113">
        <f>SUM(G7:M7)</f>
        <v>12325</v>
      </c>
    </row>
    <row r="8" spans="1:14" s="112" customFormat="1" ht="13.5" customHeight="1">
      <c r="A8" s="110"/>
      <c r="B8" s="110"/>
      <c r="C8" s="73" t="s">
        <v>26</v>
      </c>
      <c r="D8" s="111">
        <f>SUM(D5:D7)</f>
        <v>0</v>
      </c>
      <c r="E8" s="111">
        <f aca="true" t="shared" si="0" ref="E8:J8">SUM(E5:E7)</f>
        <v>0</v>
      </c>
      <c r="F8" s="111">
        <f t="shared" si="0"/>
        <v>0</v>
      </c>
      <c r="G8" s="111">
        <f t="shared" si="0"/>
        <v>12325</v>
      </c>
      <c r="H8" s="111">
        <f t="shared" si="0"/>
        <v>0</v>
      </c>
      <c r="I8" s="111">
        <f t="shared" si="0"/>
        <v>0</v>
      </c>
      <c r="J8" s="111">
        <f t="shared" si="0"/>
        <v>0</v>
      </c>
      <c r="K8" s="111"/>
      <c r="L8" s="111"/>
      <c r="M8" s="111">
        <f>SUM(M7:M7)</f>
        <v>0</v>
      </c>
      <c r="N8" s="111">
        <f>SUM(N7:N7)</f>
        <v>12325</v>
      </c>
    </row>
    <row r="9" spans="1:14" s="112" customFormat="1" ht="13.5" customHeight="1">
      <c r="A9" s="116">
        <v>1</v>
      </c>
      <c r="B9" s="116">
        <v>13</v>
      </c>
      <c r="C9" s="164" t="s">
        <v>20</v>
      </c>
      <c r="D9" s="182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112" customFormat="1" ht="13.5" customHeight="1">
      <c r="A10" s="116"/>
      <c r="B10" s="116"/>
      <c r="C10" s="5" t="s">
        <v>167</v>
      </c>
      <c r="D10" s="115"/>
      <c r="E10" s="115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112" customFormat="1" ht="24.75" customHeight="1">
      <c r="A11" s="116"/>
      <c r="B11" s="116"/>
      <c r="C11" s="160" t="s">
        <v>1628</v>
      </c>
      <c r="D11" s="115">
        <v>19516</v>
      </c>
      <c r="E11" s="115"/>
      <c r="F11" s="113"/>
      <c r="G11" s="113"/>
      <c r="H11" s="113"/>
      <c r="I11" s="113"/>
      <c r="J11" s="113"/>
      <c r="K11" s="113"/>
      <c r="L11" s="113"/>
      <c r="M11" s="113"/>
      <c r="N11" s="113">
        <f>SUM(D11:M11)</f>
        <v>19516</v>
      </c>
    </row>
    <row r="12" spans="1:14" s="112" customFormat="1" ht="24.75" customHeight="1">
      <c r="A12" s="116"/>
      <c r="B12" s="116"/>
      <c r="C12" s="166" t="s">
        <v>416</v>
      </c>
      <c r="D12" s="115"/>
      <c r="E12" s="115"/>
      <c r="F12" s="113"/>
      <c r="G12" s="113"/>
      <c r="H12" s="113"/>
      <c r="I12" s="113"/>
      <c r="J12" s="113"/>
      <c r="K12" s="113"/>
      <c r="L12" s="113"/>
      <c r="M12" s="113"/>
      <c r="N12" s="161"/>
    </row>
    <row r="13" spans="1:14" s="112" customFormat="1" ht="24.75" customHeight="1">
      <c r="A13" s="116"/>
      <c r="B13" s="116"/>
      <c r="C13" s="166" t="s">
        <v>1625</v>
      </c>
      <c r="D13" s="115"/>
      <c r="E13" s="115"/>
      <c r="F13" s="113"/>
      <c r="G13" s="113">
        <v>5461</v>
      </c>
      <c r="H13" s="113"/>
      <c r="I13" s="113"/>
      <c r="J13" s="113"/>
      <c r="K13" s="113"/>
      <c r="L13" s="113"/>
      <c r="M13" s="113"/>
      <c r="N13" s="113">
        <f>SUM(D13:M13)</f>
        <v>5461</v>
      </c>
    </row>
    <row r="14" spans="1:14" s="112" customFormat="1" ht="38.25" customHeight="1">
      <c r="A14" s="116"/>
      <c r="B14" s="116"/>
      <c r="C14" s="372" t="s">
        <v>417</v>
      </c>
      <c r="D14" s="320"/>
      <c r="E14" s="115"/>
      <c r="F14" s="115"/>
      <c r="G14" s="115"/>
      <c r="H14" s="115"/>
      <c r="I14" s="115"/>
      <c r="J14" s="115"/>
      <c r="K14" s="115"/>
      <c r="L14" s="115"/>
      <c r="M14" s="115"/>
      <c r="N14" s="113">
        <f>SUM(D14:M14)</f>
        <v>0</v>
      </c>
    </row>
    <row r="15" spans="1:14" s="112" customFormat="1" ht="24.75" customHeight="1">
      <c r="A15" s="116"/>
      <c r="B15" s="116"/>
      <c r="C15" s="268" t="s">
        <v>1400</v>
      </c>
      <c r="D15" s="337">
        <v>17719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3">
        <f>SUM(D15:M15)</f>
        <v>17719</v>
      </c>
    </row>
    <row r="16" spans="1:14" s="112" customFormat="1" ht="24.75" customHeight="1">
      <c r="A16" s="116"/>
      <c r="B16" s="116"/>
      <c r="C16" s="166" t="s">
        <v>418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3">
        <f>SUM(D16:M16)</f>
        <v>0</v>
      </c>
    </row>
    <row r="17" spans="1:14" s="112" customFormat="1" ht="49.5" customHeight="1">
      <c r="A17" s="116"/>
      <c r="B17" s="116"/>
      <c r="C17" s="187" t="s">
        <v>115</v>
      </c>
      <c r="D17" s="115"/>
      <c r="E17" s="115">
        <v>200441</v>
      </c>
      <c r="F17" s="115"/>
      <c r="G17" s="115"/>
      <c r="H17" s="115"/>
      <c r="I17" s="115"/>
      <c r="J17" s="115"/>
      <c r="K17" s="115"/>
      <c r="L17" s="115"/>
      <c r="M17" s="115"/>
      <c r="N17" s="115">
        <f>SUM(D17:M17)</f>
        <v>200441</v>
      </c>
    </row>
    <row r="18" spans="1:14" s="112" customFormat="1" ht="13.5" customHeight="1">
      <c r="A18" s="110"/>
      <c r="B18" s="110"/>
      <c r="C18" s="73" t="s">
        <v>22</v>
      </c>
      <c r="D18" s="167">
        <f aca="true" t="shared" si="1" ref="D18:N18">SUM(D11:D17)</f>
        <v>37235</v>
      </c>
      <c r="E18" s="167">
        <f t="shared" si="1"/>
        <v>200441</v>
      </c>
      <c r="F18" s="167">
        <f t="shared" si="1"/>
        <v>0</v>
      </c>
      <c r="G18" s="167">
        <f t="shared" si="1"/>
        <v>5461</v>
      </c>
      <c r="H18" s="167">
        <f t="shared" si="1"/>
        <v>0</v>
      </c>
      <c r="I18" s="167">
        <f t="shared" si="1"/>
        <v>0</v>
      </c>
      <c r="J18" s="167">
        <f t="shared" si="1"/>
        <v>0</v>
      </c>
      <c r="K18" s="167"/>
      <c r="L18" s="167"/>
      <c r="M18" s="167">
        <f t="shared" si="1"/>
        <v>0</v>
      </c>
      <c r="N18" s="167">
        <f t="shared" si="1"/>
        <v>243137</v>
      </c>
    </row>
    <row r="19" spans="1:14" s="108" customFormat="1" ht="13.5" customHeight="1">
      <c r="A19" s="1">
        <v>1</v>
      </c>
      <c r="B19" s="1">
        <v>15</v>
      </c>
      <c r="C19" s="162" t="s">
        <v>1350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s="108" customFormat="1" ht="24.75" customHeight="1">
      <c r="A20" s="1"/>
      <c r="B20" s="1"/>
      <c r="C20" s="321" t="s">
        <v>1221</v>
      </c>
      <c r="D20" s="183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s="108" customFormat="1" ht="24.75" customHeight="1">
      <c r="A21" s="1"/>
      <c r="B21" s="1"/>
      <c r="C21" s="57" t="s">
        <v>1288</v>
      </c>
      <c r="D21" s="109"/>
      <c r="E21" s="109"/>
      <c r="F21" s="109"/>
      <c r="G21" s="109">
        <v>32947</v>
      </c>
      <c r="H21" s="109"/>
      <c r="I21" s="109"/>
      <c r="J21" s="109"/>
      <c r="K21" s="109"/>
      <c r="L21" s="109"/>
      <c r="M21" s="109"/>
      <c r="N21" s="109">
        <f>SUM(D21:M21)</f>
        <v>32947</v>
      </c>
    </row>
    <row r="22" spans="1:14" s="108" customFormat="1" ht="12.75" customHeight="1">
      <c r="A22" s="1"/>
      <c r="B22" s="1"/>
      <c r="C22" s="168" t="s">
        <v>1337</v>
      </c>
      <c r="D22" s="109"/>
      <c r="E22" s="109"/>
      <c r="F22" s="109"/>
      <c r="G22" s="109">
        <v>194406</v>
      </c>
      <c r="H22" s="109"/>
      <c r="I22" s="109"/>
      <c r="J22" s="109"/>
      <c r="K22" s="109"/>
      <c r="L22" s="109"/>
      <c r="M22" s="109"/>
      <c r="N22" s="109">
        <f>SUM(D22:M22)</f>
        <v>194406</v>
      </c>
    </row>
    <row r="23" spans="1:14" s="108" customFormat="1" ht="12.75" customHeight="1">
      <c r="A23" s="1"/>
      <c r="B23" s="1"/>
      <c r="C23" s="168" t="s">
        <v>315</v>
      </c>
      <c r="D23" s="109"/>
      <c r="E23" s="109"/>
      <c r="F23" s="109"/>
      <c r="G23" s="109">
        <v>1334</v>
      </c>
      <c r="H23" s="109"/>
      <c r="I23" s="109"/>
      <c r="J23" s="109"/>
      <c r="K23" s="109"/>
      <c r="L23" s="109"/>
      <c r="M23" s="109"/>
      <c r="N23" s="109">
        <f>SUM(D23:M23)</f>
        <v>1334</v>
      </c>
    </row>
    <row r="24" spans="1:14" s="108" customFormat="1" ht="12.75" customHeight="1">
      <c r="A24" s="1"/>
      <c r="B24" s="1"/>
      <c r="C24" s="322" t="s">
        <v>306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s="108" customFormat="1" ht="12.75" customHeight="1">
      <c r="A25" s="1"/>
      <c r="B25" s="1"/>
      <c r="C25" s="168" t="s">
        <v>1197</v>
      </c>
      <c r="D25" s="109"/>
      <c r="E25" s="109"/>
      <c r="F25" s="109"/>
      <c r="G25" s="109">
        <v>10160</v>
      </c>
      <c r="H25" s="109"/>
      <c r="I25" s="109"/>
      <c r="J25" s="109"/>
      <c r="K25" s="109"/>
      <c r="L25" s="109"/>
      <c r="M25" s="109"/>
      <c r="N25" s="109">
        <f>SUM(D25:M25)</f>
        <v>10160</v>
      </c>
    </row>
    <row r="26" spans="1:14" s="108" customFormat="1" ht="24.75" customHeight="1">
      <c r="A26" s="1"/>
      <c r="B26" s="1"/>
      <c r="C26" s="170" t="s">
        <v>308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5" s="108" customFormat="1" ht="24.75" customHeight="1">
      <c r="A27" s="1"/>
      <c r="B27" s="1"/>
      <c r="C27" s="170" t="s">
        <v>1417</v>
      </c>
      <c r="D27" s="109"/>
      <c r="E27" s="113">
        <v>15000</v>
      </c>
      <c r="F27" s="109"/>
      <c r="G27" s="109"/>
      <c r="H27" s="109"/>
      <c r="I27" s="109"/>
      <c r="J27" s="109"/>
      <c r="K27" s="109"/>
      <c r="L27" s="109"/>
      <c r="M27" s="109"/>
      <c r="N27" s="109">
        <f>SUM(D27:M27)</f>
        <v>15000</v>
      </c>
      <c r="O27" s="130"/>
    </row>
    <row r="28" spans="1:15" s="108" customFormat="1" ht="24.75" customHeight="1">
      <c r="A28" s="1"/>
      <c r="B28" s="1"/>
      <c r="C28" s="326" t="s">
        <v>1217</v>
      </c>
      <c r="D28" s="109"/>
      <c r="E28" s="113"/>
      <c r="F28" s="109"/>
      <c r="G28" s="109"/>
      <c r="H28" s="109"/>
      <c r="I28" s="109"/>
      <c r="J28" s="109"/>
      <c r="K28" s="109"/>
      <c r="L28" s="109"/>
      <c r="M28" s="109"/>
      <c r="N28" s="109"/>
      <c r="O28" s="130"/>
    </row>
    <row r="29" spans="1:15" s="108" customFormat="1" ht="36" customHeight="1">
      <c r="A29" s="1"/>
      <c r="B29" s="1"/>
      <c r="C29" s="246" t="s">
        <v>1215</v>
      </c>
      <c r="D29" s="109"/>
      <c r="E29" s="113">
        <v>355893</v>
      </c>
      <c r="F29" s="109"/>
      <c r="G29" s="109"/>
      <c r="H29" s="109"/>
      <c r="I29" s="109"/>
      <c r="J29" s="109"/>
      <c r="K29" s="109"/>
      <c r="L29" s="109"/>
      <c r="M29" s="109"/>
      <c r="N29" s="109">
        <f>SUM(D29:M29)</f>
        <v>355893</v>
      </c>
      <c r="O29" s="130"/>
    </row>
    <row r="30" spans="1:14" s="108" customFormat="1" ht="24.75" customHeight="1">
      <c r="A30" s="1"/>
      <c r="B30" s="1"/>
      <c r="C30" s="57" t="s">
        <v>1263</v>
      </c>
      <c r="D30" s="118"/>
      <c r="E30" s="118"/>
      <c r="F30" s="109"/>
      <c r="G30" s="113"/>
      <c r="H30" s="113"/>
      <c r="I30" s="113"/>
      <c r="J30" s="113"/>
      <c r="K30" s="113"/>
      <c r="L30" s="113"/>
      <c r="M30" s="113"/>
      <c r="N30" s="109"/>
    </row>
    <row r="31" spans="1:14" s="108" customFormat="1" ht="24.75" customHeight="1">
      <c r="A31" s="1"/>
      <c r="B31" s="1"/>
      <c r="C31" s="160" t="s">
        <v>1425</v>
      </c>
      <c r="D31" s="171"/>
      <c r="E31" s="118"/>
      <c r="F31" s="109"/>
      <c r="G31" s="113">
        <v>179358</v>
      </c>
      <c r="H31" s="113"/>
      <c r="I31" s="113"/>
      <c r="J31" s="113"/>
      <c r="K31" s="113"/>
      <c r="L31" s="113"/>
      <c r="M31" s="113"/>
      <c r="N31" s="109">
        <f>SUM(D31:M31)</f>
        <v>179358</v>
      </c>
    </row>
    <row r="32" spans="1:14" s="108" customFormat="1" ht="12.75" customHeight="1">
      <c r="A32" s="110"/>
      <c r="B32" s="110"/>
      <c r="C32" s="172" t="s">
        <v>284</v>
      </c>
      <c r="D32" s="111">
        <f aca="true" t="shared" si="2" ref="D32:J32">SUM(D20:D31)</f>
        <v>0</v>
      </c>
      <c r="E32" s="111">
        <f t="shared" si="2"/>
        <v>370893</v>
      </c>
      <c r="F32" s="111">
        <f t="shared" si="2"/>
        <v>0</v>
      </c>
      <c r="G32" s="111">
        <f t="shared" si="2"/>
        <v>418205</v>
      </c>
      <c r="H32" s="111">
        <f t="shared" si="2"/>
        <v>0</v>
      </c>
      <c r="I32" s="111">
        <f t="shared" si="2"/>
        <v>0</v>
      </c>
      <c r="J32" s="111">
        <f t="shared" si="2"/>
        <v>0</v>
      </c>
      <c r="K32" s="111"/>
      <c r="L32" s="111"/>
      <c r="M32" s="111">
        <f>SUM(M20:M31)</f>
        <v>0</v>
      </c>
      <c r="N32" s="111">
        <f>SUM(N20:N31)</f>
        <v>789098</v>
      </c>
    </row>
    <row r="33" spans="1:14" s="108" customFormat="1" ht="12.75" customHeight="1">
      <c r="A33" s="1">
        <v>1</v>
      </c>
      <c r="B33" s="1" t="s">
        <v>654</v>
      </c>
      <c r="C33" s="162" t="s">
        <v>102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108" customFormat="1" ht="27" customHeight="1">
      <c r="A34" s="1"/>
      <c r="B34" s="1"/>
      <c r="C34" s="145" t="s">
        <v>309</v>
      </c>
      <c r="D34" s="184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s="108" customFormat="1" ht="15" customHeight="1">
      <c r="A35" s="1"/>
      <c r="B35" s="1"/>
      <c r="C35" s="5" t="s">
        <v>1652</v>
      </c>
      <c r="D35" s="118"/>
      <c r="E35" s="118"/>
      <c r="F35" s="109"/>
      <c r="G35" s="109"/>
      <c r="H35" s="109"/>
      <c r="I35" s="109"/>
      <c r="J35" s="109">
        <v>100000</v>
      </c>
      <c r="K35" s="109"/>
      <c r="L35" s="109"/>
      <c r="M35" s="109"/>
      <c r="N35" s="109">
        <f aca="true" t="shared" si="3" ref="N35:N40">SUM(D35:M35)</f>
        <v>100000</v>
      </c>
    </row>
    <row r="36" spans="1:14" s="108" customFormat="1" ht="24.75" customHeight="1">
      <c r="A36" s="1"/>
      <c r="B36" s="1"/>
      <c r="C36" s="5" t="s">
        <v>318</v>
      </c>
      <c r="D36" s="118"/>
      <c r="E36" s="118"/>
      <c r="F36" s="109"/>
      <c r="G36" s="109"/>
      <c r="H36" s="109"/>
      <c r="I36" s="109"/>
      <c r="J36" s="109">
        <v>100000</v>
      </c>
      <c r="K36" s="109"/>
      <c r="L36" s="109"/>
      <c r="M36" s="109"/>
      <c r="N36" s="109">
        <f t="shared" si="3"/>
        <v>100000</v>
      </c>
    </row>
    <row r="37" spans="1:14" s="108" customFormat="1" ht="15" customHeight="1">
      <c r="A37" s="1"/>
      <c r="B37" s="1"/>
      <c r="C37" s="3" t="s">
        <v>310</v>
      </c>
      <c r="D37" s="109"/>
      <c r="E37" s="109"/>
      <c r="F37" s="109"/>
      <c r="G37" s="113"/>
      <c r="H37" s="113"/>
      <c r="I37" s="113"/>
      <c r="J37" s="113"/>
      <c r="K37" s="113"/>
      <c r="L37" s="113"/>
      <c r="M37" s="113"/>
      <c r="N37" s="109">
        <f t="shared" si="3"/>
        <v>0</v>
      </c>
    </row>
    <row r="38" spans="1:14" s="108" customFormat="1" ht="36" customHeight="1">
      <c r="A38" s="1"/>
      <c r="B38" s="1"/>
      <c r="C38" s="242" t="s">
        <v>479</v>
      </c>
      <c r="D38" s="109"/>
      <c r="E38" s="109">
        <v>261239</v>
      </c>
      <c r="F38" s="109"/>
      <c r="G38" s="113"/>
      <c r="H38" s="113"/>
      <c r="I38" s="113"/>
      <c r="J38" s="113"/>
      <c r="K38" s="113"/>
      <c r="L38" s="113"/>
      <c r="M38" s="113"/>
      <c r="N38" s="109">
        <f t="shared" si="3"/>
        <v>261239</v>
      </c>
    </row>
    <row r="39" spans="1:14" s="108" customFormat="1" ht="36" customHeight="1">
      <c r="A39" s="1"/>
      <c r="B39" s="1"/>
      <c r="C39" s="242" t="s">
        <v>480</v>
      </c>
      <c r="D39" s="109"/>
      <c r="E39" s="109">
        <v>342265</v>
      </c>
      <c r="F39" s="109"/>
      <c r="G39" s="113"/>
      <c r="H39" s="113"/>
      <c r="I39" s="113"/>
      <c r="J39" s="113"/>
      <c r="K39" s="113"/>
      <c r="L39" s="113"/>
      <c r="M39" s="113"/>
      <c r="N39" s="109">
        <f t="shared" si="3"/>
        <v>342265</v>
      </c>
    </row>
    <row r="40" spans="1:14" s="108" customFormat="1" ht="36" customHeight="1">
      <c r="A40" s="1"/>
      <c r="B40" s="1"/>
      <c r="C40" s="243" t="s">
        <v>481</v>
      </c>
      <c r="D40" s="109"/>
      <c r="E40" s="109">
        <v>282579</v>
      </c>
      <c r="F40" s="109"/>
      <c r="G40" s="113"/>
      <c r="H40" s="113"/>
      <c r="I40" s="113"/>
      <c r="J40" s="113"/>
      <c r="K40" s="113"/>
      <c r="L40" s="113"/>
      <c r="M40" s="113"/>
      <c r="N40" s="109">
        <f t="shared" si="3"/>
        <v>282579</v>
      </c>
    </row>
    <row r="41" spans="1:14" s="108" customFormat="1" ht="36" customHeight="1">
      <c r="A41" s="1"/>
      <c r="B41" s="1"/>
      <c r="C41" s="145" t="s">
        <v>1218</v>
      </c>
      <c r="D41" s="109"/>
      <c r="E41" s="109"/>
      <c r="F41" s="109"/>
      <c r="G41" s="113"/>
      <c r="H41" s="113"/>
      <c r="I41" s="113"/>
      <c r="J41" s="113"/>
      <c r="K41" s="113"/>
      <c r="L41" s="113"/>
      <c r="M41" s="113"/>
      <c r="N41" s="109"/>
    </row>
    <row r="42" spans="1:14" s="108" customFormat="1" ht="49.5" customHeight="1">
      <c r="A42" s="1"/>
      <c r="B42" s="1"/>
      <c r="C42" s="243" t="s">
        <v>487</v>
      </c>
      <c r="D42" s="109"/>
      <c r="E42" s="109">
        <v>754396</v>
      </c>
      <c r="F42" s="109"/>
      <c r="G42" s="113"/>
      <c r="H42" s="113"/>
      <c r="I42" s="113"/>
      <c r="J42" s="113"/>
      <c r="K42" s="113"/>
      <c r="L42" s="113"/>
      <c r="M42" s="113"/>
      <c r="N42" s="109">
        <f aca="true" t="shared" si="4" ref="N42:N48">SUM(D42:M42)</f>
        <v>754396</v>
      </c>
    </row>
    <row r="43" spans="1:14" s="108" customFormat="1" ht="24.75" customHeight="1">
      <c r="A43" s="1"/>
      <c r="B43" s="1"/>
      <c r="C43" s="305" t="s">
        <v>172</v>
      </c>
      <c r="D43" s="327"/>
      <c r="E43" s="109"/>
      <c r="F43" s="109"/>
      <c r="G43" s="113"/>
      <c r="H43" s="113"/>
      <c r="I43" s="113"/>
      <c r="J43" s="113"/>
      <c r="K43" s="113"/>
      <c r="L43" s="113"/>
      <c r="M43" s="113"/>
      <c r="N43" s="109">
        <f t="shared" si="4"/>
        <v>0</v>
      </c>
    </row>
    <row r="44" spans="1:14" s="108" customFormat="1" ht="24.75" customHeight="1">
      <c r="A44" s="1"/>
      <c r="B44" s="1"/>
      <c r="C44" s="267" t="s">
        <v>1518</v>
      </c>
      <c r="D44" s="109"/>
      <c r="E44" s="109">
        <v>500000</v>
      </c>
      <c r="F44" s="109"/>
      <c r="G44" s="113"/>
      <c r="H44" s="113"/>
      <c r="I44" s="113"/>
      <c r="J44" s="113"/>
      <c r="K44" s="113"/>
      <c r="L44" s="113"/>
      <c r="M44" s="113"/>
      <c r="N44" s="109">
        <f t="shared" si="4"/>
        <v>500000</v>
      </c>
    </row>
    <row r="45" spans="1:14" s="108" customFormat="1" ht="24.75" customHeight="1">
      <c r="A45" s="1"/>
      <c r="B45" s="1"/>
      <c r="C45" s="169" t="s">
        <v>307</v>
      </c>
      <c r="D45" s="109"/>
      <c r="E45" s="109"/>
      <c r="F45" s="109"/>
      <c r="G45" s="113"/>
      <c r="H45" s="113"/>
      <c r="I45" s="113"/>
      <c r="J45" s="113"/>
      <c r="K45" s="113"/>
      <c r="L45" s="113"/>
      <c r="M45" s="113"/>
      <c r="N45" s="109">
        <f t="shared" si="4"/>
        <v>0</v>
      </c>
    </row>
    <row r="46" spans="1:14" s="108" customFormat="1" ht="49.5" customHeight="1">
      <c r="A46" s="1"/>
      <c r="B46" s="1"/>
      <c r="C46" s="244" t="s">
        <v>474</v>
      </c>
      <c r="D46" s="109"/>
      <c r="E46" s="109">
        <v>29770</v>
      </c>
      <c r="F46" s="109"/>
      <c r="G46" s="113"/>
      <c r="H46" s="113"/>
      <c r="I46" s="113"/>
      <c r="J46" s="113"/>
      <c r="K46" s="113"/>
      <c r="L46" s="113"/>
      <c r="M46" s="113"/>
      <c r="N46" s="109">
        <f t="shared" si="4"/>
        <v>29770</v>
      </c>
    </row>
    <row r="47" spans="1:14" s="108" customFormat="1" ht="49.5" customHeight="1">
      <c r="A47" s="1"/>
      <c r="B47" s="1"/>
      <c r="C47" s="245" t="s">
        <v>475</v>
      </c>
      <c r="D47" s="109"/>
      <c r="E47" s="109">
        <v>482483</v>
      </c>
      <c r="F47" s="109"/>
      <c r="G47" s="113"/>
      <c r="H47" s="113"/>
      <c r="I47" s="113"/>
      <c r="J47" s="113"/>
      <c r="K47" s="113"/>
      <c r="L47" s="113"/>
      <c r="M47" s="113"/>
      <c r="N47" s="109">
        <f t="shared" si="4"/>
        <v>482483</v>
      </c>
    </row>
    <row r="48" spans="1:14" s="108" customFormat="1" ht="37.5" customHeight="1">
      <c r="A48" s="1"/>
      <c r="B48" s="1"/>
      <c r="C48" s="242" t="s">
        <v>5</v>
      </c>
      <c r="D48" s="109"/>
      <c r="E48" s="109">
        <v>241925</v>
      </c>
      <c r="F48" s="109"/>
      <c r="G48" s="113"/>
      <c r="H48" s="113"/>
      <c r="I48" s="113"/>
      <c r="J48" s="113"/>
      <c r="K48" s="113"/>
      <c r="L48" s="113"/>
      <c r="M48" s="113"/>
      <c r="N48" s="109">
        <f t="shared" si="4"/>
        <v>241925</v>
      </c>
    </row>
    <row r="49" spans="1:14" s="108" customFormat="1" ht="15" customHeight="1">
      <c r="A49" s="1"/>
      <c r="B49" s="1"/>
      <c r="C49" s="80" t="s">
        <v>1223</v>
      </c>
      <c r="D49" s="302"/>
      <c r="E49" s="118"/>
      <c r="F49" s="109"/>
      <c r="G49" s="113"/>
      <c r="H49" s="113"/>
      <c r="I49" s="113"/>
      <c r="J49" s="113"/>
      <c r="K49" s="113"/>
      <c r="L49" s="113"/>
      <c r="M49" s="113"/>
      <c r="N49" s="109"/>
    </row>
    <row r="50" spans="1:14" s="108" customFormat="1" ht="39.75" customHeight="1">
      <c r="A50" s="1"/>
      <c r="B50" s="1"/>
      <c r="C50" s="203" t="s">
        <v>324</v>
      </c>
      <c r="D50" s="118"/>
      <c r="E50" s="118">
        <v>491005</v>
      </c>
      <c r="F50" s="109"/>
      <c r="G50" s="113"/>
      <c r="H50" s="113"/>
      <c r="I50" s="113"/>
      <c r="J50" s="113"/>
      <c r="K50" s="113"/>
      <c r="L50" s="113"/>
      <c r="M50" s="113"/>
      <c r="N50" s="109">
        <f>SUM(D50:M50)</f>
        <v>491005</v>
      </c>
    </row>
    <row r="51" spans="1:14" s="108" customFormat="1" ht="39.75" customHeight="1">
      <c r="A51" s="1"/>
      <c r="B51" s="1"/>
      <c r="C51" s="203" t="s">
        <v>325</v>
      </c>
      <c r="D51" s="118"/>
      <c r="E51" s="118">
        <v>494387</v>
      </c>
      <c r="F51" s="109"/>
      <c r="G51" s="113"/>
      <c r="H51" s="113"/>
      <c r="I51" s="113"/>
      <c r="J51" s="113"/>
      <c r="K51" s="113"/>
      <c r="L51" s="113"/>
      <c r="M51" s="113"/>
      <c r="N51" s="109">
        <f>SUM(D51:M51)</f>
        <v>494387</v>
      </c>
    </row>
    <row r="52" spans="1:14" s="108" customFormat="1" ht="24.75" customHeight="1">
      <c r="A52" s="1"/>
      <c r="B52" s="1"/>
      <c r="C52" s="169" t="s">
        <v>307</v>
      </c>
      <c r="D52" s="118"/>
      <c r="E52" s="118"/>
      <c r="F52" s="109"/>
      <c r="G52" s="113"/>
      <c r="H52" s="113"/>
      <c r="I52" s="113"/>
      <c r="J52" s="113"/>
      <c r="K52" s="113"/>
      <c r="L52" s="113"/>
      <c r="M52" s="113"/>
      <c r="N52" s="109"/>
    </row>
    <row r="53" spans="1:15" s="108" customFormat="1" ht="40.5" customHeight="1">
      <c r="A53" s="1"/>
      <c r="B53" s="1"/>
      <c r="C53" s="440" t="s">
        <v>1703</v>
      </c>
      <c r="D53" s="118"/>
      <c r="E53" s="118">
        <v>100891</v>
      </c>
      <c r="F53" s="109"/>
      <c r="G53" s="113">
        <v>5695</v>
      </c>
      <c r="H53" s="113"/>
      <c r="I53" s="113"/>
      <c r="J53" s="113"/>
      <c r="K53" s="113"/>
      <c r="L53" s="113"/>
      <c r="M53" s="113"/>
      <c r="N53" s="109">
        <f>SUM(D53:M53)</f>
        <v>106586</v>
      </c>
      <c r="O53" s="238"/>
    </row>
    <row r="54" spans="1:14" s="108" customFormat="1" ht="12.75" customHeight="1">
      <c r="A54" s="110"/>
      <c r="B54" s="110"/>
      <c r="C54" s="4" t="s">
        <v>769</v>
      </c>
      <c r="D54" s="111">
        <f aca="true" t="shared" si="5" ref="D54:N54">SUM(D34:D53)</f>
        <v>0</v>
      </c>
      <c r="E54" s="111">
        <f t="shared" si="5"/>
        <v>3980940</v>
      </c>
      <c r="F54" s="111">
        <f t="shared" si="5"/>
        <v>0</v>
      </c>
      <c r="G54" s="111">
        <f t="shared" si="5"/>
        <v>5695</v>
      </c>
      <c r="H54" s="111">
        <f t="shared" si="5"/>
        <v>0</v>
      </c>
      <c r="I54" s="111">
        <f t="shared" si="5"/>
        <v>0</v>
      </c>
      <c r="J54" s="111">
        <f t="shared" si="5"/>
        <v>200000</v>
      </c>
      <c r="K54" s="111"/>
      <c r="L54" s="111"/>
      <c r="M54" s="111">
        <f t="shared" si="5"/>
        <v>0</v>
      </c>
      <c r="N54" s="111">
        <f t="shared" si="5"/>
        <v>4186635</v>
      </c>
    </row>
    <row r="55" spans="1:14" s="108" customFormat="1" ht="12.75" customHeight="1">
      <c r="A55" s="1">
        <v>1</v>
      </c>
      <c r="B55" s="1">
        <v>17</v>
      </c>
      <c r="C55" s="162" t="s">
        <v>1351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</row>
    <row r="56" spans="1:14" s="108" customFormat="1" ht="24" customHeight="1">
      <c r="A56" s="1"/>
      <c r="B56" s="1"/>
      <c r="C56" s="145" t="s">
        <v>174</v>
      </c>
      <c r="D56" s="173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4" s="108" customFormat="1" ht="13.5" customHeight="1">
      <c r="A57" s="1"/>
      <c r="B57" s="1"/>
      <c r="C57" s="3" t="s">
        <v>655</v>
      </c>
      <c r="D57" s="109"/>
      <c r="E57" s="109"/>
      <c r="F57" s="109"/>
      <c r="G57" s="109"/>
      <c r="H57" s="109">
        <v>95878</v>
      </c>
      <c r="I57" s="109"/>
      <c r="J57" s="109"/>
      <c r="K57" s="109"/>
      <c r="L57" s="109"/>
      <c r="M57" s="109"/>
      <c r="N57" s="109">
        <f>SUM(D57:M57)</f>
        <v>95878</v>
      </c>
    </row>
    <row r="58" spans="1:14" s="108" customFormat="1" ht="24.75" customHeight="1">
      <c r="A58" s="1"/>
      <c r="B58" s="1"/>
      <c r="C58" s="239" t="s">
        <v>319</v>
      </c>
      <c r="D58" s="109"/>
      <c r="E58" s="109"/>
      <c r="F58" s="109"/>
      <c r="G58" s="109"/>
      <c r="H58" s="109">
        <v>24122</v>
      </c>
      <c r="I58" s="109"/>
      <c r="J58" s="109"/>
      <c r="K58" s="109"/>
      <c r="L58" s="109"/>
      <c r="M58" s="109"/>
      <c r="N58" s="109">
        <f>SUM(D58:M58)</f>
        <v>24122</v>
      </c>
    </row>
    <row r="59" spans="1:14" s="108" customFormat="1" ht="24.75" customHeight="1">
      <c r="A59" s="1"/>
      <c r="B59" s="1"/>
      <c r="C59" s="240" t="s">
        <v>320</v>
      </c>
      <c r="D59" s="109"/>
      <c r="E59" s="109"/>
      <c r="F59" s="109"/>
      <c r="G59" s="109">
        <v>36558</v>
      </c>
      <c r="H59" s="109">
        <v>101100</v>
      </c>
      <c r="I59" s="109"/>
      <c r="J59" s="109"/>
      <c r="K59" s="109"/>
      <c r="L59" s="109"/>
      <c r="M59" s="109"/>
      <c r="N59" s="109">
        <f>SUM(D59:M59)</f>
        <v>137658</v>
      </c>
    </row>
    <row r="60" spans="1:14" s="108" customFormat="1" ht="24.75" customHeight="1">
      <c r="A60" s="1"/>
      <c r="B60" s="1"/>
      <c r="C60" s="298" t="s">
        <v>531</v>
      </c>
      <c r="D60" s="109"/>
      <c r="E60" s="109"/>
      <c r="F60" s="109"/>
      <c r="G60" s="109"/>
      <c r="H60" s="109">
        <v>30000</v>
      </c>
      <c r="I60" s="109"/>
      <c r="J60" s="109"/>
      <c r="K60" s="109"/>
      <c r="L60" s="109"/>
      <c r="M60" s="109"/>
      <c r="N60" s="109">
        <f>SUM(D60:M60)</f>
        <v>30000</v>
      </c>
    </row>
    <row r="61" spans="1:14" s="108" customFormat="1" ht="25.5" customHeight="1">
      <c r="A61" s="1"/>
      <c r="B61" s="1"/>
      <c r="C61" s="5" t="s">
        <v>419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s="108" customFormat="1" ht="13.5" customHeight="1">
      <c r="A62" s="1"/>
      <c r="B62" s="1"/>
      <c r="C62" s="123" t="s">
        <v>659</v>
      </c>
      <c r="D62" s="109"/>
      <c r="E62" s="109"/>
      <c r="F62" s="109"/>
      <c r="G62" s="113">
        <v>100000</v>
      </c>
      <c r="H62" s="109"/>
      <c r="I62" s="109"/>
      <c r="J62" s="109"/>
      <c r="K62" s="109"/>
      <c r="L62" s="109"/>
      <c r="M62" s="109"/>
      <c r="N62" s="109">
        <f>SUM(D62:M62)</f>
        <v>100000</v>
      </c>
    </row>
    <row r="63" spans="1:14" s="108" customFormat="1" ht="26.25" customHeight="1">
      <c r="A63" s="119"/>
      <c r="B63" s="119"/>
      <c r="C63" s="145" t="s">
        <v>174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09"/>
    </row>
    <row r="64" spans="1:14" s="108" customFormat="1" ht="13.5" customHeight="1">
      <c r="A64" s="119"/>
      <c r="B64" s="119"/>
      <c r="C64" s="174" t="s">
        <v>657</v>
      </c>
      <c r="D64" s="120"/>
      <c r="E64" s="120"/>
      <c r="F64" s="120"/>
      <c r="G64" s="120">
        <v>12700</v>
      </c>
      <c r="H64" s="120"/>
      <c r="I64" s="120"/>
      <c r="J64" s="120"/>
      <c r="K64" s="120"/>
      <c r="L64" s="120"/>
      <c r="M64" s="120"/>
      <c r="N64" s="109">
        <f>SUM(D64:M64)</f>
        <v>12700</v>
      </c>
    </row>
    <row r="65" spans="1:14" s="108" customFormat="1" ht="13.5" customHeight="1">
      <c r="A65" s="121"/>
      <c r="B65" s="121"/>
      <c r="C65" s="175" t="s">
        <v>658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09"/>
    </row>
    <row r="66" spans="1:14" s="108" customFormat="1" ht="13.5" customHeight="1">
      <c r="A66" s="121"/>
      <c r="B66" s="121"/>
      <c r="C66" s="175" t="s">
        <v>697</v>
      </c>
      <c r="D66" s="122"/>
      <c r="E66" s="122"/>
      <c r="F66" s="122"/>
      <c r="G66" s="122">
        <v>2540</v>
      </c>
      <c r="H66" s="122"/>
      <c r="I66" s="122"/>
      <c r="J66" s="122"/>
      <c r="K66" s="122"/>
      <c r="L66" s="122"/>
      <c r="M66" s="122"/>
      <c r="N66" s="109">
        <f>SUM(D66:M66)</f>
        <v>2540</v>
      </c>
    </row>
    <row r="67" spans="1:14" s="108" customFormat="1" ht="13.5" customHeight="1">
      <c r="A67" s="121"/>
      <c r="B67" s="121"/>
      <c r="C67" s="175" t="s">
        <v>1653</v>
      </c>
      <c r="D67" s="122"/>
      <c r="E67" s="122"/>
      <c r="F67" s="122"/>
      <c r="G67" s="122">
        <v>2000</v>
      </c>
      <c r="H67" s="122"/>
      <c r="I67" s="122"/>
      <c r="J67" s="122"/>
      <c r="K67" s="122"/>
      <c r="L67" s="122"/>
      <c r="M67" s="122"/>
      <c r="N67" s="109">
        <f>SUM(D67:M67)</f>
        <v>2000</v>
      </c>
    </row>
    <row r="68" spans="1:14" s="108" customFormat="1" ht="24.75" customHeight="1">
      <c r="A68" s="121"/>
      <c r="B68" s="121"/>
      <c r="C68" s="169" t="s">
        <v>307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09"/>
    </row>
    <row r="69" spans="1:14" s="108" customFormat="1" ht="15" customHeight="1">
      <c r="A69" s="121"/>
      <c r="B69" s="121"/>
      <c r="C69" s="3" t="s">
        <v>656</v>
      </c>
      <c r="D69" s="122"/>
      <c r="E69" s="122"/>
      <c r="F69" s="122"/>
      <c r="G69" s="122">
        <v>30607</v>
      </c>
      <c r="H69" s="122"/>
      <c r="I69" s="122"/>
      <c r="J69" s="122"/>
      <c r="K69" s="122"/>
      <c r="L69" s="122"/>
      <c r="M69" s="122"/>
      <c r="N69" s="109">
        <f>SUM(D69:M69)</f>
        <v>30607</v>
      </c>
    </row>
    <row r="70" spans="1:14" s="108" customFormat="1" ht="24.75" customHeight="1">
      <c r="A70" s="1"/>
      <c r="B70" s="1"/>
      <c r="C70" s="323" t="s">
        <v>311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s="108" customFormat="1" ht="24.75" customHeight="1">
      <c r="A71" s="1"/>
      <c r="B71" s="1"/>
      <c r="C71" s="303" t="s">
        <v>1397</v>
      </c>
      <c r="D71" s="109"/>
      <c r="E71" s="109"/>
      <c r="F71" s="109"/>
      <c r="G71" s="109">
        <v>127000</v>
      </c>
      <c r="H71" s="109"/>
      <c r="I71" s="109"/>
      <c r="J71" s="109"/>
      <c r="K71" s="109"/>
      <c r="L71" s="109"/>
      <c r="M71" s="109"/>
      <c r="N71" s="109">
        <f>SUM(D71:M71)</f>
        <v>127000</v>
      </c>
    </row>
    <row r="72" spans="1:14" s="108" customFormat="1" ht="24.75" customHeight="1">
      <c r="A72" s="1"/>
      <c r="B72" s="1"/>
      <c r="C72" s="145" t="s">
        <v>174</v>
      </c>
      <c r="D72" s="122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1:14" s="108" customFormat="1" ht="34.5" customHeight="1">
      <c r="A73" s="1"/>
      <c r="B73" s="1"/>
      <c r="C73" s="45" t="s">
        <v>1627</v>
      </c>
      <c r="D73" s="146"/>
      <c r="E73" s="122"/>
      <c r="F73" s="122"/>
      <c r="G73" s="122">
        <v>44983</v>
      </c>
      <c r="H73" s="109"/>
      <c r="I73" s="109"/>
      <c r="J73" s="109"/>
      <c r="K73" s="109"/>
      <c r="L73" s="109"/>
      <c r="M73" s="109"/>
      <c r="N73" s="109">
        <f>SUM(D73:M73)</f>
        <v>44983</v>
      </c>
    </row>
    <row r="74" spans="1:14" s="108" customFormat="1" ht="13.5" customHeight="1">
      <c r="A74" s="1"/>
      <c r="B74" s="1"/>
      <c r="C74" s="176" t="s">
        <v>660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1:14" s="108" customFormat="1" ht="24.75" customHeight="1">
      <c r="A75" s="1"/>
      <c r="B75" s="1"/>
      <c r="C75" s="304" t="s">
        <v>160</v>
      </c>
      <c r="D75" s="143"/>
      <c r="E75" s="109"/>
      <c r="F75" s="109"/>
      <c r="G75" s="109"/>
      <c r="H75" s="109"/>
      <c r="I75" s="109"/>
      <c r="J75" s="109"/>
      <c r="K75" s="109"/>
      <c r="L75" s="109"/>
      <c r="M75" s="109"/>
      <c r="N75" s="109"/>
    </row>
    <row r="76" spans="1:14" s="108" customFormat="1" ht="24.75" customHeight="1">
      <c r="A76" s="1"/>
      <c r="B76" s="1"/>
      <c r="C76" s="5" t="s">
        <v>1585</v>
      </c>
      <c r="D76" s="118"/>
      <c r="E76" s="171"/>
      <c r="F76" s="118"/>
      <c r="G76" s="109"/>
      <c r="H76" s="109"/>
      <c r="I76" s="109"/>
      <c r="J76" s="109">
        <v>20000</v>
      </c>
      <c r="K76" s="109"/>
      <c r="L76" s="109"/>
      <c r="M76" s="109"/>
      <c r="N76" s="109">
        <f>SUM(D76:M76)</f>
        <v>20000</v>
      </c>
    </row>
    <row r="77" spans="1:14" s="108" customFormat="1" ht="24.75" customHeight="1">
      <c r="A77" s="1"/>
      <c r="B77" s="1"/>
      <c r="C77" s="324" t="s">
        <v>420</v>
      </c>
      <c r="D77" s="118"/>
      <c r="E77" s="171"/>
      <c r="F77" s="118"/>
      <c r="G77" s="109"/>
      <c r="H77" s="109"/>
      <c r="I77" s="109"/>
      <c r="J77" s="109"/>
      <c r="K77" s="109"/>
      <c r="L77" s="109"/>
      <c r="M77" s="109"/>
      <c r="N77" s="109"/>
    </row>
    <row r="78" spans="1:15" s="108" customFormat="1" ht="24.75" customHeight="1">
      <c r="A78" s="1"/>
      <c r="B78" s="1"/>
      <c r="C78" s="169" t="s">
        <v>1586</v>
      </c>
      <c r="D78" s="118"/>
      <c r="E78" s="118"/>
      <c r="F78" s="118"/>
      <c r="G78" s="109"/>
      <c r="H78" s="109"/>
      <c r="I78" s="109"/>
      <c r="J78" s="109"/>
      <c r="K78" s="109"/>
      <c r="L78" s="113">
        <v>377239</v>
      </c>
      <c r="M78" s="109"/>
      <c r="N78" s="109">
        <f>SUM(D78:M78)</f>
        <v>377239</v>
      </c>
      <c r="O78" s="130"/>
    </row>
    <row r="79" spans="1:14" s="108" customFormat="1" ht="12" customHeight="1">
      <c r="A79" s="110"/>
      <c r="B79" s="110"/>
      <c r="C79" s="4" t="s">
        <v>661</v>
      </c>
      <c r="D79" s="111">
        <f>SUM(D55:D78)</f>
        <v>0</v>
      </c>
      <c r="E79" s="111">
        <f aca="true" t="shared" si="6" ref="E79:L79">SUM(E55:E78)</f>
        <v>0</v>
      </c>
      <c r="F79" s="111">
        <f t="shared" si="6"/>
        <v>0</v>
      </c>
      <c r="G79" s="111">
        <f t="shared" si="6"/>
        <v>356388</v>
      </c>
      <c r="H79" s="111">
        <f t="shared" si="6"/>
        <v>251100</v>
      </c>
      <c r="I79" s="111">
        <f t="shared" si="6"/>
        <v>0</v>
      </c>
      <c r="J79" s="111">
        <f t="shared" si="6"/>
        <v>20000</v>
      </c>
      <c r="K79" s="111">
        <f t="shared" si="6"/>
        <v>0</v>
      </c>
      <c r="L79" s="111">
        <f t="shared" si="6"/>
        <v>377239</v>
      </c>
      <c r="M79" s="111">
        <f>SUM(M55:M78)</f>
        <v>0</v>
      </c>
      <c r="N79" s="111">
        <f>SUM(N55:N78)</f>
        <v>1004727</v>
      </c>
    </row>
    <row r="80" spans="1:14" s="108" customFormat="1" ht="12" customHeight="1">
      <c r="A80" s="116">
        <v>1</v>
      </c>
      <c r="B80" s="116">
        <v>18</v>
      </c>
      <c r="C80" s="5" t="s">
        <v>662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1:14" s="108" customFormat="1" ht="24.75" customHeight="1">
      <c r="A81" s="1"/>
      <c r="B81" s="1"/>
      <c r="C81" s="145" t="s">
        <v>174</v>
      </c>
      <c r="D81" s="118"/>
      <c r="E81" s="118"/>
      <c r="F81" s="118"/>
      <c r="G81" s="109"/>
      <c r="H81" s="109"/>
      <c r="I81" s="109"/>
      <c r="J81" s="109"/>
      <c r="K81" s="109"/>
      <c r="L81" s="109"/>
      <c r="M81" s="109"/>
      <c r="N81" s="109"/>
    </row>
    <row r="82" spans="1:14" s="108" customFormat="1" ht="12" customHeight="1">
      <c r="A82" s="1"/>
      <c r="B82" s="1"/>
      <c r="C82" s="5" t="s">
        <v>966</v>
      </c>
      <c r="D82" s="118"/>
      <c r="E82" s="118"/>
      <c r="F82" s="118"/>
      <c r="G82" s="109">
        <v>20320</v>
      </c>
      <c r="H82" s="109"/>
      <c r="I82" s="109"/>
      <c r="J82" s="109"/>
      <c r="K82" s="109"/>
      <c r="L82" s="109"/>
      <c r="M82" s="109"/>
      <c r="N82" s="109">
        <f>SUM(D82:M82)</f>
        <v>20320</v>
      </c>
    </row>
    <row r="83" spans="1:14" s="108" customFormat="1" ht="15" customHeight="1">
      <c r="A83" s="1"/>
      <c r="B83" s="1"/>
      <c r="C83" s="57" t="s">
        <v>317</v>
      </c>
      <c r="D83" s="184"/>
      <c r="E83" s="118"/>
      <c r="F83" s="171">
        <v>5000</v>
      </c>
      <c r="G83" s="109"/>
      <c r="H83" s="109"/>
      <c r="I83" s="109"/>
      <c r="J83" s="109"/>
      <c r="K83" s="109"/>
      <c r="L83" s="109"/>
      <c r="M83" s="109"/>
      <c r="N83" s="109">
        <f>SUM(D83:M83)</f>
        <v>5000</v>
      </c>
    </row>
    <row r="84" spans="1:14" s="108" customFormat="1" ht="15" customHeight="1">
      <c r="A84" s="1" t="s">
        <v>677</v>
      </c>
      <c r="B84" s="1"/>
      <c r="C84" s="5" t="s">
        <v>1338</v>
      </c>
      <c r="D84" s="118"/>
      <c r="E84" s="118"/>
      <c r="F84" s="118"/>
      <c r="G84" s="109">
        <v>21590</v>
      </c>
      <c r="H84" s="109"/>
      <c r="I84" s="109"/>
      <c r="J84" s="109"/>
      <c r="K84" s="109"/>
      <c r="L84" s="109"/>
      <c r="M84" s="109"/>
      <c r="N84" s="109">
        <f>SUM(D84:M84)</f>
        <v>21590</v>
      </c>
    </row>
    <row r="85" spans="1:14" s="108" customFormat="1" ht="14.25" customHeight="1">
      <c r="A85" s="110"/>
      <c r="B85" s="110"/>
      <c r="C85" s="4" t="s">
        <v>1339</v>
      </c>
      <c r="D85" s="125">
        <f aca="true" t="shared" si="7" ref="D85:J85">SUM(D82:D84)</f>
        <v>0</v>
      </c>
      <c r="E85" s="125">
        <f t="shared" si="7"/>
        <v>0</v>
      </c>
      <c r="F85" s="125">
        <f t="shared" si="7"/>
        <v>5000</v>
      </c>
      <c r="G85" s="125">
        <f t="shared" si="7"/>
        <v>41910</v>
      </c>
      <c r="H85" s="125">
        <f t="shared" si="7"/>
        <v>0</v>
      </c>
      <c r="I85" s="125">
        <f t="shared" si="7"/>
        <v>0</v>
      </c>
      <c r="J85" s="125">
        <f t="shared" si="7"/>
        <v>0</v>
      </c>
      <c r="K85" s="125"/>
      <c r="L85" s="125"/>
      <c r="M85" s="125">
        <f>SUM(M82:M84)</f>
        <v>0</v>
      </c>
      <c r="N85" s="125">
        <f>SUM(N82:N84)</f>
        <v>46910</v>
      </c>
    </row>
    <row r="86" spans="1:14" s="108" customFormat="1" ht="12" customHeight="1">
      <c r="A86" s="1">
        <v>1</v>
      </c>
      <c r="B86" s="1">
        <v>19</v>
      </c>
      <c r="C86" s="162" t="s">
        <v>676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1:14" s="108" customFormat="1" ht="26.25" customHeight="1">
      <c r="A87" s="1"/>
      <c r="B87" s="1"/>
      <c r="C87" s="325" t="s">
        <v>1235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1:15" s="108" customFormat="1" ht="24.75" customHeight="1">
      <c r="A88" s="1"/>
      <c r="B88" s="1"/>
      <c r="C88" s="160" t="s">
        <v>1026</v>
      </c>
      <c r="D88" s="118"/>
      <c r="E88" s="118"/>
      <c r="F88" s="118"/>
      <c r="G88" s="109"/>
      <c r="H88" s="109"/>
      <c r="I88" s="109"/>
      <c r="J88" s="109"/>
      <c r="K88" s="109">
        <v>628892</v>
      </c>
      <c r="L88" s="109"/>
      <c r="M88" s="109"/>
      <c r="N88" s="109">
        <f>SUM(D88:M88)</f>
        <v>628892</v>
      </c>
      <c r="O88" s="130"/>
    </row>
    <row r="89" spans="1:15" s="108" customFormat="1" ht="24.75" customHeight="1">
      <c r="A89" s="1"/>
      <c r="B89" s="1"/>
      <c r="C89" s="5" t="s">
        <v>322</v>
      </c>
      <c r="D89" s="118"/>
      <c r="E89" s="118"/>
      <c r="F89" s="118"/>
      <c r="G89" s="109"/>
      <c r="H89" s="109"/>
      <c r="I89" s="109"/>
      <c r="J89" s="109"/>
      <c r="K89" s="109">
        <v>30000</v>
      </c>
      <c r="L89" s="109"/>
      <c r="M89" s="109"/>
      <c r="N89" s="109">
        <f>SUM(D89:M89)</f>
        <v>30000</v>
      </c>
      <c r="O89" s="238"/>
    </row>
    <row r="90" spans="1:14" s="108" customFormat="1" ht="24.75" customHeight="1">
      <c r="A90" s="1"/>
      <c r="B90" s="1"/>
      <c r="C90" s="324" t="s">
        <v>162</v>
      </c>
      <c r="D90" s="173"/>
      <c r="E90" s="118"/>
      <c r="F90" s="118"/>
      <c r="G90" s="109"/>
      <c r="H90" s="109"/>
      <c r="I90" s="109"/>
      <c r="J90" s="109"/>
      <c r="K90" s="109"/>
      <c r="L90" s="109"/>
      <c r="M90" s="109"/>
      <c r="N90" s="109"/>
    </row>
    <row r="91" spans="1:14" s="108" customFormat="1" ht="12.75">
      <c r="A91" s="1" t="s">
        <v>677</v>
      </c>
      <c r="B91" s="1"/>
      <c r="C91" s="3" t="s">
        <v>1340</v>
      </c>
      <c r="D91" s="109"/>
      <c r="E91" s="109"/>
      <c r="F91" s="109"/>
      <c r="G91" s="109">
        <v>15000</v>
      </c>
      <c r="H91" s="109"/>
      <c r="I91" s="109"/>
      <c r="J91" s="109"/>
      <c r="K91" s="109"/>
      <c r="L91" s="109"/>
      <c r="M91" s="109"/>
      <c r="N91" s="109">
        <f>SUM(D91:M91)</f>
        <v>15000</v>
      </c>
    </row>
    <row r="92" spans="1:15" s="108" customFormat="1" ht="12.75">
      <c r="A92" s="1"/>
      <c r="B92" s="1"/>
      <c r="C92" s="3" t="s">
        <v>1278</v>
      </c>
      <c r="D92" s="109"/>
      <c r="E92" s="109"/>
      <c r="F92" s="109"/>
      <c r="G92" s="109">
        <v>139291</v>
      </c>
      <c r="H92" s="109"/>
      <c r="I92" s="109"/>
      <c r="J92" s="109"/>
      <c r="K92" s="109"/>
      <c r="L92" s="109"/>
      <c r="M92" s="109"/>
      <c r="N92" s="109">
        <f>SUM(D92:M92)</f>
        <v>139291</v>
      </c>
      <c r="O92" s="130"/>
    </row>
    <row r="93" spans="1:15" s="108" customFormat="1" ht="25.5">
      <c r="A93" s="1"/>
      <c r="B93" s="1"/>
      <c r="C93" s="5" t="s">
        <v>321</v>
      </c>
      <c r="D93" s="109"/>
      <c r="E93" s="109"/>
      <c r="F93" s="109"/>
      <c r="G93" s="109"/>
      <c r="H93" s="109"/>
      <c r="I93" s="109"/>
      <c r="J93" s="109"/>
      <c r="K93" s="109"/>
      <c r="L93" s="109">
        <v>1139398</v>
      </c>
      <c r="M93" s="109"/>
      <c r="N93" s="109">
        <f>SUM(D93:M93)</f>
        <v>1139398</v>
      </c>
      <c r="O93" s="238"/>
    </row>
    <row r="94" spans="1:14" s="108" customFormat="1" ht="24.75" customHeight="1">
      <c r="A94" s="1"/>
      <c r="B94" s="1"/>
      <c r="C94" s="5" t="s">
        <v>312</v>
      </c>
      <c r="D94" s="109"/>
      <c r="E94" s="109"/>
      <c r="F94" s="109"/>
      <c r="G94" s="109"/>
      <c r="H94" s="109"/>
      <c r="I94" s="123"/>
      <c r="J94" s="109"/>
      <c r="K94" s="109"/>
      <c r="L94" s="109"/>
      <c r="M94" s="109"/>
      <c r="N94" s="109"/>
    </row>
    <row r="95" spans="1:14" s="108" customFormat="1" ht="12.75">
      <c r="A95" s="1"/>
      <c r="B95" s="1"/>
      <c r="C95" s="3" t="s">
        <v>316</v>
      </c>
      <c r="D95" s="109">
        <v>2133966</v>
      </c>
      <c r="E95" s="109"/>
      <c r="F95" s="109"/>
      <c r="G95" s="109"/>
      <c r="H95" s="109"/>
      <c r="I95" s="126"/>
      <c r="J95" s="109"/>
      <c r="K95" s="109"/>
      <c r="L95" s="109"/>
      <c r="M95" s="109"/>
      <c r="N95" s="109">
        <f aca="true" t="shared" si="8" ref="N95:N108">SUM(D95:M95)</f>
        <v>2133966</v>
      </c>
    </row>
    <row r="96" spans="1:14" s="108" customFormat="1" ht="12.75">
      <c r="A96" s="1"/>
      <c r="B96" s="1"/>
      <c r="C96" s="3" t="s">
        <v>1630</v>
      </c>
      <c r="D96" s="109">
        <v>19133</v>
      </c>
      <c r="E96" s="109"/>
      <c r="F96" s="109"/>
      <c r="G96" s="109"/>
      <c r="H96" s="109"/>
      <c r="I96" s="126"/>
      <c r="J96" s="109"/>
      <c r="K96" s="109"/>
      <c r="L96" s="109"/>
      <c r="M96" s="109"/>
      <c r="N96" s="109">
        <f t="shared" si="8"/>
        <v>19133</v>
      </c>
    </row>
    <row r="97" spans="1:14" s="108" customFormat="1" ht="24" customHeight="1">
      <c r="A97" s="1"/>
      <c r="B97" s="1"/>
      <c r="C97" s="5" t="s">
        <v>1649</v>
      </c>
      <c r="D97" s="109">
        <v>246600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>
        <f t="shared" si="8"/>
        <v>246600</v>
      </c>
    </row>
    <row r="98" spans="1:15" s="108" customFormat="1" ht="24" customHeight="1">
      <c r="A98" s="1"/>
      <c r="B98" s="1"/>
      <c r="C98" s="160" t="s">
        <v>1533</v>
      </c>
      <c r="D98" s="109"/>
      <c r="E98" s="109"/>
      <c r="F98" s="109"/>
      <c r="G98" s="109"/>
      <c r="H98" s="109"/>
      <c r="I98" s="113"/>
      <c r="J98" s="109"/>
      <c r="K98" s="109"/>
      <c r="L98" s="109">
        <v>1300000</v>
      </c>
      <c r="M98" s="109"/>
      <c r="N98" s="109">
        <f t="shared" si="8"/>
        <v>1300000</v>
      </c>
      <c r="O98" s="238"/>
    </row>
    <row r="99" spans="1:15" s="108" customFormat="1" ht="18" customHeight="1">
      <c r="A99" s="1"/>
      <c r="B99" s="1"/>
      <c r="C99" s="168" t="s">
        <v>323</v>
      </c>
      <c r="D99" s="109"/>
      <c r="E99" s="109">
        <v>31964</v>
      </c>
      <c r="F99" s="109"/>
      <c r="G99" s="109"/>
      <c r="H99" s="109"/>
      <c r="I99" s="113"/>
      <c r="J99" s="109"/>
      <c r="K99" s="109"/>
      <c r="L99" s="109"/>
      <c r="M99" s="109"/>
      <c r="N99" s="109">
        <v>31964</v>
      </c>
      <c r="O99" s="238"/>
    </row>
    <row r="100" spans="1:15" s="108" customFormat="1" ht="28.5" customHeight="1">
      <c r="A100" s="1"/>
      <c r="B100" s="1"/>
      <c r="C100" s="170" t="s">
        <v>421</v>
      </c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238"/>
    </row>
    <row r="101" spans="1:14" s="108" customFormat="1" ht="13.5" customHeight="1">
      <c r="A101" s="1"/>
      <c r="B101" s="1"/>
      <c r="C101" s="3" t="s">
        <v>1274</v>
      </c>
      <c r="D101" s="109"/>
      <c r="E101" s="109"/>
      <c r="F101" s="113">
        <v>4000000</v>
      </c>
      <c r="G101" s="109"/>
      <c r="H101" s="109"/>
      <c r="I101" s="109"/>
      <c r="J101" s="109"/>
      <c r="K101" s="109"/>
      <c r="L101" s="109"/>
      <c r="M101" s="109"/>
      <c r="N101" s="109">
        <f t="shared" si="8"/>
        <v>4000000</v>
      </c>
    </row>
    <row r="102" spans="1:14" s="108" customFormat="1" ht="13.5" customHeight="1">
      <c r="A102" s="1"/>
      <c r="B102" s="1"/>
      <c r="C102" s="3" t="s">
        <v>1275</v>
      </c>
      <c r="D102" s="109"/>
      <c r="E102" s="109"/>
      <c r="F102" s="109">
        <v>240000</v>
      </c>
      <c r="G102" s="109"/>
      <c r="H102" s="109"/>
      <c r="I102" s="109"/>
      <c r="J102" s="109"/>
      <c r="K102" s="109"/>
      <c r="L102" s="109"/>
      <c r="M102" s="109"/>
      <c r="N102" s="109">
        <f t="shared" si="8"/>
        <v>240000</v>
      </c>
    </row>
    <row r="103" spans="1:14" s="108" customFormat="1" ht="13.5" customHeight="1">
      <c r="A103" s="1"/>
      <c r="B103" s="1"/>
      <c r="C103" s="3" t="s">
        <v>1276</v>
      </c>
      <c r="D103" s="109"/>
      <c r="E103" s="109"/>
      <c r="F103" s="109">
        <v>8500</v>
      </c>
      <c r="G103" s="109"/>
      <c r="H103" s="109"/>
      <c r="I103" s="109"/>
      <c r="J103" s="109"/>
      <c r="K103" s="109"/>
      <c r="L103" s="109"/>
      <c r="M103" s="109"/>
      <c r="N103" s="109">
        <f t="shared" si="8"/>
        <v>8500</v>
      </c>
    </row>
    <row r="104" spans="1:14" s="108" customFormat="1" ht="13.5" customHeight="1">
      <c r="A104" s="1"/>
      <c r="B104" s="1"/>
      <c r="C104" s="3" t="s">
        <v>1277</v>
      </c>
      <c r="D104" s="109"/>
      <c r="E104" s="109"/>
      <c r="F104" s="109">
        <v>5000</v>
      </c>
      <c r="G104" s="109"/>
      <c r="H104" s="109"/>
      <c r="I104" s="109"/>
      <c r="J104" s="109"/>
      <c r="K104" s="109"/>
      <c r="L104" s="109"/>
      <c r="M104" s="109"/>
      <c r="N104" s="109">
        <f t="shared" si="8"/>
        <v>5000</v>
      </c>
    </row>
    <row r="105" spans="1:14" s="108" customFormat="1" ht="24.75" customHeight="1">
      <c r="A105" s="1"/>
      <c r="B105" s="1"/>
      <c r="C105" s="371" t="s">
        <v>422</v>
      </c>
      <c r="D105" s="65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>
        <f t="shared" si="8"/>
        <v>0</v>
      </c>
    </row>
    <row r="106" spans="1:14" s="108" customFormat="1" ht="33.75" customHeight="1">
      <c r="A106" s="1"/>
      <c r="B106" s="1"/>
      <c r="C106" s="236" t="s">
        <v>314</v>
      </c>
      <c r="D106" s="225">
        <v>16000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109">
        <f t="shared" si="8"/>
        <v>16000</v>
      </c>
    </row>
    <row r="107" spans="1:14" s="108" customFormat="1" ht="24.75" customHeight="1">
      <c r="A107" s="1"/>
      <c r="B107" s="1"/>
      <c r="C107" s="236" t="s">
        <v>622</v>
      </c>
      <c r="D107" s="225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1:14" s="108" customFormat="1" ht="24.75" customHeight="1">
      <c r="A108" s="1"/>
      <c r="B108" s="1"/>
      <c r="C108" s="5" t="s">
        <v>1624</v>
      </c>
      <c r="D108" s="109">
        <v>14524</v>
      </c>
      <c r="E108" s="109"/>
      <c r="F108" s="109"/>
      <c r="G108" s="109"/>
      <c r="H108" s="109"/>
      <c r="I108" s="109"/>
      <c r="J108" s="109"/>
      <c r="K108" s="109"/>
      <c r="L108" s="109"/>
      <c r="M108" s="113"/>
      <c r="N108" s="109">
        <f t="shared" si="8"/>
        <v>14524</v>
      </c>
    </row>
    <row r="109" spans="1:14" s="108" customFormat="1" ht="15.75" customHeight="1">
      <c r="A109" s="2"/>
      <c r="B109" s="110"/>
      <c r="C109" s="4" t="s">
        <v>678</v>
      </c>
      <c r="D109" s="111">
        <f aca="true" t="shared" si="9" ref="D109:M109">SUM(D87:D108)</f>
        <v>2430223</v>
      </c>
      <c r="E109" s="111">
        <f t="shared" si="9"/>
        <v>31964</v>
      </c>
      <c r="F109" s="111">
        <f t="shared" si="9"/>
        <v>4253500</v>
      </c>
      <c r="G109" s="111">
        <f t="shared" si="9"/>
        <v>154291</v>
      </c>
      <c r="H109" s="111">
        <f t="shared" si="9"/>
        <v>0</v>
      </c>
      <c r="I109" s="111">
        <f t="shared" si="9"/>
        <v>0</v>
      </c>
      <c r="J109" s="111">
        <f t="shared" si="9"/>
        <v>0</v>
      </c>
      <c r="K109" s="111">
        <f t="shared" si="9"/>
        <v>658892</v>
      </c>
      <c r="L109" s="111">
        <f t="shared" si="9"/>
        <v>2439398</v>
      </c>
      <c r="M109" s="111">
        <f t="shared" si="9"/>
        <v>0</v>
      </c>
      <c r="N109" s="111">
        <f>SUM(N86:N108)</f>
        <v>9968268</v>
      </c>
    </row>
    <row r="110" spans="1:14" s="108" customFormat="1" ht="27.75" customHeight="1">
      <c r="A110" s="114">
        <v>1</v>
      </c>
      <c r="B110" s="116">
        <v>21</v>
      </c>
      <c r="C110" s="145" t="s">
        <v>174</v>
      </c>
      <c r="D110" s="185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1:14" s="108" customFormat="1" ht="15" customHeight="1">
      <c r="A111" s="2"/>
      <c r="B111" s="110"/>
      <c r="C111" s="178" t="s">
        <v>124</v>
      </c>
      <c r="D111" s="186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>
        <f>SUM(D111:M111)</f>
        <v>0</v>
      </c>
    </row>
    <row r="112" spans="1:14" s="108" customFormat="1" ht="10.5" customHeight="1">
      <c r="A112" s="114">
        <v>1</v>
      </c>
      <c r="B112" s="116">
        <v>22</v>
      </c>
      <c r="C112" s="179" t="s">
        <v>1279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1:14" s="108" customFormat="1" ht="24.75" customHeight="1">
      <c r="A113" s="114"/>
      <c r="B113" s="116"/>
      <c r="C113" s="324" t="s">
        <v>162</v>
      </c>
      <c r="D113" s="17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1:14" s="108" customFormat="1" ht="15" customHeight="1">
      <c r="A114" s="114"/>
      <c r="B114" s="116"/>
      <c r="C114" s="188" t="s">
        <v>1629</v>
      </c>
      <c r="D114" s="237">
        <v>7185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3">
        <f>SUM(D114:M114)</f>
        <v>7185</v>
      </c>
    </row>
    <row r="115" spans="1:14" s="108" customFormat="1" ht="12" customHeight="1">
      <c r="A115" s="2"/>
      <c r="B115" s="110"/>
      <c r="C115" s="4" t="s">
        <v>1281</v>
      </c>
      <c r="D115" s="111">
        <f>SUM(D112:D114)</f>
        <v>7185</v>
      </c>
      <c r="E115" s="111"/>
      <c r="F115" s="111">
        <f>SUM(F112:F114)</f>
        <v>0</v>
      </c>
      <c r="G115" s="111">
        <f>SUM(G112:G114)</f>
        <v>0</v>
      </c>
      <c r="H115" s="111"/>
      <c r="I115" s="111">
        <f>SUM(I112:I114)</f>
        <v>0</v>
      </c>
      <c r="J115" s="111">
        <f>SUM(J112:J114)</f>
        <v>0</v>
      </c>
      <c r="K115" s="111"/>
      <c r="L115" s="111"/>
      <c r="M115" s="111">
        <f>SUM(M112:M114)</f>
        <v>0</v>
      </c>
      <c r="N115" s="111">
        <f>SUM(N112:N114)</f>
        <v>7185</v>
      </c>
    </row>
    <row r="116" spans="1:14" s="108" customFormat="1" ht="24.75" customHeight="1">
      <c r="A116" s="110"/>
      <c r="B116" s="110"/>
      <c r="C116" s="181" t="s">
        <v>761</v>
      </c>
      <c r="D116" s="111">
        <f aca="true" t="shared" si="10" ref="D116:N116">SUM(D8+D18+D32+D54+D79+D85+D109+D111+D115)</f>
        <v>2474643</v>
      </c>
      <c r="E116" s="111">
        <f t="shared" si="10"/>
        <v>4584238</v>
      </c>
      <c r="F116" s="111">
        <f t="shared" si="10"/>
        <v>4258500</v>
      </c>
      <c r="G116" s="111">
        <f t="shared" si="10"/>
        <v>994275</v>
      </c>
      <c r="H116" s="111">
        <f t="shared" si="10"/>
        <v>251100</v>
      </c>
      <c r="I116" s="111">
        <f t="shared" si="10"/>
        <v>0</v>
      </c>
      <c r="J116" s="111">
        <f t="shared" si="10"/>
        <v>220000</v>
      </c>
      <c r="K116" s="111">
        <f t="shared" si="10"/>
        <v>658892</v>
      </c>
      <c r="L116" s="111">
        <f t="shared" si="10"/>
        <v>2816637</v>
      </c>
      <c r="M116" s="111">
        <f t="shared" si="10"/>
        <v>0</v>
      </c>
      <c r="N116" s="111">
        <f t="shared" si="10"/>
        <v>16258285</v>
      </c>
    </row>
    <row r="117" spans="1:14" s="108" customFormat="1" ht="15.75" customHeight="1" thickBot="1">
      <c r="A117" s="1">
        <v>2</v>
      </c>
      <c r="B117" s="1"/>
      <c r="C117" s="164" t="s">
        <v>1621</v>
      </c>
      <c r="D117" s="109">
        <v>346274</v>
      </c>
      <c r="E117" s="109">
        <v>23000</v>
      </c>
      <c r="F117" s="109"/>
      <c r="G117" s="109">
        <v>1121690</v>
      </c>
      <c r="H117" s="109"/>
      <c r="I117" s="109">
        <v>59600</v>
      </c>
      <c r="J117" s="127"/>
      <c r="K117" s="127"/>
      <c r="L117" s="127">
        <v>150169</v>
      </c>
      <c r="M117" s="109"/>
      <c r="N117" s="120">
        <f>SUM(D117:M117)</f>
        <v>1700733</v>
      </c>
    </row>
    <row r="118" spans="1:14" s="108" customFormat="1" ht="15.75" customHeight="1" thickBot="1">
      <c r="A118" s="110"/>
      <c r="B118" s="110"/>
      <c r="C118" s="6" t="s">
        <v>1599</v>
      </c>
      <c r="D118" s="111">
        <f>SUM(D116:D117)</f>
        <v>2820917</v>
      </c>
      <c r="E118" s="111">
        <f>SUM(E116:E117)</f>
        <v>4607238</v>
      </c>
      <c r="F118" s="111">
        <f aca="true" t="shared" si="11" ref="F118:N118">SUM(F116:F117)+F110</f>
        <v>4258500</v>
      </c>
      <c r="G118" s="111">
        <f t="shared" si="11"/>
        <v>2115965</v>
      </c>
      <c r="H118" s="111">
        <f t="shared" si="11"/>
        <v>251100</v>
      </c>
      <c r="I118" s="111">
        <f t="shared" si="11"/>
        <v>59600</v>
      </c>
      <c r="J118" s="111">
        <f t="shared" si="11"/>
        <v>220000</v>
      </c>
      <c r="K118" s="111">
        <f t="shared" si="11"/>
        <v>658892</v>
      </c>
      <c r="L118" s="111">
        <f t="shared" si="11"/>
        <v>2966806</v>
      </c>
      <c r="M118" s="111">
        <f t="shared" si="11"/>
        <v>0</v>
      </c>
      <c r="N118" s="111">
        <f t="shared" si="11"/>
        <v>17959018</v>
      </c>
    </row>
    <row r="119" spans="1:15" s="108" customFormat="1" ht="18.7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30"/>
    </row>
    <row r="120" spans="1:15" s="108" customFormat="1" ht="13.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30"/>
    </row>
    <row r="121" spans="1:14" ht="12.7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50"/>
    </row>
    <row r="122" spans="1:14" ht="12.7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</row>
    <row r="123" spans="1:14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</row>
    <row r="124" spans="1:14" ht="12.7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</row>
    <row r="125" spans="1:14" ht="12.7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1:14" ht="12.7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1:14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1:14" ht="12.7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3:14" ht="12.75"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</row>
    <row r="130" spans="3:14" ht="12.75"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</row>
    <row r="131" spans="3:14" ht="12.75"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</row>
    <row r="132" spans="3:14" ht="12.75"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3:14" ht="12.75"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</row>
    <row r="134" spans="3:14" ht="12.75"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3:14" ht="12.75"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</row>
    <row r="136" spans="3:14" ht="12.75"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3:14" ht="12.7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3:14" ht="12.75"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3:14" ht="12.75"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</row>
    <row r="140" spans="3:14" ht="12.75"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</row>
    <row r="141" spans="3:14" ht="12.75"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</row>
    <row r="142" spans="3:14" ht="12.75"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</row>
    <row r="143" spans="3:14" ht="12.75"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</row>
    <row r="144" spans="3:14" ht="12.75"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</row>
    <row r="145" spans="3:14" ht="12.75"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</row>
  </sheetData>
  <sheetProtection/>
  <mergeCells count="6">
    <mergeCell ref="N1:N2"/>
    <mergeCell ref="D1:J1"/>
    <mergeCell ref="K1:M1"/>
    <mergeCell ref="A1:A2"/>
    <mergeCell ref="B1:B2"/>
    <mergeCell ref="C1:C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85" r:id="rId1"/>
  <headerFooter alignWithMargins="0">
    <oddHeader>&amp;C&amp;"Times New Roman,Félkövér dőlt" ZALAEGERSZEG MEGYEI JOGÚ VÁROS ÖNKORMÁNYZATA
BEVÉTELI ELŐIRÁNYZATAI  2014.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pane ySplit="2" topLeftCell="BM54" activePane="bottomLeft" state="frozen"/>
      <selection pane="topLeft" activeCell="A1" sqref="A1"/>
      <selection pane="bottomLeft" activeCell="C21" sqref="C21:C23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464"/>
      <c r="B1" s="465"/>
      <c r="C1" s="466"/>
      <c r="D1" s="1255" t="s">
        <v>1360</v>
      </c>
      <c r="E1" s="1256"/>
      <c r="F1" s="1256"/>
      <c r="G1" s="1256"/>
      <c r="H1" s="1256"/>
      <c r="I1" s="1256"/>
      <c r="J1" s="1257"/>
      <c r="K1" s="1258" t="s">
        <v>773</v>
      </c>
      <c r="L1" s="1259"/>
      <c r="M1" s="1240"/>
      <c r="N1" s="1241" t="s">
        <v>1348</v>
      </c>
    </row>
    <row r="2" spans="1:14" s="108" customFormat="1" ht="78.75" customHeight="1" thickBot="1">
      <c r="A2" s="467" t="s">
        <v>860</v>
      </c>
      <c r="B2" s="468" t="s">
        <v>861</v>
      </c>
      <c r="C2" s="469" t="s">
        <v>1345</v>
      </c>
      <c r="D2" s="454" t="s">
        <v>1659</v>
      </c>
      <c r="E2" s="454" t="s">
        <v>1660</v>
      </c>
      <c r="F2" s="453" t="s">
        <v>1661</v>
      </c>
      <c r="G2" s="454" t="s">
        <v>1666</v>
      </c>
      <c r="H2" s="454" t="s">
        <v>1667</v>
      </c>
      <c r="I2" s="454" t="s">
        <v>1668</v>
      </c>
      <c r="J2" s="454" t="s">
        <v>1669</v>
      </c>
      <c r="K2" s="454" t="s">
        <v>1361</v>
      </c>
      <c r="L2" s="454" t="s">
        <v>1362</v>
      </c>
      <c r="M2" s="454" t="s">
        <v>1364</v>
      </c>
      <c r="N2" s="1242"/>
    </row>
    <row r="3" spans="1:14" s="108" customFormat="1" ht="12.75" customHeight="1">
      <c r="A3" s="1">
        <v>1</v>
      </c>
      <c r="B3" s="1"/>
      <c r="C3" s="162" t="s">
        <v>1619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70"/>
    </row>
    <row r="4" spans="1:14" s="108" customFormat="1" ht="12.75" customHeight="1">
      <c r="A4" s="1">
        <v>1</v>
      </c>
      <c r="B4" s="1">
        <v>1</v>
      </c>
      <c r="C4" s="471" t="s">
        <v>1547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472"/>
    </row>
    <row r="5" spans="1:14" s="108" customFormat="1" ht="12.75" customHeight="1">
      <c r="A5" s="1">
        <v>1</v>
      </c>
      <c r="B5" s="1">
        <v>12</v>
      </c>
      <c r="C5" s="109" t="s">
        <v>19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472"/>
    </row>
    <row r="6" spans="1:14" s="108" customFormat="1" ht="24" customHeight="1">
      <c r="A6" s="1"/>
      <c r="B6" s="1"/>
      <c r="C6" s="473" t="s">
        <v>623</v>
      </c>
      <c r="D6" s="336"/>
      <c r="E6" s="474"/>
      <c r="F6" s="474"/>
      <c r="G6" s="474"/>
      <c r="H6" s="474"/>
      <c r="I6" s="474"/>
      <c r="J6" s="474"/>
      <c r="K6" s="474"/>
      <c r="L6" s="474"/>
      <c r="M6" s="474"/>
      <c r="N6" s="475"/>
    </row>
    <row r="7" spans="1:14" s="108" customFormat="1" ht="12.75" customHeight="1">
      <c r="A7" s="1"/>
      <c r="B7" s="1"/>
      <c r="C7" s="476" t="s">
        <v>862</v>
      </c>
      <c r="D7" s="115">
        <v>19</v>
      </c>
      <c r="E7" s="474"/>
      <c r="F7" s="474"/>
      <c r="G7" s="474"/>
      <c r="H7" s="474"/>
      <c r="I7" s="474"/>
      <c r="J7" s="474"/>
      <c r="K7" s="474"/>
      <c r="L7" s="474"/>
      <c r="M7" s="474"/>
      <c r="N7" s="475">
        <f>SUM(D7:M7)</f>
        <v>19</v>
      </c>
    </row>
    <row r="8" spans="1:14" s="108" customFormat="1" ht="16.5" customHeight="1">
      <c r="A8" s="110"/>
      <c r="B8" s="110"/>
      <c r="C8" s="111" t="s">
        <v>26</v>
      </c>
      <c r="D8" s="477">
        <f aca="true" t="shared" si="0" ref="D8:N8">SUM(D6:D7)</f>
        <v>19</v>
      </c>
      <c r="E8" s="477">
        <f t="shared" si="0"/>
        <v>0</v>
      </c>
      <c r="F8" s="477">
        <f t="shared" si="0"/>
        <v>0</v>
      </c>
      <c r="G8" s="477">
        <f t="shared" si="0"/>
        <v>0</v>
      </c>
      <c r="H8" s="477">
        <f t="shared" si="0"/>
        <v>0</v>
      </c>
      <c r="I8" s="477">
        <f t="shared" si="0"/>
        <v>0</v>
      </c>
      <c r="J8" s="477">
        <f t="shared" si="0"/>
        <v>0</v>
      </c>
      <c r="K8" s="477">
        <f t="shared" si="0"/>
        <v>0</v>
      </c>
      <c r="L8" s="477">
        <f t="shared" si="0"/>
        <v>0</v>
      </c>
      <c r="M8" s="477">
        <f t="shared" si="0"/>
        <v>0</v>
      </c>
      <c r="N8" s="477">
        <f t="shared" si="0"/>
        <v>19</v>
      </c>
    </row>
    <row r="9" spans="1:14" s="108" customFormat="1" ht="12.75" customHeight="1">
      <c r="A9" s="1">
        <v>1</v>
      </c>
      <c r="B9" s="1">
        <v>13</v>
      </c>
      <c r="C9" s="471" t="s">
        <v>20</v>
      </c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5"/>
    </row>
    <row r="10" spans="1:14" s="108" customFormat="1" ht="12.75" customHeight="1">
      <c r="A10" s="1"/>
      <c r="B10" s="1"/>
      <c r="C10" s="109" t="s">
        <v>1588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5"/>
    </row>
    <row r="11" spans="1:14" s="108" customFormat="1" ht="15" customHeight="1">
      <c r="A11" s="1"/>
      <c r="B11" s="1"/>
      <c r="C11" s="5" t="s">
        <v>167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5"/>
    </row>
    <row r="12" spans="1:14" s="108" customFormat="1" ht="12.75" customHeight="1">
      <c r="A12" s="1"/>
      <c r="B12" s="1"/>
      <c r="C12" s="160" t="s">
        <v>1628</v>
      </c>
      <c r="D12" s="474">
        <v>2230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5">
        <f>SUM(D12:M12)</f>
        <v>2230</v>
      </c>
    </row>
    <row r="13" spans="1:14" s="108" customFormat="1" ht="12.75" customHeight="1">
      <c r="A13" s="1"/>
      <c r="B13" s="1"/>
      <c r="C13" s="41" t="s">
        <v>1261</v>
      </c>
      <c r="D13" s="478"/>
      <c r="E13" s="474"/>
      <c r="F13" s="474"/>
      <c r="G13" s="474"/>
      <c r="H13" s="474"/>
      <c r="I13" s="474"/>
      <c r="J13" s="474"/>
      <c r="K13" s="474"/>
      <c r="L13" s="474"/>
      <c r="M13" s="474"/>
      <c r="N13" s="475"/>
    </row>
    <row r="14" spans="1:14" s="108" customFormat="1" ht="12.75" customHeight="1">
      <c r="A14" s="1"/>
      <c r="B14" s="1"/>
      <c r="C14" s="13" t="s">
        <v>1534</v>
      </c>
      <c r="D14" s="478">
        <v>250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5">
        <f>SUM(D14:M14)</f>
        <v>250</v>
      </c>
    </row>
    <row r="15" spans="1:14" s="108" customFormat="1" ht="12.75" customHeight="1">
      <c r="A15" s="1"/>
      <c r="B15" s="1"/>
      <c r="C15" s="479" t="s">
        <v>1028</v>
      </c>
      <c r="D15" s="480"/>
      <c r="E15" s="474"/>
      <c r="F15" s="474"/>
      <c r="G15" s="474"/>
      <c r="H15" s="474"/>
      <c r="I15" s="474"/>
      <c r="J15" s="474"/>
      <c r="K15" s="474"/>
      <c r="L15" s="474"/>
      <c r="M15" s="474"/>
      <c r="N15" s="475"/>
    </row>
    <row r="16" spans="1:14" s="108" customFormat="1" ht="24.75" customHeight="1">
      <c r="A16" s="1"/>
      <c r="B16" s="1"/>
      <c r="C16" s="41" t="s">
        <v>1258</v>
      </c>
      <c r="D16" s="449"/>
      <c r="E16" s="474"/>
      <c r="F16" s="474"/>
      <c r="G16" s="474"/>
      <c r="H16" s="474"/>
      <c r="I16" s="474"/>
      <c r="J16" s="474"/>
      <c r="K16" s="474"/>
      <c r="L16" s="474"/>
      <c r="M16" s="474"/>
      <c r="N16" s="475"/>
    </row>
    <row r="17" spans="1:14" s="108" customFormat="1" ht="15" customHeight="1">
      <c r="A17" s="1"/>
      <c r="B17" s="1"/>
      <c r="C17" s="236" t="s">
        <v>863</v>
      </c>
      <c r="D17" s="225">
        <v>8200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5">
        <f>SUM(D17:M17)</f>
        <v>8200</v>
      </c>
    </row>
    <row r="18" spans="1:14" s="108" customFormat="1" ht="18.75" customHeight="1">
      <c r="A18" s="2"/>
      <c r="B18" s="2"/>
      <c r="C18" s="111" t="s">
        <v>22</v>
      </c>
      <c r="D18" s="477">
        <f aca="true" t="shared" si="1" ref="D18:N18">SUM(D12:D17)</f>
        <v>10680</v>
      </c>
      <c r="E18" s="477">
        <f t="shared" si="1"/>
        <v>0</v>
      </c>
      <c r="F18" s="477">
        <f t="shared" si="1"/>
        <v>0</v>
      </c>
      <c r="G18" s="477">
        <f t="shared" si="1"/>
        <v>0</v>
      </c>
      <c r="H18" s="477">
        <f t="shared" si="1"/>
        <v>0</v>
      </c>
      <c r="I18" s="477">
        <f t="shared" si="1"/>
        <v>0</v>
      </c>
      <c r="J18" s="477">
        <f t="shared" si="1"/>
        <v>0</v>
      </c>
      <c r="K18" s="477">
        <f t="shared" si="1"/>
        <v>0</v>
      </c>
      <c r="L18" s="477">
        <f t="shared" si="1"/>
        <v>0</v>
      </c>
      <c r="M18" s="477">
        <f t="shared" si="1"/>
        <v>0</v>
      </c>
      <c r="N18" s="477">
        <f t="shared" si="1"/>
        <v>10680</v>
      </c>
    </row>
    <row r="19" spans="1:14" s="108" customFormat="1" ht="12.75" customHeight="1">
      <c r="A19" s="1">
        <v>1</v>
      </c>
      <c r="B19" s="1">
        <v>15</v>
      </c>
      <c r="C19" s="471" t="s">
        <v>1350</v>
      </c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5"/>
    </row>
    <row r="20" spans="1:14" s="108" customFormat="1" ht="12.75" customHeight="1">
      <c r="A20" s="1"/>
      <c r="B20" s="1"/>
      <c r="C20" s="481" t="s">
        <v>864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5"/>
    </row>
    <row r="21" spans="1:14" s="108" customFormat="1" ht="24" customHeight="1">
      <c r="A21" s="1"/>
      <c r="B21" s="1"/>
      <c r="C21" s="170" t="s">
        <v>1417</v>
      </c>
      <c r="D21" s="474"/>
      <c r="E21" s="474">
        <v>484</v>
      </c>
      <c r="F21" s="474"/>
      <c r="G21" s="474"/>
      <c r="H21" s="474"/>
      <c r="I21" s="474"/>
      <c r="J21" s="474"/>
      <c r="K21" s="474"/>
      <c r="L21" s="474"/>
      <c r="M21" s="474"/>
      <c r="N21" s="475">
        <f>SUM(D21:M21)</f>
        <v>484</v>
      </c>
    </row>
    <row r="22" spans="1:14" s="108" customFormat="1" ht="24" customHeight="1">
      <c r="A22" s="1"/>
      <c r="B22" s="1"/>
      <c r="C22" s="371" t="s">
        <v>1219</v>
      </c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5"/>
    </row>
    <row r="23" spans="1:14" s="108" customFormat="1" ht="24" customHeight="1">
      <c r="A23" s="1"/>
      <c r="B23" s="1"/>
      <c r="C23" s="482" t="s">
        <v>865</v>
      </c>
      <c r="D23" s="474">
        <v>445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5">
        <f>SUM(D23:M23)</f>
        <v>445</v>
      </c>
    </row>
    <row r="24" spans="1:14" s="108" customFormat="1" ht="24.75" customHeight="1">
      <c r="A24" s="1"/>
      <c r="B24" s="1"/>
      <c r="C24" s="301" t="s">
        <v>1265</v>
      </c>
      <c r="D24" s="452"/>
      <c r="E24" s="474"/>
      <c r="F24" s="474"/>
      <c r="G24" s="474"/>
      <c r="H24" s="474"/>
      <c r="I24" s="474"/>
      <c r="J24" s="474"/>
      <c r="K24" s="474"/>
      <c r="L24" s="474"/>
      <c r="M24" s="474"/>
      <c r="N24" s="475"/>
    </row>
    <row r="25" spans="1:14" s="108" customFormat="1" ht="24.75" customHeight="1">
      <c r="A25" s="1"/>
      <c r="B25" s="1"/>
      <c r="C25" s="482" t="s">
        <v>866</v>
      </c>
      <c r="D25" s="474"/>
      <c r="E25" s="474"/>
      <c r="F25" s="474"/>
      <c r="G25" s="474"/>
      <c r="H25" s="474"/>
      <c r="I25" s="474"/>
      <c r="J25" s="474">
        <v>746</v>
      </c>
      <c r="K25" s="474"/>
      <c r="L25" s="474"/>
      <c r="M25" s="474"/>
      <c r="N25" s="475">
        <f>SUM(D25:M25)</f>
        <v>746</v>
      </c>
    </row>
    <row r="26" spans="1:14" s="108" customFormat="1" ht="24.75" customHeight="1">
      <c r="A26" s="1"/>
      <c r="B26" s="1"/>
      <c r="C26" s="482" t="s">
        <v>867</v>
      </c>
      <c r="D26" s="474"/>
      <c r="E26" s="474"/>
      <c r="F26" s="474"/>
      <c r="G26" s="474">
        <v>262273</v>
      </c>
      <c r="H26" s="474"/>
      <c r="I26" s="474"/>
      <c r="J26" s="483"/>
      <c r="K26" s="474"/>
      <c r="L26" s="474"/>
      <c r="M26" s="474"/>
      <c r="N26" s="475">
        <f>SUM(D26:M26)</f>
        <v>262273</v>
      </c>
    </row>
    <row r="27" spans="1:14" s="108" customFormat="1" ht="18.75" customHeight="1">
      <c r="A27" s="110"/>
      <c r="B27" s="110"/>
      <c r="C27" s="111" t="s">
        <v>284</v>
      </c>
      <c r="D27" s="477">
        <f aca="true" t="shared" si="2" ref="D27:N27">SUM(D20:D26)</f>
        <v>445</v>
      </c>
      <c r="E27" s="477">
        <f t="shared" si="2"/>
        <v>484</v>
      </c>
      <c r="F27" s="477">
        <f t="shared" si="2"/>
        <v>0</v>
      </c>
      <c r="G27" s="477">
        <f t="shared" si="2"/>
        <v>262273</v>
      </c>
      <c r="H27" s="477">
        <f t="shared" si="2"/>
        <v>0</v>
      </c>
      <c r="I27" s="477">
        <f t="shared" si="2"/>
        <v>0</v>
      </c>
      <c r="J27" s="477">
        <f t="shared" si="2"/>
        <v>746</v>
      </c>
      <c r="K27" s="477">
        <f t="shared" si="2"/>
        <v>0</v>
      </c>
      <c r="L27" s="477">
        <f t="shared" si="2"/>
        <v>0</v>
      </c>
      <c r="M27" s="477">
        <f t="shared" si="2"/>
        <v>0</v>
      </c>
      <c r="N27" s="477">
        <f t="shared" si="2"/>
        <v>263948</v>
      </c>
    </row>
    <row r="28" spans="1:14" s="108" customFormat="1" ht="12.75" customHeight="1">
      <c r="A28" s="1">
        <v>1</v>
      </c>
      <c r="B28" s="1">
        <v>16</v>
      </c>
      <c r="C28" s="471" t="s">
        <v>102</v>
      </c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5"/>
    </row>
    <row r="29" spans="1:14" s="108" customFormat="1" ht="24.75" customHeight="1">
      <c r="A29" s="1"/>
      <c r="B29" s="1"/>
      <c r="C29" s="484" t="s">
        <v>311</v>
      </c>
      <c r="D29" s="478"/>
      <c r="E29" s="474"/>
      <c r="F29" s="474"/>
      <c r="G29" s="474"/>
      <c r="H29" s="474"/>
      <c r="I29" s="474"/>
      <c r="J29" s="474"/>
      <c r="K29" s="474"/>
      <c r="L29" s="474"/>
      <c r="M29" s="474"/>
      <c r="N29" s="475"/>
    </row>
    <row r="30" spans="1:14" s="108" customFormat="1" ht="43.5" customHeight="1">
      <c r="A30" s="1"/>
      <c r="B30" s="1"/>
      <c r="C30" s="485" t="s">
        <v>868</v>
      </c>
      <c r="D30" s="478"/>
      <c r="E30" s="474">
        <v>246905</v>
      </c>
      <c r="F30" s="474"/>
      <c r="G30" s="474"/>
      <c r="H30" s="474"/>
      <c r="I30" s="474"/>
      <c r="J30" s="474"/>
      <c r="K30" s="474"/>
      <c r="L30" s="474"/>
      <c r="M30" s="474"/>
      <c r="N30" s="475">
        <f>SUM(D30:M30)</f>
        <v>246905</v>
      </c>
    </row>
    <row r="31" spans="1:14" s="108" customFormat="1" ht="19.5" customHeight="1">
      <c r="A31" s="2"/>
      <c r="B31" s="2"/>
      <c r="C31" s="111" t="s">
        <v>105</v>
      </c>
      <c r="D31" s="477">
        <f aca="true" t="shared" si="3" ref="D31:N31">SUM(D30:D30)</f>
        <v>0</v>
      </c>
      <c r="E31" s="477">
        <f t="shared" si="3"/>
        <v>246905</v>
      </c>
      <c r="F31" s="477">
        <f t="shared" si="3"/>
        <v>0</v>
      </c>
      <c r="G31" s="477">
        <f t="shared" si="3"/>
        <v>0</v>
      </c>
      <c r="H31" s="477">
        <f t="shared" si="3"/>
        <v>0</v>
      </c>
      <c r="I31" s="477">
        <f t="shared" si="3"/>
        <v>0</v>
      </c>
      <c r="J31" s="477">
        <f t="shared" si="3"/>
        <v>0</v>
      </c>
      <c r="K31" s="477">
        <f t="shared" si="3"/>
        <v>0</v>
      </c>
      <c r="L31" s="477">
        <f t="shared" si="3"/>
        <v>0</v>
      </c>
      <c r="M31" s="477">
        <f t="shared" si="3"/>
        <v>0</v>
      </c>
      <c r="N31" s="477">
        <f t="shared" si="3"/>
        <v>246905</v>
      </c>
    </row>
    <row r="32" spans="1:14" s="108" customFormat="1" ht="12.75" customHeight="1">
      <c r="A32" s="1">
        <v>1</v>
      </c>
      <c r="B32" s="1">
        <v>17</v>
      </c>
      <c r="C32" s="471" t="s">
        <v>1351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5"/>
    </row>
    <row r="33" spans="1:14" s="108" customFormat="1" ht="24.75" customHeight="1">
      <c r="A33" s="1"/>
      <c r="B33" s="1"/>
      <c r="C33" s="5" t="s">
        <v>419</v>
      </c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5"/>
    </row>
    <row r="34" spans="1:14" s="108" customFormat="1" ht="15" customHeight="1">
      <c r="A34" s="1"/>
      <c r="B34" s="1"/>
      <c r="C34" s="123" t="s">
        <v>659</v>
      </c>
      <c r="D34" s="474"/>
      <c r="E34" s="474"/>
      <c r="F34" s="474"/>
      <c r="G34" s="474">
        <v>-100000</v>
      </c>
      <c r="H34" s="474"/>
      <c r="I34" s="474"/>
      <c r="J34" s="474"/>
      <c r="K34" s="474"/>
      <c r="L34" s="474"/>
      <c r="M34" s="474"/>
      <c r="N34" s="475">
        <f>SUM(D34:M34)</f>
        <v>-100000</v>
      </c>
    </row>
    <row r="35" spans="1:14" s="108" customFormat="1" ht="24.75" customHeight="1">
      <c r="A35" s="1"/>
      <c r="B35" s="1"/>
      <c r="C35" s="486" t="s">
        <v>869</v>
      </c>
      <c r="D35" s="474"/>
      <c r="E35" s="474"/>
      <c r="F35" s="474"/>
      <c r="G35" s="474">
        <v>13970</v>
      </c>
      <c r="H35" s="474"/>
      <c r="I35" s="474"/>
      <c r="J35" s="474"/>
      <c r="K35" s="474"/>
      <c r="L35" s="474"/>
      <c r="M35" s="474"/>
      <c r="N35" s="475">
        <f>SUM(D35:M35)</f>
        <v>13970</v>
      </c>
    </row>
    <row r="36" spans="1:14" s="108" customFormat="1" ht="24.75" customHeight="1">
      <c r="A36" s="1"/>
      <c r="B36" s="1"/>
      <c r="C36" s="145" t="s">
        <v>174</v>
      </c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5"/>
    </row>
    <row r="37" spans="1:14" s="108" customFormat="1" ht="15" customHeight="1">
      <c r="A37" s="1"/>
      <c r="B37" s="1"/>
      <c r="C37" s="487" t="s">
        <v>870</v>
      </c>
      <c r="D37" s="474"/>
      <c r="E37" s="474"/>
      <c r="F37" s="474"/>
      <c r="G37" s="474">
        <v>879</v>
      </c>
      <c r="H37" s="474"/>
      <c r="I37" s="474"/>
      <c r="J37" s="474"/>
      <c r="K37" s="474"/>
      <c r="L37" s="474"/>
      <c r="M37" s="474"/>
      <c r="N37" s="475">
        <f>SUM(D37:M37)</f>
        <v>879</v>
      </c>
    </row>
    <row r="38" spans="1:14" s="108" customFormat="1" ht="24.75" customHeight="1">
      <c r="A38" s="1"/>
      <c r="B38" s="1"/>
      <c r="C38" s="324" t="s">
        <v>420</v>
      </c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5"/>
    </row>
    <row r="39" spans="1:14" s="108" customFormat="1" ht="24.75" customHeight="1">
      <c r="A39" s="1"/>
      <c r="B39" s="1"/>
      <c r="C39" s="487" t="s">
        <v>871</v>
      </c>
      <c r="D39" s="474"/>
      <c r="E39" s="474"/>
      <c r="F39" s="474"/>
      <c r="G39" s="474"/>
      <c r="H39" s="474"/>
      <c r="I39" s="474"/>
      <c r="J39" s="474"/>
      <c r="K39" s="474"/>
      <c r="L39" s="474">
        <v>266456</v>
      </c>
      <c r="M39" s="474"/>
      <c r="N39" s="475">
        <f>SUM(D39:M39)</f>
        <v>266456</v>
      </c>
    </row>
    <row r="40" spans="1:14" s="108" customFormat="1" ht="24.75" customHeight="1">
      <c r="A40" s="1"/>
      <c r="B40" s="1"/>
      <c r="C40" s="487" t="s">
        <v>872</v>
      </c>
      <c r="D40" s="474"/>
      <c r="E40" s="474"/>
      <c r="F40" s="474"/>
      <c r="G40" s="474"/>
      <c r="H40" s="474"/>
      <c r="I40" s="474"/>
      <c r="J40" s="474"/>
      <c r="K40" s="474"/>
      <c r="L40" s="474">
        <v>-301456</v>
      </c>
      <c r="M40" s="474"/>
      <c r="N40" s="475">
        <f>SUM(D40:M40)</f>
        <v>-301456</v>
      </c>
    </row>
    <row r="41" spans="1:14" s="108" customFormat="1" ht="16.5" customHeight="1">
      <c r="A41" s="110"/>
      <c r="B41" s="110"/>
      <c r="C41" s="111" t="s">
        <v>282</v>
      </c>
      <c r="D41" s="477">
        <f aca="true" t="shared" si="4" ref="D41:N41">SUM(D33:D40)</f>
        <v>0</v>
      </c>
      <c r="E41" s="477">
        <f t="shared" si="4"/>
        <v>0</v>
      </c>
      <c r="F41" s="477">
        <f t="shared" si="4"/>
        <v>0</v>
      </c>
      <c r="G41" s="477">
        <f t="shared" si="4"/>
        <v>-85151</v>
      </c>
      <c r="H41" s="477">
        <f t="shared" si="4"/>
        <v>0</v>
      </c>
      <c r="I41" s="477">
        <f t="shared" si="4"/>
        <v>0</v>
      </c>
      <c r="J41" s="477">
        <f t="shared" si="4"/>
        <v>0</v>
      </c>
      <c r="K41" s="477">
        <f t="shared" si="4"/>
        <v>0</v>
      </c>
      <c r="L41" s="477">
        <f t="shared" si="4"/>
        <v>-35000</v>
      </c>
      <c r="M41" s="477">
        <f t="shared" si="4"/>
        <v>0</v>
      </c>
      <c r="N41" s="477">
        <f t="shared" si="4"/>
        <v>-120151</v>
      </c>
    </row>
    <row r="42" spans="1:14" s="108" customFormat="1" ht="12.75" customHeight="1">
      <c r="A42" s="1">
        <v>1</v>
      </c>
      <c r="B42" s="1">
        <v>18</v>
      </c>
      <c r="C42" s="471" t="s">
        <v>662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5"/>
    </row>
    <row r="43" spans="1:14" s="108" customFormat="1" ht="12.75" customHeight="1">
      <c r="A43" s="1"/>
      <c r="B43" s="1"/>
      <c r="C43" s="471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5">
        <f>SUM(D43:M43)</f>
        <v>0</v>
      </c>
    </row>
    <row r="44" spans="1:14" s="108" customFormat="1" ht="18.75" customHeight="1">
      <c r="A44" s="2"/>
      <c r="B44" s="2"/>
      <c r="C44" s="111" t="s">
        <v>873</v>
      </c>
      <c r="D44" s="477">
        <f aca="true" t="shared" si="5" ref="D44:N44">SUM(D43:D43)</f>
        <v>0</v>
      </c>
      <c r="E44" s="477">
        <f t="shared" si="5"/>
        <v>0</v>
      </c>
      <c r="F44" s="477">
        <f t="shared" si="5"/>
        <v>0</v>
      </c>
      <c r="G44" s="477">
        <f t="shared" si="5"/>
        <v>0</v>
      </c>
      <c r="H44" s="477">
        <f t="shared" si="5"/>
        <v>0</v>
      </c>
      <c r="I44" s="477">
        <f t="shared" si="5"/>
        <v>0</v>
      </c>
      <c r="J44" s="477">
        <f t="shared" si="5"/>
        <v>0</v>
      </c>
      <c r="K44" s="477">
        <f t="shared" si="5"/>
        <v>0</v>
      </c>
      <c r="L44" s="477">
        <f t="shared" si="5"/>
        <v>0</v>
      </c>
      <c r="M44" s="477">
        <f t="shared" si="5"/>
        <v>0</v>
      </c>
      <c r="N44" s="477">
        <f t="shared" si="5"/>
        <v>0</v>
      </c>
    </row>
    <row r="45" spans="1:14" s="108" customFormat="1" ht="15" customHeight="1">
      <c r="A45" s="1">
        <v>1</v>
      </c>
      <c r="B45" s="1">
        <v>19</v>
      </c>
      <c r="C45" s="471" t="s">
        <v>676</v>
      </c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5"/>
    </row>
    <row r="46" spans="1:14" s="108" customFormat="1" ht="24.75" customHeight="1">
      <c r="A46" s="1"/>
      <c r="B46" s="1"/>
      <c r="C46" s="5" t="s">
        <v>312</v>
      </c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5"/>
    </row>
    <row r="47" spans="1:14" s="108" customFormat="1" ht="39" customHeight="1">
      <c r="A47" s="1"/>
      <c r="B47" s="1"/>
      <c r="C47" s="118" t="s">
        <v>874</v>
      </c>
      <c r="D47" s="474">
        <v>124385</v>
      </c>
      <c r="E47" s="474"/>
      <c r="F47" s="474"/>
      <c r="G47" s="474"/>
      <c r="H47" s="474"/>
      <c r="I47" s="474"/>
      <c r="J47" s="474"/>
      <c r="K47" s="474"/>
      <c r="L47" s="474"/>
      <c r="M47" s="474"/>
      <c r="N47" s="475">
        <f>SUM(D47:M47)</f>
        <v>124385</v>
      </c>
    </row>
    <row r="48" spans="1:14" s="108" customFormat="1" ht="15" customHeight="1">
      <c r="A48" s="1"/>
      <c r="B48" s="1"/>
      <c r="C48" s="109" t="s">
        <v>875</v>
      </c>
      <c r="D48" s="474">
        <v>18425</v>
      </c>
      <c r="E48" s="474">
        <v>40010</v>
      </c>
      <c r="F48" s="474"/>
      <c r="G48" s="474"/>
      <c r="H48" s="474"/>
      <c r="I48" s="474"/>
      <c r="J48" s="474"/>
      <c r="K48" s="474"/>
      <c r="L48" s="474"/>
      <c r="M48" s="474"/>
      <c r="N48" s="475">
        <f>SUM(D48:M48)</f>
        <v>58435</v>
      </c>
    </row>
    <row r="49" spans="1:14" s="108" customFormat="1" ht="15" customHeight="1">
      <c r="A49" s="1"/>
      <c r="B49" s="1"/>
      <c r="C49" s="109" t="s">
        <v>876</v>
      </c>
      <c r="D49" s="478">
        <v>26722</v>
      </c>
      <c r="E49" s="474">
        <v>1242223</v>
      </c>
      <c r="F49" s="474"/>
      <c r="G49" s="474"/>
      <c r="H49" s="474"/>
      <c r="I49" s="474"/>
      <c r="J49" s="474"/>
      <c r="K49" s="474"/>
      <c r="L49" s="474"/>
      <c r="M49" s="474"/>
      <c r="N49" s="475">
        <f>SUM(D49:M49)</f>
        <v>1268945</v>
      </c>
    </row>
    <row r="50" spans="1:14" s="108" customFormat="1" ht="24.75" customHeight="1">
      <c r="A50" s="1"/>
      <c r="B50" s="1"/>
      <c r="C50" s="488" t="s">
        <v>162</v>
      </c>
      <c r="D50" s="478"/>
      <c r="E50" s="474"/>
      <c r="F50" s="474"/>
      <c r="G50" s="474"/>
      <c r="H50" s="474"/>
      <c r="I50" s="474"/>
      <c r="J50" s="474"/>
      <c r="K50" s="474"/>
      <c r="L50" s="474"/>
      <c r="M50" s="474"/>
      <c r="N50" s="475"/>
    </row>
    <row r="51" spans="1:14" s="108" customFormat="1" ht="15" customHeight="1">
      <c r="A51" s="1"/>
      <c r="B51" s="1"/>
      <c r="C51" s="488" t="s">
        <v>877</v>
      </c>
      <c r="D51" s="478"/>
      <c r="E51" s="474"/>
      <c r="F51" s="474"/>
      <c r="G51" s="474">
        <v>69597</v>
      </c>
      <c r="H51" s="474"/>
      <c r="I51" s="474"/>
      <c r="J51" s="474"/>
      <c r="K51" s="474"/>
      <c r="L51" s="474"/>
      <c r="M51" s="474"/>
      <c r="N51" s="475">
        <f>SUM(D51:M51)</f>
        <v>69597</v>
      </c>
    </row>
    <row r="52" spans="1:14" s="108" customFormat="1" ht="15" customHeight="1">
      <c r="A52" s="1"/>
      <c r="B52" s="1"/>
      <c r="C52" s="489" t="s">
        <v>878</v>
      </c>
      <c r="D52" s="478">
        <v>5300</v>
      </c>
      <c r="E52" s="474"/>
      <c r="F52" s="474"/>
      <c r="G52" s="474"/>
      <c r="H52" s="474"/>
      <c r="I52" s="474"/>
      <c r="J52" s="474"/>
      <c r="K52" s="474"/>
      <c r="L52" s="474"/>
      <c r="M52" s="474"/>
      <c r="N52" s="475">
        <f>SUM(D52:M52)</f>
        <v>5300</v>
      </c>
    </row>
    <row r="53" spans="1:14" s="108" customFormat="1" ht="24.75" customHeight="1">
      <c r="A53" s="1"/>
      <c r="B53" s="1"/>
      <c r="C53" s="160" t="s">
        <v>879</v>
      </c>
      <c r="D53" s="478">
        <v>17293</v>
      </c>
      <c r="E53" s="474"/>
      <c r="F53" s="474"/>
      <c r="G53" s="474"/>
      <c r="H53" s="474"/>
      <c r="I53" s="474"/>
      <c r="J53" s="474"/>
      <c r="K53" s="474"/>
      <c r="L53" s="474"/>
      <c r="M53" s="474"/>
      <c r="N53" s="475">
        <f>SUM(D53:M53)</f>
        <v>17293</v>
      </c>
    </row>
    <row r="54" spans="1:14" s="108" customFormat="1" ht="15" customHeight="1">
      <c r="A54" s="1"/>
      <c r="B54" s="1"/>
      <c r="C54" s="138" t="s">
        <v>880</v>
      </c>
      <c r="D54" s="478"/>
      <c r="E54" s="474"/>
      <c r="F54" s="474"/>
      <c r="G54" s="474">
        <v>1700</v>
      </c>
      <c r="H54" s="474"/>
      <c r="I54" s="474"/>
      <c r="J54" s="474"/>
      <c r="K54" s="474"/>
      <c r="L54" s="474"/>
      <c r="M54" s="474"/>
      <c r="N54" s="475">
        <f>SUM(D54:M54)</f>
        <v>1700</v>
      </c>
    </row>
    <row r="55" spans="1:14" s="108" customFormat="1" ht="24.75" customHeight="1">
      <c r="A55" s="1"/>
      <c r="B55" s="1"/>
      <c r="C55" s="371" t="s">
        <v>881</v>
      </c>
      <c r="D55" s="478">
        <v>1738</v>
      </c>
      <c r="E55" s="474"/>
      <c r="F55" s="474"/>
      <c r="G55" s="474"/>
      <c r="H55" s="474"/>
      <c r="I55" s="474"/>
      <c r="J55" s="474"/>
      <c r="K55" s="474"/>
      <c r="L55" s="474"/>
      <c r="M55" s="474"/>
      <c r="N55" s="475">
        <f>SUM(D55:M55)</f>
        <v>1738</v>
      </c>
    </row>
    <row r="56" spans="1:14" s="108" customFormat="1" ht="24.75" customHeight="1">
      <c r="A56" s="1"/>
      <c r="B56" s="1"/>
      <c r="C56" s="324" t="s">
        <v>420</v>
      </c>
      <c r="D56" s="478"/>
      <c r="E56" s="474"/>
      <c r="F56" s="474"/>
      <c r="G56" s="474"/>
      <c r="H56" s="474"/>
      <c r="I56" s="474"/>
      <c r="J56" s="474"/>
      <c r="K56" s="474"/>
      <c r="L56" s="474"/>
      <c r="M56" s="474"/>
      <c r="N56" s="475"/>
    </row>
    <row r="57" spans="1:14" s="108" customFormat="1" ht="24.75" customHeight="1">
      <c r="A57" s="1"/>
      <c r="B57" s="1"/>
      <c r="C57" s="118" t="s">
        <v>321</v>
      </c>
      <c r="D57" s="478"/>
      <c r="E57" s="474"/>
      <c r="F57" s="474"/>
      <c r="G57" s="474"/>
      <c r="H57" s="474"/>
      <c r="I57" s="474"/>
      <c r="J57" s="474"/>
      <c r="K57" s="474"/>
      <c r="L57" s="474">
        <v>168987</v>
      </c>
      <c r="M57" s="474"/>
      <c r="N57" s="475">
        <f>SUM(D57:M57)</f>
        <v>168987</v>
      </c>
    </row>
    <row r="58" spans="1:14" s="108" customFormat="1" ht="15" customHeight="1">
      <c r="A58" s="1"/>
      <c r="B58" s="1"/>
      <c r="C58" s="171" t="s">
        <v>882</v>
      </c>
      <c r="D58" s="478"/>
      <c r="E58" s="474"/>
      <c r="F58" s="474"/>
      <c r="G58" s="474"/>
      <c r="H58" s="474"/>
      <c r="I58" s="474"/>
      <c r="J58" s="474"/>
      <c r="K58" s="474"/>
      <c r="L58" s="474">
        <v>169168</v>
      </c>
      <c r="M58" s="474"/>
      <c r="N58" s="475">
        <f>SUM(D58:M58)</f>
        <v>169168</v>
      </c>
    </row>
    <row r="59" spans="1:14" s="108" customFormat="1" ht="12.75" customHeight="1">
      <c r="A59" s="2"/>
      <c r="B59" s="110"/>
      <c r="C59" s="111" t="s">
        <v>678</v>
      </c>
      <c r="D59" s="477">
        <f aca="true" t="shared" si="6" ref="D59:N59">SUM(D45:D58)</f>
        <v>193863</v>
      </c>
      <c r="E59" s="477">
        <f t="shared" si="6"/>
        <v>1282233</v>
      </c>
      <c r="F59" s="477">
        <f t="shared" si="6"/>
        <v>0</v>
      </c>
      <c r="G59" s="477">
        <f t="shared" si="6"/>
        <v>71297</v>
      </c>
      <c r="H59" s="477">
        <f t="shared" si="6"/>
        <v>0</v>
      </c>
      <c r="I59" s="477">
        <f t="shared" si="6"/>
        <v>0</v>
      </c>
      <c r="J59" s="477">
        <f t="shared" si="6"/>
        <v>0</v>
      </c>
      <c r="K59" s="477">
        <f t="shared" si="6"/>
        <v>0</v>
      </c>
      <c r="L59" s="477">
        <f t="shared" si="6"/>
        <v>338155</v>
      </c>
      <c r="M59" s="477">
        <f t="shared" si="6"/>
        <v>0</v>
      </c>
      <c r="N59" s="477">
        <f t="shared" si="6"/>
        <v>1885548</v>
      </c>
    </row>
    <row r="60" spans="1:14" s="108" customFormat="1" ht="12.75" customHeight="1">
      <c r="A60" s="114">
        <v>1</v>
      </c>
      <c r="B60" s="114">
        <v>20</v>
      </c>
      <c r="C60" s="117" t="s">
        <v>1548</v>
      </c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</row>
    <row r="61" spans="1:14" s="108" customFormat="1" ht="12.75" customHeight="1">
      <c r="A61" s="114"/>
      <c r="B61" s="114"/>
      <c r="C61" s="113"/>
      <c r="D61" s="490"/>
      <c r="E61" s="490"/>
      <c r="F61" s="483"/>
      <c r="G61" s="490"/>
      <c r="H61" s="490"/>
      <c r="I61" s="490"/>
      <c r="J61" s="490"/>
      <c r="K61" s="490"/>
      <c r="L61" s="490"/>
      <c r="M61" s="490"/>
      <c r="N61" s="490">
        <f>SUM(D61:M61)</f>
        <v>0</v>
      </c>
    </row>
    <row r="62" spans="1:14" s="108" customFormat="1" ht="12.75" customHeight="1">
      <c r="A62" s="2"/>
      <c r="B62" s="110"/>
      <c r="C62" s="111" t="s">
        <v>883</v>
      </c>
      <c r="D62" s="477">
        <f aca="true" t="shared" si="7" ref="D62:N62">SUM(D60:D61)</f>
        <v>0</v>
      </c>
      <c r="E62" s="477">
        <f t="shared" si="7"/>
        <v>0</v>
      </c>
      <c r="F62" s="477">
        <f t="shared" si="7"/>
        <v>0</v>
      </c>
      <c r="G62" s="477">
        <f t="shared" si="7"/>
        <v>0</v>
      </c>
      <c r="H62" s="477">
        <f t="shared" si="7"/>
        <v>0</v>
      </c>
      <c r="I62" s="477">
        <f t="shared" si="7"/>
        <v>0</v>
      </c>
      <c r="J62" s="477">
        <f t="shared" si="7"/>
        <v>0</v>
      </c>
      <c r="K62" s="477">
        <f t="shared" si="7"/>
        <v>0</v>
      </c>
      <c r="L62" s="477">
        <f t="shared" si="7"/>
        <v>0</v>
      </c>
      <c r="M62" s="477">
        <f t="shared" si="7"/>
        <v>0</v>
      </c>
      <c r="N62" s="477">
        <f t="shared" si="7"/>
        <v>0</v>
      </c>
    </row>
    <row r="63" spans="1:14" s="108" customFormat="1" ht="12.75" customHeight="1">
      <c r="A63" s="114">
        <v>1</v>
      </c>
      <c r="B63" s="114">
        <v>22</v>
      </c>
      <c r="C63" s="117" t="s">
        <v>1279</v>
      </c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</row>
    <row r="64" spans="1:14" s="108" customFormat="1" ht="12.75" customHeight="1">
      <c r="A64" s="114"/>
      <c r="B64" s="116"/>
      <c r="C64" s="491"/>
      <c r="D64" s="490"/>
      <c r="E64" s="483"/>
      <c r="F64" s="483"/>
      <c r="G64" s="483"/>
      <c r="H64" s="483"/>
      <c r="I64" s="483"/>
      <c r="J64" s="483"/>
      <c r="K64" s="483"/>
      <c r="L64" s="483"/>
      <c r="M64" s="483"/>
      <c r="N64" s="483">
        <f>SUM(D64:M64)</f>
        <v>0</v>
      </c>
    </row>
    <row r="65" spans="1:14" s="108" customFormat="1" ht="12.75" customHeight="1">
      <c r="A65" s="2"/>
      <c r="B65" s="110"/>
      <c r="C65" s="111" t="s">
        <v>1281</v>
      </c>
      <c r="D65" s="477">
        <f aca="true" t="shared" si="8" ref="D65:N65">SUM(D64:D64)</f>
        <v>0</v>
      </c>
      <c r="E65" s="477">
        <f t="shared" si="8"/>
        <v>0</v>
      </c>
      <c r="F65" s="477">
        <f t="shared" si="8"/>
        <v>0</v>
      </c>
      <c r="G65" s="477">
        <f t="shared" si="8"/>
        <v>0</v>
      </c>
      <c r="H65" s="477">
        <f t="shared" si="8"/>
        <v>0</v>
      </c>
      <c r="I65" s="477">
        <f t="shared" si="8"/>
        <v>0</v>
      </c>
      <c r="J65" s="477">
        <f t="shared" si="8"/>
        <v>0</v>
      </c>
      <c r="K65" s="477">
        <f t="shared" si="8"/>
        <v>0</v>
      </c>
      <c r="L65" s="477">
        <f t="shared" si="8"/>
        <v>0</v>
      </c>
      <c r="M65" s="477">
        <f t="shared" si="8"/>
        <v>0</v>
      </c>
      <c r="N65" s="477">
        <f t="shared" si="8"/>
        <v>0</v>
      </c>
    </row>
    <row r="66" spans="1:14" s="108" customFormat="1" ht="25.5" customHeight="1">
      <c r="A66" s="110"/>
      <c r="B66" s="110"/>
      <c r="C66" s="492" t="s">
        <v>805</v>
      </c>
      <c r="D66" s="477">
        <f aca="true" t="shared" si="9" ref="D66:N66">SUM(D8+D18+D27+D31+D41+D44+D59+D62+D65)</f>
        <v>205007</v>
      </c>
      <c r="E66" s="477">
        <f t="shared" si="9"/>
        <v>1529622</v>
      </c>
      <c r="F66" s="477">
        <f t="shared" si="9"/>
        <v>0</v>
      </c>
      <c r="G66" s="477">
        <f t="shared" si="9"/>
        <v>248419</v>
      </c>
      <c r="H66" s="477">
        <f t="shared" si="9"/>
        <v>0</v>
      </c>
      <c r="I66" s="477">
        <f t="shared" si="9"/>
        <v>0</v>
      </c>
      <c r="J66" s="477">
        <f t="shared" si="9"/>
        <v>746</v>
      </c>
      <c r="K66" s="477">
        <f t="shared" si="9"/>
        <v>0</v>
      </c>
      <c r="L66" s="477">
        <f t="shared" si="9"/>
        <v>303155</v>
      </c>
      <c r="M66" s="477">
        <f t="shared" si="9"/>
        <v>0</v>
      </c>
      <c r="N66" s="477">
        <f t="shared" si="9"/>
        <v>2286949</v>
      </c>
    </row>
    <row r="67" spans="1:14" s="108" customFormat="1" ht="15" customHeight="1">
      <c r="A67" s="114">
        <v>2</v>
      </c>
      <c r="B67" s="116"/>
      <c r="C67" s="113" t="s">
        <v>1621</v>
      </c>
      <c r="D67" s="483">
        <f>'[1]táj.1.'!C20</f>
        <v>40614</v>
      </c>
      <c r="E67" s="483">
        <f>'[1]táj.1.'!D20</f>
        <v>37876</v>
      </c>
      <c r="F67" s="483">
        <f>'[1]táj.1.'!E20</f>
        <v>0</v>
      </c>
      <c r="G67" s="483">
        <f>'[1]táj.1.'!F20</f>
        <v>10900</v>
      </c>
      <c r="H67" s="483">
        <f>'[1]táj.1.'!G20</f>
        <v>0</v>
      </c>
      <c r="I67" s="483">
        <f>'[1]táj.1.'!H20</f>
        <v>394</v>
      </c>
      <c r="J67" s="483">
        <f>'[1]táj.1.'!I20</f>
        <v>0</v>
      </c>
      <c r="K67" s="483"/>
      <c r="L67" s="483">
        <f>'[1]táj.1.'!J20</f>
        <v>200339</v>
      </c>
      <c r="M67" s="483">
        <f>'[1]táj.1.'!L20</f>
        <v>0</v>
      </c>
      <c r="N67" s="483">
        <f>SUM(D67:M67)</f>
        <v>290123</v>
      </c>
    </row>
    <row r="68" spans="1:14" s="108" customFormat="1" ht="15" customHeight="1">
      <c r="A68" s="110"/>
      <c r="B68" s="110"/>
      <c r="C68" s="111" t="s">
        <v>1599</v>
      </c>
      <c r="D68" s="477">
        <f aca="true" t="shared" si="10" ref="D68:N68">SUM(D66:D67)</f>
        <v>245621</v>
      </c>
      <c r="E68" s="477">
        <f t="shared" si="10"/>
        <v>1567498</v>
      </c>
      <c r="F68" s="477">
        <f t="shared" si="10"/>
        <v>0</v>
      </c>
      <c r="G68" s="477">
        <f t="shared" si="10"/>
        <v>259319</v>
      </c>
      <c r="H68" s="477">
        <f t="shared" si="10"/>
        <v>0</v>
      </c>
      <c r="I68" s="477">
        <f t="shared" si="10"/>
        <v>394</v>
      </c>
      <c r="J68" s="477">
        <f t="shared" si="10"/>
        <v>746</v>
      </c>
      <c r="K68" s="477">
        <f t="shared" si="10"/>
        <v>0</v>
      </c>
      <c r="L68" s="477">
        <f t="shared" si="10"/>
        <v>503494</v>
      </c>
      <c r="M68" s="477">
        <f t="shared" si="10"/>
        <v>0</v>
      </c>
      <c r="N68" s="477">
        <f t="shared" si="10"/>
        <v>2577072</v>
      </c>
    </row>
    <row r="69" spans="1:14" s="108" customFormat="1" ht="13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50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1:14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1:14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3:14" ht="12.75"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3:14" ht="12.7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AZ I. NEGYEDÉVBEN&amp;R&amp;"Times New Roman,Normál"5.a  melléklet mód.
Adatok: ezer Ft-ban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D1">
      <pane ySplit="2" topLeftCell="BM57" activePane="bottomLeft" state="frozen"/>
      <selection pane="topLeft" activeCell="A1" sqref="A1"/>
      <selection pane="bottomLeft" activeCell="D66" sqref="D66:L66"/>
    </sheetView>
  </sheetViews>
  <sheetFormatPr defaultColWidth="9.00390625" defaultRowHeight="12.75"/>
  <cols>
    <col min="1" max="1" width="5.625" style="124" customWidth="1"/>
    <col min="2" max="2" width="6.375" style="124" customWidth="1"/>
    <col min="3" max="3" width="39.00390625" style="124" customWidth="1"/>
    <col min="4" max="4" width="11.125" style="124" customWidth="1"/>
    <col min="5" max="5" width="11.375" style="124" customWidth="1"/>
    <col min="6" max="6" width="11.875" style="124" customWidth="1"/>
    <col min="7" max="7" width="9.875" style="124" customWidth="1"/>
    <col min="8" max="8" width="10.625" style="124" customWidth="1"/>
    <col min="9" max="9" width="11.375" style="124" customWidth="1"/>
    <col min="10" max="10" width="12.50390625" style="124" customWidth="1"/>
    <col min="11" max="11" width="11.625" style="124" customWidth="1"/>
    <col min="12" max="12" width="12.875" style="124" customWidth="1"/>
    <col min="13" max="13" width="11.375" style="124" customWidth="1"/>
    <col min="14" max="14" width="12.625" style="124" customWidth="1"/>
    <col min="15" max="16384" width="9.375" style="124" customWidth="1"/>
  </cols>
  <sheetData>
    <row r="1" spans="1:14" s="108" customFormat="1" ht="16.5" customHeight="1">
      <c r="A1" s="1068"/>
      <c r="B1" s="1069"/>
      <c r="C1" s="1070"/>
      <c r="D1" s="1243" t="s">
        <v>1360</v>
      </c>
      <c r="E1" s="1244"/>
      <c r="F1" s="1244"/>
      <c r="G1" s="1244"/>
      <c r="H1" s="1244"/>
      <c r="I1" s="1244"/>
      <c r="J1" s="1245"/>
      <c r="K1" s="1246" t="s">
        <v>773</v>
      </c>
      <c r="L1" s="1247"/>
      <c r="M1" s="1248"/>
      <c r="N1" s="1249" t="s">
        <v>1348</v>
      </c>
    </row>
    <row r="2" spans="1:14" s="108" customFormat="1" ht="78.75" customHeight="1" thickBot="1">
      <c r="A2" s="1071" t="s">
        <v>860</v>
      </c>
      <c r="B2" s="1072" t="s">
        <v>861</v>
      </c>
      <c r="C2" s="1073" t="s">
        <v>1345</v>
      </c>
      <c r="D2" s="677" t="s">
        <v>1659</v>
      </c>
      <c r="E2" s="677" t="s">
        <v>1660</v>
      </c>
      <c r="F2" s="676" t="s">
        <v>1661</v>
      </c>
      <c r="G2" s="677" t="s">
        <v>1666</v>
      </c>
      <c r="H2" s="677" t="s">
        <v>1667</v>
      </c>
      <c r="I2" s="677" t="s">
        <v>1668</v>
      </c>
      <c r="J2" s="677" t="s">
        <v>1669</v>
      </c>
      <c r="K2" s="677" t="s">
        <v>1361</v>
      </c>
      <c r="L2" s="677" t="s">
        <v>1362</v>
      </c>
      <c r="M2" s="677" t="s">
        <v>1364</v>
      </c>
      <c r="N2" s="1250"/>
    </row>
    <row r="3" spans="1:14" s="108" customFormat="1" ht="12.75" customHeight="1">
      <c r="A3" s="1074">
        <v>1</v>
      </c>
      <c r="B3" s="1074"/>
      <c r="C3" s="1075" t="s">
        <v>1619</v>
      </c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7"/>
    </row>
    <row r="4" spans="1:14" s="108" customFormat="1" ht="12.75" customHeight="1">
      <c r="A4" s="1074">
        <v>1</v>
      </c>
      <c r="B4" s="1074">
        <v>1</v>
      </c>
      <c r="C4" s="1078" t="s">
        <v>1547</v>
      </c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80"/>
    </row>
    <row r="5" spans="1:14" s="108" customFormat="1" ht="12.75" customHeight="1">
      <c r="A5" s="1074">
        <v>1</v>
      </c>
      <c r="B5" s="1074">
        <v>12</v>
      </c>
      <c r="C5" s="1078" t="s">
        <v>19</v>
      </c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80"/>
    </row>
    <row r="6" spans="1:14" s="108" customFormat="1" ht="24" customHeight="1">
      <c r="A6" s="1081"/>
      <c r="B6" s="1081"/>
      <c r="C6" s="1082" t="s">
        <v>623</v>
      </c>
      <c r="D6" s="1083"/>
      <c r="E6" s="1084"/>
      <c r="F6" s="1084"/>
      <c r="G6" s="1084"/>
      <c r="H6" s="1084"/>
      <c r="I6" s="1084"/>
      <c r="J6" s="1084"/>
      <c r="K6" s="1084"/>
      <c r="L6" s="1084"/>
      <c r="M6" s="1084"/>
      <c r="N6" s="1085"/>
    </row>
    <row r="7" spans="1:14" s="108" customFormat="1" ht="12.75" customHeight="1">
      <c r="A7" s="1081"/>
      <c r="B7" s="1081"/>
      <c r="C7" s="1086" t="s">
        <v>862</v>
      </c>
      <c r="D7" s="1087">
        <v>56</v>
      </c>
      <c r="E7" s="1084"/>
      <c r="F7" s="1084"/>
      <c r="G7" s="1084"/>
      <c r="H7" s="1084"/>
      <c r="I7" s="1084"/>
      <c r="J7" s="1084"/>
      <c r="K7" s="1084"/>
      <c r="L7" s="1084"/>
      <c r="M7" s="1084"/>
      <c r="N7" s="1085">
        <f>SUM(D7:M7)</f>
        <v>56</v>
      </c>
    </row>
    <row r="8" spans="1:14" s="108" customFormat="1" ht="16.5" customHeight="1">
      <c r="A8" s="1088"/>
      <c r="B8" s="1088"/>
      <c r="C8" s="1089" t="s">
        <v>26</v>
      </c>
      <c r="D8" s="1090">
        <f aca="true" t="shared" si="0" ref="D8:N8">SUM(D6:D7)</f>
        <v>56</v>
      </c>
      <c r="E8" s="1090">
        <f t="shared" si="0"/>
        <v>0</v>
      </c>
      <c r="F8" s="1090">
        <f t="shared" si="0"/>
        <v>0</v>
      </c>
      <c r="G8" s="1090">
        <f t="shared" si="0"/>
        <v>0</v>
      </c>
      <c r="H8" s="1090">
        <f t="shared" si="0"/>
        <v>0</v>
      </c>
      <c r="I8" s="1090">
        <f t="shared" si="0"/>
        <v>0</v>
      </c>
      <c r="J8" s="1090">
        <f t="shared" si="0"/>
        <v>0</v>
      </c>
      <c r="K8" s="1090">
        <f t="shared" si="0"/>
        <v>0</v>
      </c>
      <c r="L8" s="1090">
        <f t="shared" si="0"/>
        <v>0</v>
      </c>
      <c r="M8" s="1090">
        <f t="shared" si="0"/>
        <v>0</v>
      </c>
      <c r="N8" s="1090">
        <f t="shared" si="0"/>
        <v>56</v>
      </c>
    </row>
    <row r="9" spans="1:14" s="108" customFormat="1" ht="12.75" customHeight="1">
      <c r="A9" s="1074">
        <v>1</v>
      </c>
      <c r="B9" s="1074">
        <v>13</v>
      </c>
      <c r="C9" s="1078" t="s">
        <v>20</v>
      </c>
      <c r="D9" s="1084"/>
      <c r="E9" s="1084"/>
      <c r="F9" s="1084"/>
      <c r="G9" s="1084"/>
      <c r="H9" s="1084"/>
      <c r="I9" s="1084"/>
      <c r="J9" s="1084"/>
      <c r="K9" s="1084"/>
      <c r="L9" s="1084"/>
      <c r="M9" s="1084"/>
      <c r="N9" s="1085"/>
    </row>
    <row r="10" spans="1:14" s="108" customFormat="1" ht="12.75" customHeight="1">
      <c r="A10" s="1081"/>
      <c r="B10" s="1081"/>
      <c r="C10" s="1091" t="s">
        <v>1588</v>
      </c>
      <c r="D10" s="1084"/>
      <c r="E10" s="1084"/>
      <c r="F10" s="1084"/>
      <c r="G10" s="1084"/>
      <c r="H10" s="1084"/>
      <c r="I10" s="1084"/>
      <c r="J10" s="1084"/>
      <c r="K10" s="1084"/>
      <c r="L10" s="1084"/>
      <c r="M10" s="1084"/>
      <c r="N10" s="1085"/>
    </row>
    <row r="11" spans="1:14" s="108" customFormat="1" ht="12.75" customHeight="1">
      <c r="A11" s="1081"/>
      <c r="B11" s="1081"/>
      <c r="C11" s="575" t="s">
        <v>1261</v>
      </c>
      <c r="D11" s="1092"/>
      <c r="E11" s="1084"/>
      <c r="F11" s="1084"/>
      <c r="G11" s="1084"/>
      <c r="H11" s="1084"/>
      <c r="I11" s="1084"/>
      <c r="J11" s="1084"/>
      <c r="K11" s="1084"/>
      <c r="L11" s="1084"/>
      <c r="M11" s="1084"/>
      <c r="N11" s="1085"/>
    </row>
    <row r="12" spans="1:14" s="108" customFormat="1" ht="12.75" customHeight="1">
      <c r="A12" s="1081"/>
      <c r="B12" s="1081"/>
      <c r="C12" s="574" t="s">
        <v>570</v>
      </c>
      <c r="D12" s="1092">
        <v>50</v>
      </c>
      <c r="E12" s="1084"/>
      <c r="F12" s="1084"/>
      <c r="G12" s="1084"/>
      <c r="H12" s="1084"/>
      <c r="I12" s="1084"/>
      <c r="J12" s="1084"/>
      <c r="K12" s="1084"/>
      <c r="L12" s="1084"/>
      <c r="M12" s="1084"/>
      <c r="N12" s="1085">
        <f>SUM(D12:M12)</f>
        <v>50</v>
      </c>
    </row>
    <row r="13" spans="1:14" s="108" customFormat="1" ht="12.75" customHeight="1">
      <c r="A13" s="1081"/>
      <c r="B13" s="1081"/>
      <c r="C13" s="1093" t="s">
        <v>1028</v>
      </c>
      <c r="D13" s="1094"/>
      <c r="E13" s="1084"/>
      <c r="F13" s="1084"/>
      <c r="G13" s="1084"/>
      <c r="H13" s="1084"/>
      <c r="I13" s="1084"/>
      <c r="J13" s="1084"/>
      <c r="K13" s="1084"/>
      <c r="L13" s="1084"/>
      <c r="M13" s="1084"/>
      <c r="N13" s="1085"/>
    </row>
    <row r="14" spans="1:14" s="108" customFormat="1" ht="15" customHeight="1">
      <c r="A14" s="1081"/>
      <c r="B14" s="1081"/>
      <c r="C14" s="1095" t="s">
        <v>1257</v>
      </c>
      <c r="D14" s="1096"/>
      <c r="E14" s="1084"/>
      <c r="F14" s="1084"/>
      <c r="G14" s="1084"/>
      <c r="H14" s="1084"/>
      <c r="I14" s="1084"/>
      <c r="J14" s="1084"/>
      <c r="K14" s="1084"/>
      <c r="L14" s="1084"/>
      <c r="M14" s="1084"/>
      <c r="N14" s="1085"/>
    </row>
    <row r="15" spans="1:14" s="108" customFormat="1" ht="24.75" customHeight="1">
      <c r="A15" s="1081"/>
      <c r="B15" s="1081"/>
      <c r="C15" s="575" t="s">
        <v>1715</v>
      </c>
      <c r="D15" s="1097">
        <v>600</v>
      </c>
      <c r="E15" s="1084"/>
      <c r="F15" s="1084"/>
      <c r="G15" s="1084"/>
      <c r="H15" s="1084"/>
      <c r="I15" s="1084"/>
      <c r="J15" s="1084"/>
      <c r="K15" s="1084"/>
      <c r="L15" s="1084"/>
      <c r="M15" s="1084"/>
      <c r="N15" s="1085">
        <f>SUM(D15:M15)</f>
        <v>600</v>
      </c>
    </row>
    <row r="16" spans="1:14" s="108" customFormat="1" ht="18.75" customHeight="1">
      <c r="A16" s="1098"/>
      <c r="B16" s="1098"/>
      <c r="C16" s="1089" t="s">
        <v>22</v>
      </c>
      <c r="D16" s="1090">
        <f aca="true" t="shared" si="1" ref="D16:N16">SUM(D11:D15)</f>
        <v>650</v>
      </c>
      <c r="E16" s="1090">
        <f t="shared" si="1"/>
        <v>0</v>
      </c>
      <c r="F16" s="1090">
        <f t="shared" si="1"/>
        <v>0</v>
      </c>
      <c r="G16" s="1090">
        <f t="shared" si="1"/>
        <v>0</v>
      </c>
      <c r="H16" s="1090">
        <f t="shared" si="1"/>
        <v>0</v>
      </c>
      <c r="I16" s="1090">
        <f t="shared" si="1"/>
        <v>0</v>
      </c>
      <c r="J16" s="1090">
        <f t="shared" si="1"/>
        <v>0</v>
      </c>
      <c r="K16" s="1090">
        <f t="shared" si="1"/>
        <v>0</v>
      </c>
      <c r="L16" s="1090">
        <f t="shared" si="1"/>
        <v>0</v>
      </c>
      <c r="M16" s="1090">
        <f t="shared" si="1"/>
        <v>0</v>
      </c>
      <c r="N16" s="1090">
        <f t="shared" si="1"/>
        <v>650</v>
      </c>
    </row>
    <row r="17" spans="1:14" s="108" customFormat="1" ht="12.75" customHeight="1">
      <c r="A17" s="1074">
        <v>1</v>
      </c>
      <c r="B17" s="1074">
        <v>15</v>
      </c>
      <c r="C17" s="1078" t="s">
        <v>1350</v>
      </c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5"/>
    </row>
    <row r="18" spans="1:14" s="108" customFormat="1" ht="12.75" customHeight="1">
      <c r="A18" s="1081"/>
      <c r="B18" s="1081"/>
      <c r="C18" s="1099" t="s">
        <v>864</v>
      </c>
      <c r="D18" s="1084"/>
      <c r="E18" s="1084"/>
      <c r="F18" s="1084"/>
      <c r="G18" s="1084"/>
      <c r="H18" s="1084"/>
      <c r="I18" s="1084"/>
      <c r="J18" s="1084"/>
      <c r="K18" s="1084"/>
      <c r="L18" s="1084"/>
      <c r="M18" s="1084"/>
      <c r="N18" s="1085"/>
    </row>
    <row r="19" spans="1:14" s="108" customFormat="1" ht="24" customHeight="1">
      <c r="A19" s="1081"/>
      <c r="B19" s="1081"/>
      <c r="C19" s="801" t="s">
        <v>571</v>
      </c>
      <c r="D19" s="1084"/>
      <c r="E19" s="1084"/>
      <c r="F19" s="1084"/>
      <c r="G19" s="1084"/>
      <c r="H19" s="1084"/>
      <c r="I19" s="1084"/>
      <c r="J19" s="1084">
        <v>400</v>
      </c>
      <c r="K19" s="1084"/>
      <c r="L19" s="1084"/>
      <c r="M19" s="1084"/>
      <c r="N19" s="1085">
        <f>SUM(D19:M19)</f>
        <v>400</v>
      </c>
    </row>
    <row r="20" spans="1:14" s="108" customFormat="1" ht="24" customHeight="1">
      <c r="A20" s="1081"/>
      <c r="B20" s="1081"/>
      <c r="C20" s="906" t="s">
        <v>1219</v>
      </c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5"/>
    </row>
    <row r="21" spans="1:14" s="108" customFormat="1" ht="24" customHeight="1">
      <c r="A21" s="1081"/>
      <c r="B21" s="1081"/>
      <c r="C21" s="1100" t="s">
        <v>865</v>
      </c>
      <c r="D21" s="1084">
        <v>735</v>
      </c>
      <c r="E21" s="1084"/>
      <c r="F21" s="1084"/>
      <c r="G21" s="1084"/>
      <c r="H21" s="1084"/>
      <c r="I21" s="1084"/>
      <c r="J21" s="1084"/>
      <c r="K21" s="1084"/>
      <c r="L21" s="1084"/>
      <c r="M21" s="1084"/>
      <c r="N21" s="1085">
        <f>SUM(D21:M21)</f>
        <v>735</v>
      </c>
    </row>
    <row r="22" spans="1:14" s="108" customFormat="1" ht="24.75" customHeight="1">
      <c r="A22" s="1081"/>
      <c r="B22" s="1081"/>
      <c r="C22" s="1101" t="s">
        <v>1265</v>
      </c>
      <c r="D22" s="1102"/>
      <c r="E22" s="1084"/>
      <c r="F22" s="1084"/>
      <c r="G22" s="1084"/>
      <c r="H22" s="1084"/>
      <c r="I22" s="1084"/>
      <c r="J22" s="1084"/>
      <c r="K22" s="1084"/>
      <c r="L22" s="1084"/>
      <c r="M22" s="1084"/>
      <c r="N22" s="1085"/>
    </row>
    <row r="23" spans="1:14" s="108" customFormat="1" ht="24.75" customHeight="1">
      <c r="A23" s="1081"/>
      <c r="B23" s="1081"/>
      <c r="C23" s="1100" t="s">
        <v>572</v>
      </c>
      <c r="D23" s="1084"/>
      <c r="E23" s="1084"/>
      <c r="F23" s="1084"/>
      <c r="G23" s="1084">
        <v>22388</v>
      </c>
      <c r="H23" s="1084"/>
      <c r="I23" s="1084"/>
      <c r="J23" s="1084"/>
      <c r="K23" s="1084"/>
      <c r="L23" s="1084"/>
      <c r="M23" s="1084"/>
      <c r="N23" s="1085">
        <f>SUM(D23:M23)</f>
        <v>22388</v>
      </c>
    </row>
    <row r="24" spans="1:14" s="108" customFormat="1" ht="15" customHeight="1">
      <c r="A24" s="1081"/>
      <c r="B24" s="1081"/>
      <c r="C24" s="1103" t="s">
        <v>1217</v>
      </c>
      <c r="D24" s="1084"/>
      <c r="E24" s="1084"/>
      <c r="F24" s="1084"/>
      <c r="G24" s="1084"/>
      <c r="H24" s="1084"/>
      <c r="I24" s="1084"/>
      <c r="J24" s="1084"/>
      <c r="K24" s="1084"/>
      <c r="L24" s="1084"/>
      <c r="M24" s="1084"/>
      <c r="N24" s="1085"/>
    </row>
    <row r="25" spans="1:14" s="108" customFormat="1" ht="24.75" customHeight="1">
      <c r="A25" s="1081"/>
      <c r="B25" s="1081"/>
      <c r="C25" s="1104" t="s">
        <v>1215</v>
      </c>
      <c r="D25" s="1084"/>
      <c r="E25" s="1084">
        <v>-33986</v>
      </c>
      <c r="F25" s="1084"/>
      <c r="G25" s="1084"/>
      <c r="H25" s="1084"/>
      <c r="I25" s="1084"/>
      <c r="J25" s="1084"/>
      <c r="K25" s="1084"/>
      <c r="L25" s="1084"/>
      <c r="M25" s="1084"/>
      <c r="N25" s="1085">
        <f>SUM(D25:M25)</f>
        <v>-33986</v>
      </c>
    </row>
    <row r="26" spans="1:14" s="108" customFormat="1" ht="15" customHeight="1">
      <c r="A26" s="1081"/>
      <c r="B26" s="1081"/>
      <c r="C26" s="1105" t="s">
        <v>573</v>
      </c>
      <c r="D26" s="1084"/>
      <c r="E26" s="1084"/>
      <c r="F26" s="1084"/>
      <c r="G26" s="1084"/>
      <c r="H26" s="1084"/>
      <c r="I26" s="1084"/>
      <c r="J26" s="1084"/>
      <c r="K26" s="1084"/>
      <c r="L26" s="1084"/>
      <c r="M26" s="1084"/>
      <c r="N26" s="1085"/>
    </row>
    <row r="27" spans="1:14" s="108" customFormat="1" ht="24.75" customHeight="1">
      <c r="A27" s="1081"/>
      <c r="B27" s="1081"/>
      <c r="C27" s="1100" t="s">
        <v>574</v>
      </c>
      <c r="D27" s="1084">
        <v>531</v>
      </c>
      <c r="E27" s="1084"/>
      <c r="F27" s="1084"/>
      <c r="G27" s="1084"/>
      <c r="H27" s="1084"/>
      <c r="I27" s="1084"/>
      <c r="J27" s="1106"/>
      <c r="K27" s="1084"/>
      <c r="L27" s="1084"/>
      <c r="M27" s="1084"/>
      <c r="N27" s="1085">
        <f>SUM(D27:M27)</f>
        <v>531</v>
      </c>
    </row>
    <row r="28" spans="1:14" s="108" customFormat="1" ht="18.75" customHeight="1">
      <c r="A28" s="1088"/>
      <c r="B28" s="1088"/>
      <c r="C28" s="1089" t="s">
        <v>284</v>
      </c>
      <c r="D28" s="1090">
        <f aca="true" t="shared" si="2" ref="D28:N28">SUM(D18:D27)</f>
        <v>1266</v>
      </c>
      <c r="E28" s="1090">
        <f t="shared" si="2"/>
        <v>-33986</v>
      </c>
      <c r="F28" s="1090">
        <f t="shared" si="2"/>
        <v>0</v>
      </c>
      <c r="G28" s="1090">
        <f t="shared" si="2"/>
        <v>22388</v>
      </c>
      <c r="H28" s="1090">
        <f t="shared" si="2"/>
        <v>0</v>
      </c>
      <c r="I28" s="1090">
        <f t="shared" si="2"/>
        <v>0</v>
      </c>
      <c r="J28" s="1090">
        <f t="shared" si="2"/>
        <v>400</v>
      </c>
      <c r="K28" s="1090">
        <f t="shared" si="2"/>
        <v>0</v>
      </c>
      <c r="L28" s="1090">
        <f t="shared" si="2"/>
        <v>0</v>
      </c>
      <c r="M28" s="1090">
        <f t="shared" si="2"/>
        <v>0</v>
      </c>
      <c r="N28" s="1090">
        <f t="shared" si="2"/>
        <v>-9932</v>
      </c>
    </row>
    <row r="29" spans="1:14" s="108" customFormat="1" ht="12.75" customHeight="1">
      <c r="A29" s="1074">
        <v>1</v>
      </c>
      <c r="B29" s="1074">
        <v>16</v>
      </c>
      <c r="C29" s="1078" t="s">
        <v>102</v>
      </c>
      <c r="D29" s="1084"/>
      <c r="E29" s="1084"/>
      <c r="F29" s="1084"/>
      <c r="G29" s="1084"/>
      <c r="H29" s="1084"/>
      <c r="I29" s="1084"/>
      <c r="J29" s="1084"/>
      <c r="K29" s="1084"/>
      <c r="L29" s="1084"/>
      <c r="M29" s="1084"/>
      <c r="N29" s="1085"/>
    </row>
    <row r="30" spans="1:14" s="108" customFormat="1" ht="15" customHeight="1">
      <c r="A30" s="1081"/>
      <c r="B30" s="1081"/>
      <c r="C30" s="1107"/>
      <c r="D30" s="1092"/>
      <c r="E30" s="1084"/>
      <c r="F30" s="1084"/>
      <c r="G30" s="1084"/>
      <c r="H30" s="1084"/>
      <c r="I30" s="1084"/>
      <c r="J30" s="1084"/>
      <c r="K30" s="1084"/>
      <c r="L30" s="1084"/>
      <c r="M30" s="1084"/>
      <c r="N30" s="1085"/>
    </row>
    <row r="31" spans="1:14" s="108" customFormat="1" ht="19.5" customHeight="1">
      <c r="A31" s="1098"/>
      <c r="B31" s="1098"/>
      <c r="C31" s="1089" t="s">
        <v>105</v>
      </c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</row>
    <row r="32" spans="1:14" s="108" customFormat="1" ht="12.75" customHeight="1">
      <c r="A32" s="1074">
        <v>1</v>
      </c>
      <c r="B32" s="1074">
        <v>17</v>
      </c>
      <c r="C32" s="1078" t="s">
        <v>1351</v>
      </c>
      <c r="D32" s="1084"/>
      <c r="E32" s="1084"/>
      <c r="F32" s="1084"/>
      <c r="G32" s="1084"/>
      <c r="H32" s="1084"/>
      <c r="I32" s="1084"/>
      <c r="J32" s="1084"/>
      <c r="K32" s="1084"/>
      <c r="L32" s="1084"/>
      <c r="M32" s="1084"/>
      <c r="N32" s="1085"/>
    </row>
    <row r="33" spans="1:14" s="108" customFormat="1" ht="24.75" customHeight="1">
      <c r="A33" s="1081"/>
      <c r="B33" s="1081"/>
      <c r="C33" s="1108" t="s">
        <v>174</v>
      </c>
      <c r="D33" s="1084"/>
      <c r="E33" s="1084"/>
      <c r="F33" s="1084"/>
      <c r="G33" s="1084"/>
      <c r="H33" s="1084"/>
      <c r="I33" s="1084"/>
      <c r="J33" s="1084"/>
      <c r="K33" s="1084"/>
      <c r="L33" s="1084"/>
      <c r="M33" s="1084"/>
      <c r="N33" s="1085"/>
    </row>
    <row r="34" spans="1:14" s="108" customFormat="1" ht="15" customHeight="1">
      <c r="A34" s="1081"/>
      <c r="B34" s="1081"/>
      <c r="C34" s="898" t="s">
        <v>575</v>
      </c>
      <c r="D34" s="1084"/>
      <c r="E34" s="1084"/>
      <c r="F34" s="1084"/>
      <c r="G34" s="1084"/>
      <c r="H34" s="1084">
        <v>2500</v>
      </c>
      <c r="I34" s="1084"/>
      <c r="J34" s="1084"/>
      <c r="K34" s="1084"/>
      <c r="L34" s="1084"/>
      <c r="M34" s="1084"/>
      <c r="N34" s="1085">
        <f>SUM(D34:M34)</f>
        <v>2500</v>
      </c>
    </row>
    <row r="35" spans="1:14" s="108" customFormat="1" ht="15" customHeight="1">
      <c r="A35" s="1081"/>
      <c r="B35" s="1081"/>
      <c r="C35" s="1109" t="s">
        <v>114</v>
      </c>
      <c r="D35" s="1084"/>
      <c r="E35" s="1084"/>
      <c r="F35" s="1084"/>
      <c r="G35" s="1084"/>
      <c r="H35" s="1084"/>
      <c r="I35" s="1084"/>
      <c r="J35" s="1084"/>
      <c r="K35" s="1084"/>
      <c r="L35" s="1084"/>
      <c r="M35" s="1084"/>
      <c r="N35" s="1085"/>
    </row>
    <row r="36" spans="1:14" s="108" customFormat="1" ht="24.75" customHeight="1">
      <c r="A36" s="1081"/>
      <c r="B36" s="1081"/>
      <c r="C36" s="1110" t="s">
        <v>420</v>
      </c>
      <c r="D36" s="1084"/>
      <c r="E36" s="1084"/>
      <c r="F36" s="1084"/>
      <c r="G36" s="1084"/>
      <c r="H36" s="1084"/>
      <c r="I36" s="1084"/>
      <c r="J36" s="1084"/>
      <c r="K36" s="1084"/>
      <c r="L36" s="1084"/>
      <c r="M36" s="1084"/>
      <c r="N36" s="1085"/>
    </row>
    <row r="37" spans="1:14" s="108" customFormat="1" ht="24.75" customHeight="1">
      <c r="A37" s="1081"/>
      <c r="B37" s="1081"/>
      <c r="C37" s="1111" t="s">
        <v>576</v>
      </c>
      <c r="D37" s="1084"/>
      <c r="E37" s="1084"/>
      <c r="F37" s="1084"/>
      <c r="G37" s="1084">
        <v>61342</v>
      </c>
      <c r="H37" s="1084"/>
      <c r="I37" s="1084"/>
      <c r="J37" s="1084"/>
      <c r="K37" s="1084"/>
      <c r="L37" s="1084"/>
      <c r="M37" s="1084"/>
      <c r="N37" s="1085">
        <f>SUM(D37:M37)</f>
        <v>61342</v>
      </c>
    </row>
    <row r="38" spans="1:14" s="108" customFormat="1" ht="15" customHeight="1">
      <c r="A38" s="1081"/>
      <c r="B38" s="1081"/>
      <c r="C38" s="1112" t="s">
        <v>577</v>
      </c>
      <c r="D38" s="1084"/>
      <c r="E38" s="1084"/>
      <c r="F38" s="1084"/>
      <c r="G38" s="1084">
        <v>2500</v>
      </c>
      <c r="H38" s="1084"/>
      <c r="I38" s="1084"/>
      <c r="J38" s="1084"/>
      <c r="K38" s="1084"/>
      <c r="L38" s="1084"/>
      <c r="M38" s="1084"/>
      <c r="N38" s="1085">
        <f>SUM(D38:M38)</f>
        <v>2500</v>
      </c>
    </row>
    <row r="39" spans="1:14" s="108" customFormat="1" ht="16.5" customHeight="1">
      <c r="A39" s="1088"/>
      <c r="B39" s="1088"/>
      <c r="C39" s="1089" t="s">
        <v>282</v>
      </c>
      <c r="D39" s="1090">
        <f aca="true" t="shared" si="3" ref="D39:N39">SUM(D33:D38)</f>
        <v>0</v>
      </c>
      <c r="E39" s="1090">
        <f t="shared" si="3"/>
        <v>0</v>
      </c>
      <c r="F39" s="1090">
        <f t="shared" si="3"/>
        <v>0</v>
      </c>
      <c r="G39" s="1090">
        <f t="shared" si="3"/>
        <v>63842</v>
      </c>
      <c r="H39" s="1090">
        <f t="shared" si="3"/>
        <v>2500</v>
      </c>
      <c r="I39" s="1090">
        <f t="shared" si="3"/>
        <v>0</v>
      </c>
      <c r="J39" s="1090">
        <f t="shared" si="3"/>
        <v>0</v>
      </c>
      <c r="K39" s="1090">
        <f t="shared" si="3"/>
        <v>0</v>
      </c>
      <c r="L39" s="1090">
        <f t="shared" si="3"/>
        <v>0</v>
      </c>
      <c r="M39" s="1090">
        <f t="shared" si="3"/>
        <v>0</v>
      </c>
      <c r="N39" s="1090">
        <f t="shared" si="3"/>
        <v>66342</v>
      </c>
    </row>
    <row r="40" spans="1:14" s="108" customFormat="1" ht="12.75" customHeight="1">
      <c r="A40" s="1074">
        <v>1</v>
      </c>
      <c r="B40" s="1074">
        <v>18</v>
      </c>
      <c r="C40" s="1078" t="s">
        <v>662</v>
      </c>
      <c r="D40" s="1084"/>
      <c r="E40" s="1084"/>
      <c r="F40" s="1084"/>
      <c r="G40" s="1084"/>
      <c r="H40" s="1084"/>
      <c r="I40" s="1084"/>
      <c r="J40" s="1084"/>
      <c r="K40" s="1084"/>
      <c r="L40" s="1084"/>
      <c r="M40" s="1084"/>
      <c r="N40" s="1085"/>
    </row>
    <row r="41" spans="1:14" s="108" customFormat="1" ht="12.75" customHeight="1">
      <c r="A41" s="1081"/>
      <c r="B41" s="1081"/>
      <c r="C41" s="1078"/>
      <c r="D41" s="1084"/>
      <c r="E41" s="1084"/>
      <c r="F41" s="1084"/>
      <c r="G41" s="1084"/>
      <c r="H41" s="1084"/>
      <c r="I41" s="1084"/>
      <c r="J41" s="1084"/>
      <c r="K41" s="1084"/>
      <c r="L41" s="1084"/>
      <c r="M41" s="1084"/>
      <c r="N41" s="1085">
        <f>SUM(D41:M41)</f>
        <v>0</v>
      </c>
    </row>
    <row r="42" spans="1:14" s="108" customFormat="1" ht="18.75" customHeight="1">
      <c r="A42" s="1098"/>
      <c r="B42" s="1098"/>
      <c r="C42" s="1089" t="s">
        <v>873</v>
      </c>
      <c r="D42" s="1090">
        <f aca="true" t="shared" si="4" ref="D42:N42">SUM(D41:D41)</f>
        <v>0</v>
      </c>
      <c r="E42" s="1090">
        <f t="shared" si="4"/>
        <v>0</v>
      </c>
      <c r="F42" s="1090">
        <f t="shared" si="4"/>
        <v>0</v>
      </c>
      <c r="G42" s="1090">
        <f t="shared" si="4"/>
        <v>0</v>
      </c>
      <c r="H42" s="1090">
        <f t="shared" si="4"/>
        <v>0</v>
      </c>
      <c r="I42" s="1090">
        <f t="shared" si="4"/>
        <v>0</v>
      </c>
      <c r="J42" s="1090">
        <f t="shared" si="4"/>
        <v>0</v>
      </c>
      <c r="K42" s="1090">
        <f t="shared" si="4"/>
        <v>0</v>
      </c>
      <c r="L42" s="1090">
        <f t="shared" si="4"/>
        <v>0</v>
      </c>
      <c r="M42" s="1090">
        <f t="shared" si="4"/>
        <v>0</v>
      </c>
      <c r="N42" s="1090">
        <f t="shared" si="4"/>
        <v>0</v>
      </c>
    </row>
    <row r="43" spans="1:14" s="108" customFormat="1" ht="15" customHeight="1">
      <c r="A43" s="1081">
        <v>1</v>
      </c>
      <c r="B43" s="1081">
        <v>19</v>
      </c>
      <c r="C43" s="1078" t="s">
        <v>676</v>
      </c>
      <c r="D43" s="1084"/>
      <c r="E43" s="1084"/>
      <c r="F43" s="1084"/>
      <c r="G43" s="1084"/>
      <c r="H43" s="1084"/>
      <c r="I43" s="1084"/>
      <c r="J43" s="1084"/>
      <c r="K43" s="1084"/>
      <c r="L43" s="1084"/>
      <c r="M43" s="1084"/>
      <c r="N43" s="1085"/>
    </row>
    <row r="44" spans="1:14" s="108" customFormat="1" ht="24.75" customHeight="1">
      <c r="A44" s="1081"/>
      <c r="B44" s="1081"/>
      <c r="C44" s="1113" t="s">
        <v>312</v>
      </c>
      <c r="D44" s="1084"/>
      <c r="E44" s="1084"/>
      <c r="F44" s="1084"/>
      <c r="G44" s="1084"/>
      <c r="H44" s="1084"/>
      <c r="I44" s="1084"/>
      <c r="J44" s="1084"/>
      <c r="K44" s="1084"/>
      <c r="L44" s="1084"/>
      <c r="M44" s="1084"/>
      <c r="N44" s="1085"/>
    </row>
    <row r="45" spans="1:14" s="108" customFormat="1" ht="39" customHeight="1">
      <c r="A45" s="1081"/>
      <c r="B45" s="1081"/>
      <c r="C45" s="1114" t="s">
        <v>874</v>
      </c>
      <c r="D45" s="1084">
        <v>154936</v>
      </c>
      <c r="E45" s="1084"/>
      <c r="F45" s="1084"/>
      <c r="G45" s="1084"/>
      <c r="H45" s="1084"/>
      <c r="I45" s="1084"/>
      <c r="J45" s="1084"/>
      <c r="K45" s="1084"/>
      <c r="L45" s="1084"/>
      <c r="M45" s="1084"/>
      <c r="N45" s="1085">
        <f>SUM(D45:M45)</f>
        <v>154936</v>
      </c>
    </row>
    <row r="46" spans="1:14" s="108" customFormat="1" ht="15" customHeight="1">
      <c r="A46" s="1081"/>
      <c r="B46" s="1081"/>
      <c r="C46" s="1079" t="s">
        <v>875</v>
      </c>
      <c r="D46" s="1084">
        <v>7771</v>
      </c>
      <c r="E46" s="1084"/>
      <c r="F46" s="1084"/>
      <c r="G46" s="1084"/>
      <c r="H46" s="1084"/>
      <c r="I46" s="1084"/>
      <c r="J46" s="1084"/>
      <c r="K46" s="1084"/>
      <c r="L46" s="1084"/>
      <c r="M46" s="1084"/>
      <c r="N46" s="1085">
        <f>SUM(D46:M46)</f>
        <v>7771</v>
      </c>
    </row>
    <row r="47" spans="1:14" s="108" customFormat="1" ht="15" customHeight="1">
      <c r="A47" s="1081"/>
      <c r="B47" s="1081"/>
      <c r="C47" s="1079" t="s">
        <v>876</v>
      </c>
      <c r="D47" s="1092">
        <v>104724</v>
      </c>
      <c r="E47" s="1084">
        <v>-77421</v>
      </c>
      <c r="F47" s="1084"/>
      <c r="G47" s="1084"/>
      <c r="H47" s="1084"/>
      <c r="I47" s="1084"/>
      <c r="J47" s="1084"/>
      <c r="K47" s="1084"/>
      <c r="L47" s="1084"/>
      <c r="M47" s="1084"/>
      <c r="N47" s="1085">
        <f>SUM(D47:M47)</f>
        <v>27303</v>
      </c>
    </row>
    <row r="48" spans="1:14" s="108" customFormat="1" ht="24.75" customHeight="1">
      <c r="A48" s="1081"/>
      <c r="B48" s="1081"/>
      <c r="C48" s="1115" t="s">
        <v>1235</v>
      </c>
      <c r="D48" s="1092"/>
      <c r="E48" s="1084"/>
      <c r="F48" s="1084"/>
      <c r="G48" s="1084"/>
      <c r="H48" s="1084"/>
      <c r="I48" s="1084"/>
      <c r="J48" s="1084"/>
      <c r="K48" s="1084"/>
      <c r="L48" s="1084"/>
      <c r="M48" s="1084"/>
      <c r="N48" s="1085"/>
    </row>
    <row r="49" spans="1:14" s="108" customFormat="1" ht="24.75" customHeight="1">
      <c r="A49" s="1081"/>
      <c r="B49" s="1081"/>
      <c r="C49" s="1061" t="s">
        <v>1026</v>
      </c>
      <c r="D49" s="1092"/>
      <c r="E49" s="1084"/>
      <c r="F49" s="1084"/>
      <c r="G49" s="1084"/>
      <c r="H49" s="1084"/>
      <c r="I49" s="1084"/>
      <c r="J49" s="1084"/>
      <c r="K49" s="1084">
        <v>-20000</v>
      </c>
      <c r="L49" s="1084"/>
      <c r="M49" s="1084"/>
      <c r="N49" s="1085">
        <f>SUM(D49:M49)</f>
        <v>-20000</v>
      </c>
    </row>
    <row r="50" spans="1:14" s="108" customFormat="1" ht="24.75" customHeight="1">
      <c r="A50" s="1081"/>
      <c r="B50" s="1081"/>
      <c r="C50" s="1116" t="s">
        <v>162</v>
      </c>
      <c r="D50" s="1092"/>
      <c r="E50" s="1084"/>
      <c r="F50" s="1084"/>
      <c r="G50" s="1084"/>
      <c r="H50" s="1084"/>
      <c r="I50" s="1084"/>
      <c r="J50" s="1084"/>
      <c r="K50" s="1084"/>
      <c r="L50" s="1084"/>
      <c r="M50" s="1084"/>
      <c r="N50" s="1085">
        <f>SUM(D50:M50)</f>
        <v>0</v>
      </c>
    </row>
    <row r="51" spans="1:14" s="108" customFormat="1" ht="15" customHeight="1">
      <c r="A51" s="1081"/>
      <c r="B51" s="1081"/>
      <c r="C51" s="1117" t="s">
        <v>880</v>
      </c>
      <c r="D51" s="1092"/>
      <c r="E51" s="1084"/>
      <c r="F51" s="1084"/>
      <c r="G51" s="1084">
        <v>7600</v>
      </c>
      <c r="H51" s="1084"/>
      <c r="I51" s="1084"/>
      <c r="J51" s="1084"/>
      <c r="K51" s="1084"/>
      <c r="L51" s="1084"/>
      <c r="M51" s="1084"/>
      <c r="N51" s="1085">
        <f>SUM(D51:M51)</f>
        <v>7600</v>
      </c>
    </row>
    <row r="52" spans="1:14" s="108" customFormat="1" ht="24.75" customHeight="1">
      <c r="A52" s="1081"/>
      <c r="B52" s="1081"/>
      <c r="C52" s="575" t="s">
        <v>881</v>
      </c>
      <c r="D52" s="1092">
        <v>382</v>
      </c>
      <c r="E52" s="1084"/>
      <c r="F52" s="1084"/>
      <c r="G52" s="1084"/>
      <c r="H52" s="1084"/>
      <c r="I52" s="1084"/>
      <c r="J52" s="1084"/>
      <c r="K52" s="1084"/>
      <c r="L52" s="1084"/>
      <c r="M52" s="1084"/>
      <c r="N52" s="1085">
        <f>SUM(D52:M52)</f>
        <v>382</v>
      </c>
    </row>
    <row r="53" spans="1:14" s="108" customFormat="1" ht="24.75" customHeight="1">
      <c r="A53" s="1081"/>
      <c r="B53" s="1081"/>
      <c r="C53" s="1116" t="s">
        <v>420</v>
      </c>
      <c r="D53" s="1092"/>
      <c r="E53" s="1084"/>
      <c r="F53" s="1084"/>
      <c r="G53" s="1084"/>
      <c r="H53" s="1084"/>
      <c r="I53" s="1084"/>
      <c r="J53" s="1084"/>
      <c r="K53" s="1084"/>
      <c r="L53" s="1084"/>
      <c r="M53" s="1084"/>
      <c r="N53" s="1085"/>
    </row>
    <row r="54" spans="1:14" s="108" customFormat="1" ht="24.75" customHeight="1">
      <c r="A54" s="1081"/>
      <c r="B54" s="1081"/>
      <c r="C54" s="1114" t="s">
        <v>578</v>
      </c>
      <c r="D54" s="1092"/>
      <c r="E54" s="1084"/>
      <c r="F54" s="1084"/>
      <c r="G54" s="1084"/>
      <c r="H54" s="1084"/>
      <c r="I54" s="1084"/>
      <c r="J54" s="1084"/>
      <c r="K54" s="1084"/>
      <c r="L54" s="1084">
        <v>14000</v>
      </c>
      <c r="M54" s="1084"/>
      <c r="N54" s="1085">
        <f>SUM(D54:M54)</f>
        <v>14000</v>
      </c>
    </row>
    <row r="55" spans="1:14" s="108" customFormat="1" ht="15" customHeight="1">
      <c r="A55" s="1081"/>
      <c r="B55" s="1081"/>
      <c r="C55" s="1118" t="s">
        <v>579</v>
      </c>
      <c r="D55" s="1092"/>
      <c r="E55" s="1084"/>
      <c r="F55" s="1084"/>
      <c r="G55" s="1084">
        <v>161359</v>
      </c>
      <c r="H55" s="1084"/>
      <c r="I55" s="1084"/>
      <c r="J55" s="1084"/>
      <c r="K55" s="1084"/>
      <c r="L55" s="1084"/>
      <c r="M55" s="1084"/>
      <c r="N55" s="1085">
        <f>SUM(D55:M55)</f>
        <v>161359</v>
      </c>
    </row>
    <row r="56" spans="1:14" s="108" customFormat="1" ht="12.75" customHeight="1">
      <c r="A56" s="1098"/>
      <c r="B56" s="1088"/>
      <c r="C56" s="1089" t="s">
        <v>678</v>
      </c>
      <c r="D56" s="1090">
        <f aca="true" t="shared" si="5" ref="D56:N56">SUM(D43:D55)</f>
        <v>267813</v>
      </c>
      <c r="E56" s="1090">
        <f t="shared" si="5"/>
        <v>-77421</v>
      </c>
      <c r="F56" s="1090">
        <f t="shared" si="5"/>
        <v>0</v>
      </c>
      <c r="G56" s="1090">
        <f t="shared" si="5"/>
        <v>168959</v>
      </c>
      <c r="H56" s="1090">
        <f t="shared" si="5"/>
        <v>0</v>
      </c>
      <c r="I56" s="1090">
        <f t="shared" si="5"/>
        <v>0</v>
      </c>
      <c r="J56" s="1090">
        <f t="shared" si="5"/>
        <v>0</v>
      </c>
      <c r="K56" s="1090">
        <f t="shared" si="5"/>
        <v>-20000</v>
      </c>
      <c r="L56" s="1090">
        <f t="shared" si="5"/>
        <v>14000</v>
      </c>
      <c r="M56" s="1090">
        <f t="shared" si="5"/>
        <v>0</v>
      </c>
      <c r="N56" s="1090">
        <f t="shared" si="5"/>
        <v>353351</v>
      </c>
    </row>
    <row r="57" spans="1:14" s="108" customFormat="1" ht="12.75" customHeight="1">
      <c r="A57" s="1119">
        <v>1</v>
      </c>
      <c r="B57" s="1119">
        <v>20</v>
      </c>
      <c r="C57" s="1120" t="s">
        <v>1548</v>
      </c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</row>
    <row r="58" spans="1:14" s="108" customFormat="1" ht="12.75" customHeight="1">
      <c r="A58" s="1122"/>
      <c r="B58" s="1122"/>
      <c r="C58" s="1123"/>
      <c r="D58" s="1121"/>
      <c r="E58" s="1121"/>
      <c r="F58" s="1106"/>
      <c r="G58" s="1121"/>
      <c r="H58" s="1121"/>
      <c r="I58" s="1121"/>
      <c r="J58" s="1121"/>
      <c r="K58" s="1121"/>
      <c r="L58" s="1121"/>
      <c r="M58" s="1121"/>
      <c r="N58" s="1121">
        <f>SUM(D58:M58)</f>
        <v>0</v>
      </c>
    </row>
    <row r="59" spans="1:14" s="108" customFormat="1" ht="12.75" customHeight="1">
      <c r="A59" s="1098"/>
      <c r="B59" s="1088"/>
      <c r="C59" s="1089" t="s">
        <v>883</v>
      </c>
      <c r="D59" s="1090">
        <f aca="true" t="shared" si="6" ref="D59:N59">SUM(D57:D58)</f>
        <v>0</v>
      </c>
      <c r="E59" s="1090">
        <f t="shared" si="6"/>
        <v>0</v>
      </c>
      <c r="F59" s="1090">
        <f t="shared" si="6"/>
        <v>0</v>
      </c>
      <c r="G59" s="1090">
        <f t="shared" si="6"/>
        <v>0</v>
      </c>
      <c r="H59" s="1090">
        <f t="shared" si="6"/>
        <v>0</v>
      </c>
      <c r="I59" s="1090">
        <f t="shared" si="6"/>
        <v>0</v>
      </c>
      <c r="J59" s="1090">
        <f t="shared" si="6"/>
        <v>0</v>
      </c>
      <c r="K59" s="1090">
        <f t="shared" si="6"/>
        <v>0</v>
      </c>
      <c r="L59" s="1090">
        <f t="shared" si="6"/>
        <v>0</v>
      </c>
      <c r="M59" s="1090">
        <f t="shared" si="6"/>
        <v>0</v>
      </c>
      <c r="N59" s="1090">
        <f t="shared" si="6"/>
        <v>0</v>
      </c>
    </row>
    <row r="60" spans="1:14" s="108" customFormat="1" ht="12.75" customHeight="1">
      <c r="A60" s="1119">
        <v>1</v>
      </c>
      <c r="B60" s="1119">
        <v>22</v>
      </c>
      <c r="C60" s="1120" t="s">
        <v>1279</v>
      </c>
      <c r="D60" s="1121"/>
      <c r="E60" s="1121"/>
      <c r="F60" s="1121"/>
      <c r="G60" s="1121"/>
      <c r="H60" s="1121"/>
      <c r="I60" s="1121"/>
      <c r="J60" s="1121"/>
      <c r="K60" s="1121"/>
      <c r="L60" s="1121"/>
      <c r="M60" s="1121"/>
      <c r="N60" s="1121"/>
    </row>
    <row r="61" spans="1:14" s="108" customFormat="1" ht="24.75" customHeight="1">
      <c r="A61" s="1122"/>
      <c r="B61" s="1122"/>
      <c r="C61" s="906" t="s">
        <v>1267</v>
      </c>
      <c r="D61" s="1121"/>
      <c r="E61" s="1121"/>
      <c r="F61" s="1121"/>
      <c r="G61" s="1121"/>
      <c r="H61" s="1121"/>
      <c r="I61" s="1121"/>
      <c r="J61" s="1121"/>
      <c r="K61" s="1121"/>
      <c r="L61" s="1121"/>
      <c r="M61" s="1121"/>
      <c r="N61" s="1121"/>
    </row>
    <row r="62" spans="1:14" s="108" customFormat="1" ht="12.75" customHeight="1">
      <c r="A62" s="1122"/>
      <c r="B62" s="1119"/>
      <c r="C62" s="683" t="s">
        <v>580</v>
      </c>
      <c r="D62" s="1121"/>
      <c r="E62" s="1106"/>
      <c r="F62" s="1106"/>
      <c r="G62" s="1106"/>
      <c r="H62" s="1106"/>
      <c r="I62" s="1106">
        <v>500</v>
      </c>
      <c r="J62" s="1106"/>
      <c r="K62" s="1106"/>
      <c r="L62" s="1106"/>
      <c r="M62" s="1106"/>
      <c r="N62" s="1106">
        <f>SUM(D62:M62)</f>
        <v>500</v>
      </c>
    </row>
    <row r="63" spans="1:14" s="108" customFormat="1" ht="12.75" customHeight="1">
      <c r="A63" s="1098"/>
      <c r="B63" s="1088"/>
      <c r="C63" s="1089" t="s">
        <v>1281</v>
      </c>
      <c r="D63" s="1090">
        <f aca="true" t="shared" si="7" ref="D63:N63">SUM(D62:D62)</f>
        <v>0</v>
      </c>
      <c r="E63" s="1090">
        <f t="shared" si="7"/>
        <v>0</v>
      </c>
      <c r="F63" s="1090">
        <f t="shared" si="7"/>
        <v>0</v>
      </c>
      <c r="G63" s="1090">
        <f t="shared" si="7"/>
        <v>0</v>
      </c>
      <c r="H63" s="1090">
        <f t="shared" si="7"/>
        <v>0</v>
      </c>
      <c r="I63" s="1090">
        <f t="shared" si="7"/>
        <v>500</v>
      </c>
      <c r="J63" s="1090">
        <f t="shared" si="7"/>
        <v>0</v>
      </c>
      <c r="K63" s="1090">
        <f t="shared" si="7"/>
        <v>0</v>
      </c>
      <c r="L63" s="1090">
        <f t="shared" si="7"/>
        <v>0</v>
      </c>
      <c r="M63" s="1090">
        <f t="shared" si="7"/>
        <v>0</v>
      </c>
      <c r="N63" s="1090">
        <f t="shared" si="7"/>
        <v>500</v>
      </c>
    </row>
    <row r="64" spans="1:14" s="108" customFormat="1" ht="25.5" customHeight="1">
      <c r="A64" s="1088"/>
      <c r="B64" s="1088"/>
      <c r="C64" s="1124" t="s">
        <v>805</v>
      </c>
      <c r="D64" s="1090">
        <f aca="true" t="shared" si="8" ref="D64:N64">SUM(D8+D16+D28+D31+D39+D42+D56+D59+D63)</f>
        <v>269785</v>
      </c>
      <c r="E64" s="1090">
        <f t="shared" si="8"/>
        <v>-111407</v>
      </c>
      <c r="F64" s="1090">
        <f t="shared" si="8"/>
        <v>0</v>
      </c>
      <c r="G64" s="1090">
        <f t="shared" si="8"/>
        <v>255189</v>
      </c>
      <c r="H64" s="1090">
        <f t="shared" si="8"/>
        <v>2500</v>
      </c>
      <c r="I64" s="1090">
        <f t="shared" si="8"/>
        <v>500</v>
      </c>
      <c r="J64" s="1090">
        <f t="shared" si="8"/>
        <v>400</v>
      </c>
      <c r="K64" s="1090">
        <f t="shared" si="8"/>
        <v>-20000</v>
      </c>
      <c r="L64" s="1090">
        <f t="shared" si="8"/>
        <v>14000</v>
      </c>
      <c r="M64" s="1090">
        <f t="shared" si="8"/>
        <v>0</v>
      </c>
      <c r="N64" s="1090">
        <f t="shared" si="8"/>
        <v>410967</v>
      </c>
    </row>
    <row r="65" spans="1:14" s="108" customFormat="1" ht="15" customHeight="1">
      <c r="A65" s="1122">
        <v>2</v>
      </c>
      <c r="B65" s="1119"/>
      <c r="C65" s="1123" t="s">
        <v>1621</v>
      </c>
      <c r="D65" s="1106">
        <f>'[2]táj.1.'!C20</f>
        <v>35902</v>
      </c>
      <c r="E65" s="1106">
        <f>'[2]táj.1.'!D20</f>
        <v>18200</v>
      </c>
      <c r="F65" s="1106">
        <f>'[2]táj.1.'!E20</f>
        <v>0</v>
      </c>
      <c r="G65" s="1106">
        <f>'[2]táj.1.'!F20</f>
        <v>3190</v>
      </c>
      <c r="H65" s="1106">
        <f>'[2]táj.1.'!G20</f>
        <v>400</v>
      </c>
      <c r="I65" s="1106">
        <f>'[2]táj.1.'!H20</f>
        <v>60</v>
      </c>
      <c r="J65" s="1106">
        <f>'[2]táj.1.'!I20</f>
        <v>0</v>
      </c>
      <c r="K65" s="1106"/>
      <c r="L65" s="1106">
        <f>'[2]táj.1.'!J20</f>
        <v>0</v>
      </c>
      <c r="M65" s="1106">
        <f>'[2]táj.1.'!L20</f>
        <v>0</v>
      </c>
      <c r="N65" s="1106">
        <f>SUM(D65:M65)</f>
        <v>57752</v>
      </c>
    </row>
    <row r="66" spans="1:14" s="108" customFormat="1" ht="15" customHeight="1">
      <c r="A66" s="1088"/>
      <c r="B66" s="1088"/>
      <c r="C66" s="1089" t="s">
        <v>1599</v>
      </c>
      <c r="D66" s="1090">
        <f aca="true" t="shared" si="9" ref="D66:N66">SUM(D64:D65)</f>
        <v>305687</v>
      </c>
      <c r="E66" s="1090">
        <f t="shared" si="9"/>
        <v>-93207</v>
      </c>
      <c r="F66" s="1090">
        <f t="shared" si="9"/>
        <v>0</v>
      </c>
      <c r="G66" s="1090">
        <f t="shared" si="9"/>
        <v>258379</v>
      </c>
      <c r="H66" s="1090">
        <f t="shared" si="9"/>
        <v>2900</v>
      </c>
      <c r="I66" s="1090">
        <f t="shared" si="9"/>
        <v>560</v>
      </c>
      <c r="J66" s="1090">
        <f t="shared" si="9"/>
        <v>400</v>
      </c>
      <c r="K66" s="1090">
        <f t="shared" si="9"/>
        <v>-20000</v>
      </c>
      <c r="L66" s="1090">
        <f t="shared" si="9"/>
        <v>14000</v>
      </c>
      <c r="M66" s="1090">
        <f t="shared" si="9"/>
        <v>0</v>
      </c>
      <c r="N66" s="1090">
        <f t="shared" si="9"/>
        <v>468719</v>
      </c>
    </row>
    <row r="67" spans="1:14" s="108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1:14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</row>
    <row r="70" spans="1:1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50"/>
    </row>
    <row r="71" spans="1:14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1:1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</row>
    <row r="74" spans="1:14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</row>
    <row r="75" spans="1:14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</row>
    <row r="76" spans="3:14" ht="12.75"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3:14" ht="12.7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3:14" ht="12.75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</row>
    <row r="79" spans="3:14" ht="12.7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3:14" ht="12.75"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3:14" ht="12.75"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3:14" ht="12.75"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3:14" ht="12.75"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3:14" ht="12.75"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3:14" ht="12.75"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3:14" ht="12.75"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3:14" ht="12.75"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3:14" ht="12.75"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3:14" ht="12.75"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4" ht="12.75"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3:14" ht="12.75"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3:14" ht="12.7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II. NEGYEDÉVBEN&amp;R&amp;"Times New Roman,Normál"5.a  melléklet mód.
Adatok: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ySplit="2" topLeftCell="BM3" activePane="bottomLeft" state="frozen"/>
      <selection pane="topLeft" activeCell="B1" sqref="B1"/>
      <selection pane="bottomLeft" activeCell="H5" sqref="H5:H13"/>
    </sheetView>
  </sheetViews>
  <sheetFormatPr defaultColWidth="9.00390625" defaultRowHeight="12.75"/>
  <cols>
    <col min="1" max="1" width="6.875" style="24" customWidth="1"/>
    <col min="2" max="2" width="7.00390625" style="24" customWidth="1"/>
    <col min="3" max="3" width="28.00390625" style="24" customWidth="1"/>
    <col min="4" max="4" width="10.00390625" style="24" customWidth="1"/>
    <col min="5" max="5" width="11.875" style="24" customWidth="1"/>
    <col min="6" max="6" width="9.875" style="24" customWidth="1"/>
    <col min="7" max="7" width="9.625" style="24" customWidth="1"/>
    <col min="8" max="8" width="10.50390625" style="24" customWidth="1"/>
    <col min="9" max="9" width="10.00390625" style="24" bestFit="1" customWidth="1"/>
    <col min="10" max="10" width="9.50390625" style="24" bestFit="1" customWidth="1"/>
    <col min="11" max="11" width="9.50390625" style="24" customWidth="1"/>
    <col min="12" max="12" width="11.00390625" style="24" customWidth="1"/>
    <col min="13" max="13" width="11.625" style="37" customWidth="1"/>
    <col min="14" max="14" width="10.875" style="37" customWidth="1"/>
    <col min="15" max="16384" width="9.375" style="24" customWidth="1"/>
  </cols>
  <sheetData>
    <row r="1" spans="1:14" s="455" customFormat="1" ht="12.75">
      <c r="A1" s="689"/>
      <c r="B1" s="690"/>
      <c r="C1" s="690"/>
      <c r="D1" s="1251" t="s">
        <v>1359</v>
      </c>
      <c r="E1" s="1252"/>
      <c r="F1" s="1252"/>
      <c r="G1" s="1252"/>
      <c r="H1" s="1252"/>
      <c r="I1" s="1252"/>
      <c r="J1" s="1252"/>
      <c r="K1" s="1253"/>
      <c r="L1" s="1254" t="s">
        <v>1358</v>
      </c>
      <c r="M1" s="1232"/>
      <c r="N1" s="691"/>
    </row>
    <row r="2" spans="1:14" s="33" customFormat="1" ht="60" customHeight="1" thickBot="1">
      <c r="A2" s="692" t="s">
        <v>679</v>
      </c>
      <c r="B2" s="693" t="s">
        <v>680</v>
      </c>
      <c r="C2" s="693" t="s">
        <v>1345</v>
      </c>
      <c r="D2" s="694" t="s">
        <v>50</v>
      </c>
      <c r="E2" s="694" t="s">
        <v>806</v>
      </c>
      <c r="F2" s="694" t="s">
        <v>1646</v>
      </c>
      <c r="G2" s="694" t="s">
        <v>775</v>
      </c>
      <c r="H2" s="694" t="s">
        <v>1031</v>
      </c>
      <c r="I2" s="694" t="s">
        <v>1015</v>
      </c>
      <c r="J2" s="694" t="s">
        <v>1014</v>
      </c>
      <c r="K2" s="694" t="s">
        <v>1161</v>
      </c>
      <c r="L2" s="694" t="s">
        <v>807</v>
      </c>
      <c r="M2" s="694" t="s">
        <v>1368</v>
      </c>
      <c r="N2" s="695" t="s">
        <v>1613</v>
      </c>
    </row>
    <row r="3" spans="1:14" s="33" customFormat="1" ht="15" customHeight="1">
      <c r="A3" s="696">
        <v>1</v>
      </c>
      <c r="B3" s="696"/>
      <c r="C3" s="697" t="s">
        <v>1619</v>
      </c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4" spans="1:14" s="33" customFormat="1" ht="15" customHeight="1">
      <c r="A4" s="696">
        <v>1</v>
      </c>
      <c r="B4" s="696">
        <v>1</v>
      </c>
      <c r="C4" s="699" t="s">
        <v>1547</v>
      </c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</row>
    <row r="5" spans="1:14" s="34" customFormat="1" ht="13.5" customHeight="1">
      <c r="A5" s="700"/>
      <c r="B5" s="700">
        <v>12</v>
      </c>
      <c r="C5" s="697" t="s">
        <v>19</v>
      </c>
      <c r="D5" s="701">
        <f>0+'[2]12'!F23</f>
        <v>0</v>
      </c>
      <c r="E5" s="701">
        <f>1500+'[2]12'!G23</f>
        <v>1500</v>
      </c>
      <c r="F5" s="701">
        <f>26835+'[2]12'!H23</f>
        <v>28335</v>
      </c>
      <c r="G5" s="701">
        <f>231169+'[2]12'!I23</f>
        <v>404365</v>
      </c>
      <c r="H5" s="701">
        <f>18950+'[2]12'!J23</f>
        <v>22800</v>
      </c>
      <c r="I5" s="701">
        <f>0+'[2]12'!K26</f>
        <v>0</v>
      </c>
      <c r="J5" s="701">
        <f>0+'[2]12'!L26</f>
        <v>0</v>
      </c>
      <c r="K5" s="701">
        <f>42519+'[2]12'!M26</f>
        <v>42519</v>
      </c>
      <c r="L5" s="701">
        <f>0+'[2]12'!N23</f>
        <v>0</v>
      </c>
      <c r="M5" s="701">
        <f>0+'[2]12'!O23</f>
        <v>0</v>
      </c>
      <c r="N5" s="701">
        <f aca="true" t="shared" si="0" ref="N5:N14">SUM(D5:M5)</f>
        <v>499519</v>
      </c>
    </row>
    <row r="6" spans="1:14" s="34" customFormat="1" ht="13.5" customHeight="1">
      <c r="A6" s="700"/>
      <c r="B6" s="700">
        <v>13</v>
      </c>
      <c r="C6" s="697" t="s">
        <v>20</v>
      </c>
      <c r="D6" s="701">
        <f>2556+'[2]12'!F61</f>
        <v>8407</v>
      </c>
      <c r="E6" s="701">
        <f>653+'[2]12'!G61</f>
        <v>2250</v>
      </c>
      <c r="F6" s="701">
        <f>103667+'[2]12'!H61</f>
        <v>114039</v>
      </c>
      <c r="G6" s="701">
        <f>18500+'[2]12'!I61</f>
        <v>18500</v>
      </c>
      <c r="H6" s="701">
        <f>466551+'[2]12'!J61</f>
        <v>476551</v>
      </c>
      <c r="I6" s="701">
        <f>398195+'[2]12'!K64</f>
        <v>418877</v>
      </c>
      <c r="J6" s="701">
        <f>204695+'[2]12'!L64</f>
        <v>187695</v>
      </c>
      <c r="K6" s="701">
        <f>80927+'[2]12'!M64</f>
        <v>97927</v>
      </c>
      <c r="L6" s="701">
        <f>0+'[2]12'!N61</f>
        <v>0</v>
      </c>
      <c r="M6" s="701">
        <f>0+'[2]12'!O61</f>
        <v>0</v>
      </c>
      <c r="N6" s="701">
        <f t="shared" si="0"/>
        <v>1324246</v>
      </c>
    </row>
    <row r="7" spans="1:14" s="34" customFormat="1" ht="13.5" customHeight="1">
      <c r="A7" s="700"/>
      <c r="B7" s="700">
        <v>15</v>
      </c>
      <c r="C7" s="702" t="s">
        <v>1350</v>
      </c>
      <c r="D7" s="701">
        <f>1892+'[2]12'!F77</f>
        <v>2547</v>
      </c>
      <c r="E7" s="701">
        <f>453+'[2]12'!G77</f>
        <v>533</v>
      </c>
      <c r="F7" s="701">
        <f>1286609+'[2]12'!H77</f>
        <v>1285028</v>
      </c>
      <c r="G7" s="701">
        <f>0+'[2]12'!I77</f>
        <v>0</v>
      </c>
      <c r="H7" s="701">
        <f>43607+'[2]12'!J77</f>
        <v>40549</v>
      </c>
      <c r="I7" s="701">
        <f>307931+'[2]12'!K80</f>
        <v>314688</v>
      </c>
      <c r="J7" s="701">
        <f>398612+'[2]12'!L80</f>
        <v>396393</v>
      </c>
      <c r="K7" s="701">
        <f>609517+'[2]12'!M80</f>
        <v>575531</v>
      </c>
      <c r="L7" s="701">
        <f>0+'[2]12'!N77</f>
        <v>0</v>
      </c>
      <c r="M7" s="701">
        <f>0+'[2]12'!O77</f>
        <v>0</v>
      </c>
      <c r="N7" s="701">
        <f t="shared" si="0"/>
        <v>2615269</v>
      </c>
    </row>
    <row r="8" spans="1:15" s="34" customFormat="1" ht="13.5" customHeight="1">
      <c r="A8" s="700"/>
      <c r="B8" s="700">
        <v>16</v>
      </c>
      <c r="C8" s="702" t="s">
        <v>102</v>
      </c>
      <c r="D8" s="701">
        <f>0+'[2]12'!F84</f>
        <v>0</v>
      </c>
      <c r="E8" s="701">
        <f>0+'[2]12'!G84</f>
        <v>0</v>
      </c>
      <c r="F8" s="701">
        <f>0+'[2]12'!H84</f>
        <v>13208</v>
      </c>
      <c r="G8" s="701">
        <f>0+'[2]12'!I84</f>
        <v>0</v>
      </c>
      <c r="H8" s="701">
        <f>0+'[2]12'!J84</f>
        <v>13208</v>
      </c>
      <c r="I8" s="701">
        <f>5988485+'[2]12'!K87</f>
        <v>5946101</v>
      </c>
      <c r="J8" s="701">
        <f>24379+'[2]12'!L87</f>
        <v>24379</v>
      </c>
      <c r="K8" s="701">
        <f>42280+'[2]12'!M87</f>
        <v>42280</v>
      </c>
      <c r="L8" s="701">
        <f>0+'[2]12'!N84</f>
        <v>0</v>
      </c>
      <c r="M8" s="701">
        <f>0+'[2]12'!O84</f>
        <v>0</v>
      </c>
      <c r="N8" s="701">
        <f t="shared" si="0"/>
        <v>6039176</v>
      </c>
      <c r="O8" s="35"/>
    </row>
    <row r="9" spans="1:14" s="34" customFormat="1" ht="13.5" customHeight="1">
      <c r="A9" s="700"/>
      <c r="B9" s="700">
        <v>17</v>
      </c>
      <c r="C9" s="702" t="s">
        <v>1351</v>
      </c>
      <c r="D9" s="701">
        <f>0+'[2]12'!F93</f>
        <v>0</v>
      </c>
      <c r="E9" s="701">
        <f>0+'[2]12'!G93</f>
        <v>0</v>
      </c>
      <c r="F9" s="701">
        <f>104230+'[2]12'!H93</f>
        <v>106730</v>
      </c>
      <c r="G9" s="701">
        <f>0+'[2]12'!I93</f>
        <v>0</v>
      </c>
      <c r="H9" s="701">
        <f>72207+'[2]12'!J93</f>
        <v>72207</v>
      </c>
      <c r="I9" s="701">
        <f>449543+'[2]12'!K96</f>
        <v>452043</v>
      </c>
      <c r="J9" s="701">
        <f>31564+'[2]12'!L96</f>
        <v>31564</v>
      </c>
      <c r="K9" s="701">
        <f>25101+'[2]12'!M96</f>
        <v>25101</v>
      </c>
      <c r="L9" s="701">
        <f>0+'[2]12'!N93</f>
        <v>0</v>
      </c>
      <c r="M9" s="701">
        <f>0+'[2]12'!O93</f>
        <v>61342</v>
      </c>
      <c r="N9" s="701">
        <f t="shared" si="0"/>
        <v>748987</v>
      </c>
    </row>
    <row r="10" spans="1:14" s="34" customFormat="1" ht="13.5" customHeight="1">
      <c r="A10" s="700"/>
      <c r="B10" s="700">
        <v>18</v>
      </c>
      <c r="C10" s="702" t="s">
        <v>304</v>
      </c>
      <c r="D10" s="701">
        <f>0+'[2]12'!F100</f>
        <v>0</v>
      </c>
      <c r="E10" s="701">
        <f>0+'[2]12'!G100</f>
        <v>0</v>
      </c>
      <c r="F10" s="701">
        <f>31574+'[2]12'!H100</f>
        <v>37574</v>
      </c>
      <c r="G10" s="701">
        <f>0+'[2]12'!I100</f>
        <v>0</v>
      </c>
      <c r="H10" s="701">
        <f>1100+'[2]12'!J100</f>
        <v>1100</v>
      </c>
      <c r="I10" s="701">
        <f>500+'[2]12'!K102</f>
        <v>500</v>
      </c>
      <c r="J10" s="701">
        <f>0+'[2]12'!L102</f>
        <v>0</v>
      </c>
      <c r="K10" s="701">
        <f>0+'[2]12'!M102</f>
        <v>0</v>
      </c>
      <c r="L10" s="701">
        <f>0+'[2]12'!N100</f>
        <v>0</v>
      </c>
      <c r="M10" s="701">
        <f>0+'[2]12'!O100</f>
        <v>0</v>
      </c>
      <c r="N10" s="701">
        <f t="shared" si="0"/>
        <v>39174</v>
      </c>
    </row>
    <row r="11" spans="1:14" s="34" customFormat="1" ht="13.5" customHeight="1">
      <c r="A11" s="700"/>
      <c r="B11" s="700">
        <v>19</v>
      </c>
      <c r="C11" s="703" t="s">
        <v>676</v>
      </c>
      <c r="D11" s="701">
        <f>0+'[2]12'!F114</f>
        <v>0</v>
      </c>
      <c r="E11" s="701">
        <f>0+'[2]12'!G114</f>
        <v>0</v>
      </c>
      <c r="F11" s="701">
        <f>415698+'[2]12'!H114</f>
        <v>462308</v>
      </c>
      <c r="G11" s="701">
        <f>0+'[2]12'!I114</f>
        <v>0</v>
      </c>
      <c r="H11" s="701">
        <f>743651+'[2]12'!J114</f>
        <v>756548</v>
      </c>
      <c r="I11" s="701">
        <f>0+'[2]12'!K117</f>
        <v>0</v>
      </c>
      <c r="J11" s="701">
        <f>0+'[2]12'!L117</f>
        <v>0</v>
      </c>
      <c r="K11" s="701">
        <f>14710+'[2]12'!M117</f>
        <v>14710</v>
      </c>
      <c r="L11" s="701">
        <f>951340+'[2]12'!N114</f>
        <v>951340</v>
      </c>
      <c r="M11" s="701">
        <f>246596+'[2]12'!O114</f>
        <v>379983</v>
      </c>
      <c r="N11" s="701">
        <f t="shared" si="0"/>
        <v>2564889</v>
      </c>
    </row>
    <row r="12" spans="1:14" s="34" customFormat="1" ht="12.75" customHeight="1">
      <c r="A12" s="700"/>
      <c r="B12" s="700">
        <v>20</v>
      </c>
      <c r="C12" s="703" t="s">
        <v>1548</v>
      </c>
      <c r="D12" s="701">
        <f>0+'[2]12'!F119</f>
        <v>0</v>
      </c>
      <c r="E12" s="701">
        <f>0+'[2]12'!G119</f>
        <v>0</v>
      </c>
      <c r="F12" s="701">
        <f>0+'[2]12'!H119</f>
        <v>0</v>
      </c>
      <c r="G12" s="701">
        <f>0+'[2]12'!I119</f>
        <v>0</v>
      </c>
      <c r="H12" s="701">
        <f>0+'[2]12'!J119</f>
        <v>0</v>
      </c>
      <c r="I12" s="701">
        <f>0+'[2]12'!K119</f>
        <v>0</v>
      </c>
      <c r="J12" s="701">
        <f>0+'[2]12'!L119</f>
        <v>0</v>
      </c>
      <c r="K12" s="701">
        <f>0+'[2]12'!M119</f>
        <v>0</v>
      </c>
      <c r="L12" s="701">
        <f>0+'[2]12'!N119</f>
        <v>0</v>
      </c>
      <c r="M12" s="701">
        <f>0+'[2]12'!O119</f>
        <v>0</v>
      </c>
      <c r="N12" s="701">
        <f t="shared" si="0"/>
        <v>0</v>
      </c>
    </row>
    <row r="13" spans="1:14" s="34" customFormat="1" ht="12.75" customHeight="1">
      <c r="A13" s="700"/>
      <c r="B13" s="700">
        <v>21</v>
      </c>
      <c r="C13" s="703" t="s">
        <v>1287</v>
      </c>
      <c r="D13" s="701">
        <f>61560+'[2]12'!F128</f>
        <v>69622</v>
      </c>
      <c r="E13" s="701">
        <f>19065+'[2]12'!G128</f>
        <v>23096</v>
      </c>
      <c r="F13" s="701">
        <f>87336+'[2]12'!H128</f>
        <v>74260</v>
      </c>
      <c r="G13" s="701">
        <f>0+'[2]12'!I128</f>
        <v>0</v>
      </c>
      <c r="H13" s="701">
        <f>92148+'[2]12'!J128</f>
        <v>94501</v>
      </c>
      <c r="I13" s="701">
        <f>250+'[2]12'!K130</f>
        <v>250</v>
      </c>
      <c r="J13" s="701">
        <f>0+'[2]12'!L130</f>
        <v>0</v>
      </c>
      <c r="K13" s="701">
        <f>0+'[2]12'!M130</f>
        <v>130</v>
      </c>
      <c r="L13" s="701">
        <f>0+'[2]12'!N128</f>
        <v>0</v>
      </c>
      <c r="M13" s="701">
        <f>0+'[2]12'!O128</f>
        <v>0</v>
      </c>
      <c r="N13" s="701">
        <f t="shared" si="0"/>
        <v>261859</v>
      </c>
    </row>
    <row r="14" spans="1:14" s="34" customFormat="1" ht="12.75" customHeight="1">
      <c r="A14" s="700"/>
      <c r="B14" s="700">
        <v>30</v>
      </c>
      <c r="C14" s="664" t="s">
        <v>1552</v>
      </c>
      <c r="D14" s="701">
        <f>0+'[2]12'!F139</f>
        <v>0</v>
      </c>
      <c r="E14" s="701">
        <f>0+'[2]12'!G139</f>
        <v>0</v>
      </c>
      <c r="F14" s="701">
        <f>0+'[2]12'!H139</f>
        <v>0</v>
      </c>
      <c r="G14" s="701">
        <f>0+'[2]12'!I139</f>
        <v>0</v>
      </c>
      <c r="H14" s="701">
        <f>278690+'[2]12'!J139</f>
        <v>235340</v>
      </c>
      <c r="I14" s="701">
        <f>0+'[2]12'!K139</f>
        <v>0</v>
      </c>
      <c r="J14" s="701">
        <f>10000+'[2]12'!L139</f>
        <v>10000</v>
      </c>
      <c r="K14" s="701">
        <f>0+'[2]12'!M139</f>
        <v>0</v>
      </c>
      <c r="L14" s="701">
        <f>0+'[2]12'!N139</f>
        <v>0</v>
      </c>
      <c r="M14" s="701">
        <f>0+'[2]12'!O139</f>
        <v>0</v>
      </c>
      <c r="N14" s="701">
        <f t="shared" si="0"/>
        <v>245340</v>
      </c>
    </row>
    <row r="15" spans="1:14" s="36" customFormat="1" ht="24.75" customHeight="1">
      <c r="A15" s="704"/>
      <c r="B15" s="704"/>
      <c r="C15" s="705" t="s">
        <v>1422</v>
      </c>
      <c r="D15" s="706">
        <f aca="true" t="shared" si="1" ref="D15:N15">SUM(D3:D14)</f>
        <v>80576</v>
      </c>
      <c r="E15" s="706">
        <f t="shared" si="1"/>
        <v>27379</v>
      </c>
      <c r="F15" s="706">
        <f t="shared" si="1"/>
        <v>2121482</v>
      </c>
      <c r="G15" s="706">
        <f t="shared" si="1"/>
        <v>422865</v>
      </c>
      <c r="H15" s="706">
        <f t="shared" si="1"/>
        <v>1712804</v>
      </c>
      <c r="I15" s="706">
        <f t="shared" si="1"/>
        <v>7132459</v>
      </c>
      <c r="J15" s="706">
        <f t="shared" si="1"/>
        <v>650031</v>
      </c>
      <c r="K15" s="706">
        <f t="shared" si="1"/>
        <v>798198</v>
      </c>
      <c r="L15" s="706">
        <f t="shared" si="1"/>
        <v>951340</v>
      </c>
      <c r="M15" s="706">
        <f t="shared" si="1"/>
        <v>441325</v>
      </c>
      <c r="N15" s="706">
        <f t="shared" si="1"/>
        <v>14338459</v>
      </c>
    </row>
    <row r="16" spans="1:14" s="36" customFormat="1" ht="12.75" customHeight="1">
      <c r="A16" s="707">
        <v>2</v>
      </c>
      <c r="B16" s="708"/>
      <c r="C16" s="709" t="s">
        <v>1621</v>
      </c>
      <c r="D16" s="661">
        <f>2957714+'[2]táj.2.'!C20</f>
        <v>2974504</v>
      </c>
      <c r="E16" s="661">
        <f>802331+'[2]táj.2.'!D20</f>
        <v>802912</v>
      </c>
      <c r="F16" s="661">
        <f>2616177+'[2]táj.2.'!E20</f>
        <v>2619762</v>
      </c>
      <c r="G16" s="661">
        <f>0+'[2]táj.2.'!F20</f>
        <v>0</v>
      </c>
      <c r="H16" s="661">
        <f>42139+'[2]táj.2.'!G20</f>
        <v>43518</v>
      </c>
      <c r="I16" s="661">
        <f>110629+'[2]táj.2.'!H20</f>
        <v>148371</v>
      </c>
      <c r="J16" s="661">
        <f>69755+'[2]táj.2.'!I20</f>
        <v>77283</v>
      </c>
      <c r="K16" s="661">
        <f>0+'[2]táj.2.'!J20</f>
        <v>0</v>
      </c>
      <c r="L16" s="661">
        <f>0+'[2]táj.2.'!K20</f>
        <v>0</v>
      </c>
      <c r="M16" s="661">
        <f>0+'[2]táj.2.'!J20</f>
        <v>0</v>
      </c>
      <c r="N16" s="661">
        <f>SUM(D16:M16)</f>
        <v>6666350</v>
      </c>
    </row>
    <row r="17" spans="1:14" s="36" customFormat="1" ht="12.75" customHeight="1">
      <c r="A17" s="704"/>
      <c r="B17" s="704"/>
      <c r="C17" s="710" t="s">
        <v>1599</v>
      </c>
      <c r="D17" s="706">
        <f aca="true" t="shared" si="2" ref="D17:N17">SUM(D15:D16)</f>
        <v>3055080</v>
      </c>
      <c r="E17" s="706">
        <f t="shared" si="2"/>
        <v>830291</v>
      </c>
      <c r="F17" s="706">
        <f t="shared" si="2"/>
        <v>4741244</v>
      </c>
      <c r="G17" s="706">
        <f t="shared" si="2"/>
        <v>422865</v>
      </c>
      <c r="H17" s="706">
        <f t="shared" si="2"/>
        <v>1756322</v>
      </c>
      <c r="I17" s="706">
        <f t="shared" si="2"/>
        <v>7280830</v>
      </c>
      <c r="J17" s="706">
        <f t="shared" si="2"/>
        <v>727314</v>
      </c>
      <c r="K17" s="706">
        <f t="shared" si="2"/>
        <v>798198</v>
      </c>
      <c r="L17" s="706">
        <f t="shared" si="2"/>
        <v>951340</v>
      </c>
      <c r="M17" s="706">
        <f t="shared" si="2"/>
        <v>441325</v>
      </c>
      <c r="N17" s="706">
        <f t="shared" si="2"/>
        <v>21004809</v>
      </c>
    </row>
    <row r="18" spans="13:14" s="7" customFormat="1" ht="12">
      <c r="M18" s="25"/>
      <c r="N18" s="25"/>
    </row>
    <row r="19" spans="13:14" s="7" customFormat="1" ht="12">
      <c r="M19" s="25"/>
      <c r="N19" s="457"/>
    </row>
    <row r="20" spans="13:14" s="7" customFormat="1" ht="12">
      <c r="M20" s="25"/>
      <c r="N20" s="25"/>
    </row>
    <row r="21" spans="13:14" s="7" customFormat="1" ht="12">
      <c r="M21" s="25"/>
      <c r="N21" s="25"/>
    </row>
    <row r="22" spans="13:14" s="7" customFormat="1" ht="12">
      <c r="M22" s="25"/>
      <c r="N22" s="25"/>
    </row>
    <row r="23" spans="13:14" s="7" customFormat="1" ht="12">
      <c r="M23" s="25"/>
      <c r="N23" s="25"/>
    </row>
    <row r="24" spans="13:14" s="7" customFormat="1" ht="12">
      <c r="M24" s="25"/>
      <c r="N24" s="25"/>
    </row>
    <row r="25" spans="13:14" s="7" customFormat="1" ht="12">
      <c r="M25" s="25"/>
      <c r="N25" s="25"/>
    </row>
    <row r="26" spans="13:14" s="7" customFormat="1" ht="12">
      <c r="M26" s="25"/>
      <c r="N26" s="25"/>
    </row>
    <row r="27" spans="13:14" s="7" customFormat="1" ht="12">
      <c r="M27" s="25"/>
      <c r="N27" s="25"/>
    </row>
    <row r="28" spans="13:14" s="7" customFormat="1" ht="12">
      <c r="M28" s="25"/>
      <c r="N28" s="25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2014-06-27T13:51:26Z</cp:lastPrinted>
  <dcterms:created xsi:type="dcterms:W3CDTF">2002-12-30T13:12:46Z</dcterms:created>
  <dcterms:modified xsi:type="dcterms:W3CDTF">2014-07-10T08:33:13Z</dcterms:modified>
  <cp:category/>
  <cp:version/>
  <cp:contentType/>
  <cp:contentStatus/>
</cp:coreProperties>
</file>