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activeTab="10"/>
  </bookViews>
  <sheets>
    <sheet name="jövpótló" sheetId="1" r:id="rId1"/>
    <sheet name="bérkomp" sheetId="2" r:id="rId2"/>
    <sheet name="2013 évi közfogi" sheetId="3" r:id="rId3"/>
    <sheet name="2014 közfogi" sheetId="4" r:id="rId4"/>
    <sheet name="rendeletkönyv" sheetId="5" r:id="rId5"/>
    <sheet name="1_mell" sheetId="6" r:id="rId6"/>
    <sheet name="2_mell" sheetId="7" r:id="rId7"/>
    <sheet name="3_mell" sheetId="8" r:id="rId8"/>
    <sheet name="4_mell" sheetId="9" r:id="rId9"/>
    <sheet name="4_1 mell" sheetId="10" r:id="rId10"/>
    <sheet name="5_mell" sheetId="11" r:id="rId11"/>
    <sheet name="6_mell" sheetId="12" r:id="rId12"/>
    <sheet name="7_mell" sheetId="13" r:id="rId13"/>
    <sheet name="8_mell" sheetId="14" r:id="rId14"/>
    <sheet name="9_mell" sheetId="15" r:id="rId15"/>
    <sheet name="10_mell" sheetId="16" r:id="rId16"/>
    <sheet name="11_mell" sheetId="17" r:id="rId17"/>
    <sheet name="12_mell" sheetId="18" r:id="rId18"/>
    <sheet name="13_mell" sheetId="19" r:id="rId19"/>
    <sheet name="14_mell" sheetId="20" r:id="rId20"/>
    <sheet name="15_mell" sheetId="21" r:id="rId21"/>
    <sheet name="16_mell" sheetId="22" r:id="rId22"/>
    <sheet name="18_mell" sheetId="23" r:id="rId23"/>
    <sheet name="17_mell" sheetId="24" r:id="rId24"/>
    <sheet name="19_mell" sheetId="25" r:id="rId25"/>
    <sheet name="20_mell" sheetId="26" r:id="rId26"/>
    <sheet name="21_mell" sheetId="27" r:id="rId27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5">'1_mell'!$A$1:$F$87</definedName>
    <definedName name="_xlnm.Print_Area" localSheetId="15">'10_mell'!$A$1:$D$38</definedName>
    <definedName name="_xlnm.Print_Area" localSheetId="16">'11_mell'!$A$1:$K$28</definedName>
    <definedName name="_xlnm.Print_Area" localSheetId="17">'12_mell'!$A$1:$Y$72</definedName>
    <definedName name="_xlnm.Print_Area" localSheetId="18">'13_mell'!$A$1:$H$74</definedName>
    <definedName name="_xlnm.Print_Area" localSheetId="20">'15_mell'!$A$1:$P$30</definedName>
    <definedName name="_xlnm.Print_Area" localSheetId="21">'16_mell'!$A$1:$O$29</definedName>
    <definedName name="_xlnm.Print_Area" localSheetId="23">'17_mell'!$A$1:$P$33</definedName>
    <definedName name="_xlnm.Print_Area" localSheetId="22">'18_mell'!$A$1:$P$33</definedName>
    <definedName name="_xlnm.Print_Area" localSheetId="24">'19_mell'!$A$1:$P$33</definedName>
    <definedName name="_xlnm.Print_Area" localSheetId="6">'2_mell'!$A$1:$F$34</definedName>
    <definedName name="_xlnm.Print_Area" localSheetId="25">'20_mell'!$A$1:$P$32</definedName>
    <definedName name="_xlnm.Print_Area" localSheetId="26">'21_mell'!$A$1:$N$24</definedName>
    <definedName name="_xlnm.Print_Area" localSheetId="7">'3_mell'!$A$1:$M$33</definedName>
    <definedName name="_xlnm.Print_Area" localSheetId="8">'4_mell'!$A$1:$M$36</definedName>
    <definedName name="_xlnm.Print_Area" localSheetId="10">'5_mell'!$A$1:$D$46</definedName>
    <definedName name="_xlnm.Print_Area" localSheetId="11">'6_mell'!$A$1:$L$31</definedName>
    <definedName name="_xlnm.Print_Area" localSheetId="12">'7_mell'!$A$1:$D$29</definedName>
    <definedName name="_xlnm.Print_Area" localSheetId="13">'8_mell'!$A$1:$D$18</definedName>
    <definedName name="_xlnm.Print_Area" localSheetId="14">'9_mell'!$A$1:$G$25</definedName>
    <definedName name="_xlnm.Print_Area" localSheetId="4">'rendeletkönyv'!$A$1:$AA$65</definedName>
  </definedNames>
  <calcPr fullCalcOnLoad="1"/>
</workbook>
</file>

<file path=xl/sharedStrings.xml><?xml version="1.0" encoding="utf-8"?>
<sst xmlns="http://schemas.openxmlformats.org/spreadsheetml/2006/main" count="1869" uniqueCount="675">
  <si>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</si>
  <si>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</si>
  <si>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</si>
  <si>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</si>
  <si>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</si>
  <si>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</si>
  <si>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</si>
  <si>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</si>
  <si>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</si>
  <si>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</si>
  <si>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</si>
  <si>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</si>
  <si>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</si>
  <si>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</si>
  <si>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</si>
  <si>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</si>
  <si>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</si>
  <si>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</si>
  <si>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</si>
  <si>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</si>
  <si>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</si>
  <si>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</si>
  <si>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</si>
  <si>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</si>
  <si>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</si>
  <si>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</si>
  <si>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</si>
  <si>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</si>
  <si>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</si>
  <si>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</si>
  <si>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</si>
  <si>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</si>
  <si>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</si>
  <si>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</si>
  <si>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</si>
  <si>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</si>
  <si>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</si>
  <si>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</si>
  <si>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</si>
  <si>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</si>
  <si>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</si>
  <si>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</si>
  <si>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</si>
  <si>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</si>
  <si>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</si>
  <si>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</si>
  <si>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</si>
  <si>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</si>
  <si>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</si>
  <si>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</si>
  <si>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</si>
  <si>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</si>
  <si>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</si>
  <si>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</si>
  <si>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</si>
  <si>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</si>
  <si>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</si>
  <si>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</si>
  <si>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</si>
  <si>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</si>
  <si>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</si>
  <si>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</si>
  <si>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</si>
  <si>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</si>
  <si>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</si>
  <si>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</si>
  <si>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</si>
  <si>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</si>
  <si>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</si>
  <si>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</si>
  <si>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</si>
  <si>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</si>
  <si>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</si>
  <si>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</si>
  <si>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</si>
  <si>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</si>
  <si>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</si>
  <si>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</si>
  <si>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</si>
  <si>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</si>
  <si>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</si>
  <si>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</si>
  <si>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</si>
  <si>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</si>
  <si>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</si>
  <si>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</si>
  <si>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</si>
  <si>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</si>
  <si>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</si>
  <si>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</si>
  <si>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</si>
  <si>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</si>
  <si>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</si>
  <si>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</si>
  <si>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</si>
  <si>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</si>
  <si>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</si>
  <si>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</si>
  <si>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</si>
  <si>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</si>
  <si>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</si>
  <si>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</si>
  <si>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</si>
  <si>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</si>
  <si>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</si>
  <si>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</si>
  <si>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</si>
  <si>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</si>
  <si>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</si>
  <si>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</si>
  <si>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</si>
  <si>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</si>
  <si>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</si>
  <si>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</si>
  <si>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</si>
  <si>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</si>
  <si>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</si>
  <si>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</si>
  <si>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</si>
  <si>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</si>
  <si>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</si>
  <si>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</si>
  <si>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</si>
  <si>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</si>
  <si>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</si>
  <si>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</si>
  <si>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</si>
  <si>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</si>
  <si>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</si>
  <si>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</si>
  <si>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</si>
  <si>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</si>
  <si>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</si>
  <si>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</si>
  <si>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</si>
  <si>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</si>
  <si>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</si>
  <si>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</si>
  <si>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</si>
  <si>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</si>
  <si>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</si>
  <si>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</si>
  <si>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</si>
  <si>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</si>
  <si>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</si>
  <si>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</si>
  <si>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</si>
  <si>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</si>
  <si>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</si>
  <si>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</si>
  <si>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</si>
  <si>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</si>
  <si>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</si>
  <si>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</si>
  <si>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</si>
  <si>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</si>
  <si>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</si>
  <si>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</si>
  <si>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</si>
  <si>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</si>
  <si>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</si>
  <si>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</si>
  <si>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</si>
  <si>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</si>
  <si>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</si>
  <si>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</si>
  <si>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</si>
  <si>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</si>
  <si>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</si>
  <si>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</si>
  <si>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</si>
  <si>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</si>
  <si>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</si>
  <si>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</si>
  <si>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</si>
  <si>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</si>
  <si>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</si>
  <si>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</si>
  <si>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</si>
  <si>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</si>
  <si>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</si>
  <si>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</si>
  <si>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</si>
  <si>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</si>
  <si>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</si>
  <si>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</si>
  <si>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</si>
  <si>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</si>
  <si>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</si>
  <si>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</si>
  <si>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</si>
  <si>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</si>
  <si>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</si>
  <si>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</si>
  <si>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</si>
  <si>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</si>
  <si>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</si>
  <si>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</si>
  <si>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</si>
  <si>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</si>
  <si>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</si>
  <si>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</si>
  <si>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</si>
  <si>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</si>
  <si>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</si>
  <si>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</si>
  <si>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</si>
  <si>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</si>
  <si>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</si>
  <si>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</si>
  <si>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</si>
  <si>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</si>
  <si>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</si>
  <si>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</si>
  <si>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</si>
  <si>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</si>
  <si>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</si>
  <si>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</si>
  <si>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</si>
  <si>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</si>
  <si>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</si>
  <si>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</si>
  <si>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</si>
  <si>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</si>
  <si>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</si>
  <si>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</si>
  <si>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</si>
  <si>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</si>
  <si>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</si>
  <si>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</si>
  <si>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</si>
  <si>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</si>
  <si>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</si>
  <si>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</si>
  <si>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</si>
  <si>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</si>
  <si>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</si>
  <si>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</si>
  <si>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</si>
  <si>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</si>
  <si>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</si>
  <si>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</si>
  <si>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</si>
  <si>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</si>
  <si>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</si>
  <si>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</si>
  <si>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</si>
  <si>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</si>
  <si>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</si>
  <si>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</si>
  <si>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</si>
  <si>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</si>
  <si>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</si>
  <si>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</si>
  <si>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</si>
  <si>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</si>
  <si>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</si>
  <si>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</si>
  <si>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</si>
  <si>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</si>
  <si>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</si>
  <si>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</si>
  <si>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</si>
  <si>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</si>
  <si>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</si>
  <si>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</si>
  <si>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</si>
  <si>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</si>
  <si>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</si>
  <si>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</si>
  <si>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</si>
  <si>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</si>
  <si>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</si>
  <si>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</si>
  <si>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</si>
  <si>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</si>
  <si>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</si>
  <si>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</si>
  <si>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</si>
  <si>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</si>
  <si>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</si>
  <si>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</si>
  <si>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</si>
  <si>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</si>
  <si>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</si>
  <si>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</si>
  <si>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</si>
  <si>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</si>
  <si>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</si>
  <si>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</si>
  <si>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</si>
  <si>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</si>
  <si>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</si>
  <si>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</si>
  <si>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</si>
  <si>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</si>
  <si>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</si>
  <si>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</si>
  <si>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</si>
  <si>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</si>
  <si>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</si>
  <si>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</si>
  <si>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</si>
  <si>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</si>
  <si>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</si>
  <si>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</si>
  <si>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</si>
  <si>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</si>
  <si>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</si>
  <si>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</si>
  <si>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</si>
  <si>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</si>
  <si>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</si>
  <si>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</si>
  <si>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</si>
  <si>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</si>
  <si>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</si>
  <si>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</si>
  <si>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</si>
  <si>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</si>
  <si>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</si>
  <si>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</si>
  <si>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</si>
  <si>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</si>
  <si>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</si>
  <si>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</si>
  <si>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</si>
  <si>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</si>
  <si>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</si>
  <si>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</si>
  <si>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</si>
  <si>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</si>
  <si>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</si>
  <si>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</si>
  <si>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</si>
  <si>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</si>
  <si>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</si>
  <si>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</si>
  <si>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</si>
  <si>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</si>
  <si>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</si>
  <si>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</si>
  <si>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</si>
  <si>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</si>
  <si>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</si>
  <si>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</si>
  <si>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</si>
  <si>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</si>
  <si>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</si>
  <si>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</si>
  <si>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</si>
  <si>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</si>
  <si>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</si>
  <si>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</si>
  <si>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</si>
  <si>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</si>
  <si>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</si>
  <si>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</si>
  <si>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</si>
  <si>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</si>
  <si>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</si>
  <si>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</si>
  <si>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</si>
  <si>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</si>
  <si>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</si>
  <si>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</si>
  <si>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</si>
  <si>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</si>
  <si>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</si>
  <si>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</si>
  <si>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</si>
  <si>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</si>
  <si>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</si>
  <si>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</si>
  <si>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</si>
  <si>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</si>
  <si>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</si>
  <si>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</si>
  <si>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</si>
  <si>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</si>
  <si>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</si>
  <si>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</si>
  <si>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</si>
  <si>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</si>
  <si>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</si>
  <si>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</si>
  <si>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</si>
  <si>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</si>
  <si>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</si>
  <si>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</si>
  <si>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</si>
  <si>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</si>
  <si>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</si>
  <si>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</si>
  <si>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</si>
  <si>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</si>
  <si>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</si>
  <si>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</si>
  <si>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</si>
  <si>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</si>
  <si>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</si>
  <si>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</si>
  <si>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</si>
  <si>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</si>
  <si>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</si>
  <si>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</si>
  <si>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</si>
  <si>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</si>
  <si>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</si>
  <si>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</si>
  <si>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</si>
  <si>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</si>
  <si>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</si>
  <si>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</si>
  <si>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</si>
  <si>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</si>
  <si>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</si>
  <si>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</si>
  <si>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</si>
  <si>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Felhalmozási c. kötvény törl.első félévi</t>
  </si>
  <si>
    <t>Felhalmozási c. kötvény törl.mádodik félévi 50%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</si>
  <si>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</si>
  <si>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</si>
  <si>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</si>
  <si>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</si>
  <si>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</si>
  <si>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</si>
  <si>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</si>
  <si>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</si>
  <si>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</si>
  <si>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</si>
  <si>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</si>
  <si>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</si>
  <si>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</si>
  <si>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</si>
  <si>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</si>
  <si>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</si>
  <si>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</si>
  <si>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</si>
  <si>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</si>
  <si>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</si>
  <si>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</si>
  <si>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</si>
  <si>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</si>
  <si>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</si>
  <si>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</si>
  <si>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</si>
  <si>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</si>
  <si>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</si>
  <si>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</si>
  <si>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</si>
  <si>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</si>
  <si>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</si>
  <si>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</si>
  <si>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</si>
  <si>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</si>
  <si>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</si>
  <si>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</si>
  <si>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</si>
  <si>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</si>
  <si>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</si>
  <si>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</si>
  <si>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</si>
  <si>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</si>
  <si>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</si>
  <si>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</si>
  <si>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</si>
  <si>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</si>
  <si>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</si>
  <si>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</si>
  <si>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</si>
  <si>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</si>
  <si>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</si>
  <si>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</si>
  <si>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</si>
  <si>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</si>
  <si>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</si>
  <si>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</si>
  <si>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</si>
  <si>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</si>
  <si>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</si>
  <si>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</si>
  <si>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</si>
  <si>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</si>
  <si>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</si>
  <si>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</si>
  <si>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</si>
  <si>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</si>
  <si>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</si>
  <si>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</si>
  <si>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</si>
  <si>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</si>
  <si>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</si>
  <si>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</si>
  <si>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</si>
  <si>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</si>
  <si>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Működési hitel</t>
  </si>
  <si>
    <t>40.</t>
  </si>
  <si>
    <t>működési hitel</t>
  </si>
  <si>
    <t xml:space="preserve">  Közművelődési érdekeltségnövelő pályázati alap </t>
  </si>
  <si>
    <t xml:space="preserve">  Múzeumi érdekeltségnövelő pályázati alap</t>
  </si>
  <si>
    <t xml:space="preserve">  Számíthatsz Ránk! Egyesület pályázati önerő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</si>
  <si>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</si>
  <si>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</si>
  <si>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</si>
  <si>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</si>
  <si>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</si>
  <si>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</si>
  <si>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Fantázia Sport 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</si>
  <si>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</si>
  <si>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</si>
  <si>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</si>
  <si>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</si>
  <si>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</si>
  <si>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</si>
  <si>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</si>
  <si>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Szabad forrás</t>
  </si>
  <si>
    <t>Pénzmaradvány átadások</t>
  </si>
  <si>
    <t xml:space="preserve">  Battonyai Polgármesteri Hivatal</t>
  </si>
  <si>
    <t xml:space="preserve">  Egészségügyi és Szociális Ellátó Szervezet</t>
  </si>
  <si>
    <t xml:space="preserve">  Városellátó Szervezet</t>
  </si>
  <si>
    <t>Pénzmaradvány átadás</t>
  </si>
  <si>
    <t>2013. évi pénzmaradvány ÖK</t>
  </si>
  <si>
    <t>2013. évi pénzmaradvány Városi Műv. Központ és Könyvtár</t>
  </si>
  <si>
    <t>2014. évi mód.ei.</t>
  </si>
  <si>
    <t>Pénzmaradvány átvételek ÖK-tól</t>
  </si>
  <si>
    <t>2013. évi normatív állami támogatás visszatérülés</t>
  </si>
  <si>
    <t>Pénzmaradvány átvételek ÖK-tól Városi Művelődési Központ és Könyvtár részére</t>
  </si>
  <si>
    <t>Pénzmaradvány</t>
  </si>
  <si>
    <t>41.</t>
  </si>
  <si>
    <t>42.</t>
  </si>
  <si>
    <t>43.</t>
  </si>
  <si>
    <t>44.</t>
  </si>
  <si>
    <t>45.</t>
  </si>
  <si>
    <t>46.</t>
  </si>
  <si>
    <t>47.</t>
  </si>
  <si>
    <t>átadott pe.</t>
  </si>
  <si>
    <t>felhalmozás</t>
  </si>
  <si>
    <t>hitel</t>
  </si>
  <si>
    <t>kölcsön</t>
  </si>
  <si>
    <t>átvett</t>
  </si>
  <si>
    <t>../2014 módosítás</t>
  </si>
  <si>
    <t>személyi</t>
  </si>
  <si>
    <t>ber.</t>
  </si>
  <si>
    <t>fel.</t>
  </si>
  <si>
    <t>törl.</t>
  </si>
  <si>
    <t>nyújtás</t>
  </si>
  <si>
    <t>működési</t>
  </si>
  <si>
    <t>sajátos</t>
  </si>
  <si>
    <t>kölcsön v.</t>
  </si>
  <si>
    <t>pm</t>
  </si>
  <si>
    <t>érdekeltségnövelő múzeum</t>
  </si>
  <si>
    <t>közműv. Érd.növ.</t>
  </si>
  <si>
    <t>könyvtári érd.növ.</t>
  </si>
  <si>
    <t>átmeneti ivóvízellátás</t>
  </si>
  <si>
    <t>határátkelő</t>
  </si>
  <si>
    <t>ágazati pótlék ESZESZ 1.065.374</t>
  </si>
  <si>
    <t>bérkompenzáció</t>
  </si>
  <si>
    <t>EP választás</t>
  </si>
  <si>
    <t>egyes jövpótló</t>
  </si>
  <si>
    <t>ÖK</t>
  </si>
  <si>
    <t>eszesz</t>
  </si>
  <si>
    <t>vsz</t>
  </si>
  <si>
    <t>ph</t>
  </si>
  <si>
    <t xml:space="preserve">könyvtár </t>
  </si>
  <si>
    <t>ei. Változás</t>
  </si>
  <si>
    <t>december</t>
  </si>
  <si>
    <t>január</t>
  </si>
  <si>
    <t>márc.rendelet</t>
  </si>
  <si>
    <t>sz</t>
  </si>
  <si>
    <t>j</t>
  </si>
  <si>
    <t>össz</t>
  </si>
  <si>
    <t>könyvták</t>
  </si>
  <si>
    <t>február</t>
  </si>
  <si>
    <t>március</t>
  </si>
  <si>
    <t>április</t>
  </si>
  <si>
    <t>06hó rendelet</t>
  </si>
  <si>
    <t>össz.</t>
  </si>
  <si>
    <t>sz eft</t>
  </si>
  <si>
    <t>j eft</t>
  </si>
  <si>
    <t>össz eft.</t>
  </si>
  <si>
    <t>fht</t>
  </si>
  <si>
    <t>lft</t>
  </si>
  <si>
    <t>szoci</t>
  </si>
  <si>
    <t>előleg</t>
  </si>
  <si>
    <t>május</t>
  </si>
  <si>
    <t>június</t>
  </si>
  <si>
    <t>félév</t>
  </si>
  <si>
    <t>július</t>
  </si>
  <si>
    <t>augusztus</t>
  </si>
  <si>
    <t>szeptember</t>
  </si>
  <si>
    <t>október</t>
  </si>
  <si>
    <t>november</t>
  </si>
  <si>
    <t>működési célú</t>
  </si>
  <si>
    <t>felhalmozási célú</t>
  </si>
  <si>
    <t>Múzeumi érdekeltségnövelő támogatás</t>
  </si>
  <si>
    <t>Közművelődési érdekeltségnövelő tám.</t>
  </si>
  <si>
    <t>Könyvtári érdekeltségnövelő támogatás</t>
  </si>
  <si>
    <t>Átmeneti ivóvízellátás támogatása</t>
  </si>
  <si>
    <t>Határátkelőhely támogatása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</si>
  <si>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</si>
  <si>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</si>
  <si>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</si>
  <si>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</si>
  <si>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</si>
  <si>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</si>
  <si>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</si>
  <si>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</si>
  <si>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</si>
  <si>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közmunka</t>
  </si>
  <si>
    <t>építőipari</t>
  </si>
  <si>
    <t>közösségi tér</t>
  </si>
  <si>
    <t>favágó és faültető</t>
  </si>
  <si>
    <t>eszközök</t>
  </si>
  <si>
    <t xml:space="preserve">könyvtár  </t>
  </si>
  <si>
    <t>Szociális nyári gyermekétkeztetés</t>
  </si>
  <si>
    <t>szoc.nyári gy.étk.</t>
  </si>
  <si>
    <t>Központosított előirányzat</t>
  </si>
  <si>
    <t>Ágazati pótlék   ( egészségügy)</t>
  </si>
  <si>
    <t>Temető ravatalozó épület tető felújítása</t>
  </si>
  <si>
    <t>Könyvtár zsidó emlékmű</t>
  </si>
  <si>
    <t>05.,30</t>
  </si>
  <si>
    <t>13 évről áthúzódó közmunka</t>
  </si>
  <si>
    <t>MAZSIHISZ</t>
  </si>
  <si>
    <t>infrra srukt.pályázat</t>
  </si>
  <si>
    <t>eszesz pályázat</t>
  </si>
  <si>
    <t>Ogyi képviselő választás</t>
  </si>
  <si>
    <t>infra    tám ,megelőlegezés ÖK könyvtárnak</t>
  </si>
  <si>
    <t>könyvtár</t>
  </si>
  <si>
    <t>Városi Művelődési Központ és Könyvtár pályázati előfinanszírozás</t>
  </si>
  <si>
    <t>MAZSIHISZ támogatás</t>
  </si>
  <si>
    <t>57.</t>
  </si>
  <si>
    <t>58.</t>
  </si>
  <si>
    <t>59.</t>
  </si>
  <si>
    <t>Egészségügyi és Szociális Ellátó Szervezet pályázat</t>
  </si>
  <si>
    <t>Egészségügyi és Szociális Ellátó Szervezet fogászati gépek beszerzése saját forrásból</t>
  </si>
  <si>
    <t>Városi Művelődési Központ és Könyvtár "Civil Alap 2014 pályázat"</t>
  </si>
  <si>
    <t>Városi Művelődési Központ és Könyvtár " Civil-Alap 2014 pályázat"</t>
  </si>
  <si>
    <t>Városi Művelődési Központ és Könyvtár foglalkoztatási támogatás</t>
  </si>
  <si>
    <t>Városi Művelődési Központ és Könyvtár pályázati előfinanszírozása Önkormányzattól</t>
  </si>
  <si>
    <t>Városi Művelődési Központ és Könyvtár pályázati előfinanszírozás visszautalása Önkormányzatnak</t>
  </si>
  <si>
    <t>Battonya Város Önkormányzata VMK és Könyvtártól 2013. évi pályázati megelőlegezés</t>
  </si>
  <si>
    <t>Városi Művelődési Központ és Könyvtár TIOP pályázat 2013. évi</t>
  </si>
  <si>
    <t>60.</t>
  </si>
  <si>
    <t>61.</t>
  </si>
  <si>
    <t>62.</t>
  </si>
  <si>
    <t>63.</t>
  </si>
  <si>
    <t>64.</t>
  </si>
  <si>
    <t>65.</t>
  </si>
  <si>
    <t>66.</t>
  </si>
  <si>
    <t>67.</t>
  </si>
  <si>
    <t>eszesz pótigény</t>
  </si>
  <si>
    <t>ÖK tól</t>
  </si>
  <si>
    <t>ök-nál</t>
  </si>
  <si>
    <t>béremelés</t>
  </si>
  <si>
    <t>külön döntések</t>
  </si>
  <si>
    <t>könyvtár foglalkoztatás</t>
  </si>
  <si>
    <t>értéktár</t>
  </si>
  <si>
    <t>könyvtár béremelés</t>
  </si>
  <si>
    <t>58/2014.(IV.24.) KT határozat 1 fő pénzügyi álláshely</t>
  </si>
  <si>
    <t xml:space="preserve">pénzügy 1 fő </t>
  </si>
  <si>
    <t>ebből áfa befizetés az önkormányzat dologi kiadásai között megtervezve</t>
  </si>
  <si>
    <t>Átmeneti ivóvízellátás</t>
  </si>
  <si>
    <t>Nyári gyermekétkeztetés</t>
  </si>
  <si>
    <t>EP képviselő választás</t>
  </si>
  <si>
    <t>2013. évi számlák PM-ból</t>
  </si>
  <si>
    <t>Városellátó Szervezet 1 db ipari hűtőláda</t>
  </si>
  <si>
    <t>ök-TÓL</t>
  </si>
  <si>
    <t>bér</t>
  </si>
  <si>
    <t>közösségi terek</t>
  </si>
  <si>
    <t>05.12-10.11</t>
  </si>
  <si>
    <t>építőipari tev.</t>
  </si>
  <si>
    <t>favágó</t>
  </si>
  <si>
    <t>06.29-11.28</t>
  </si>
  <si>
    <t xml:space="preserve">  Zene Mindenkiért Alapítvány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</si>
</sst>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2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"/>
      <family val="2"/>
    </font>
    <font>
      <u val="single"/>
      <sz val="12"/>
      <name val="Times New Roman"/>
      <family val="1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62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6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17" borderId="7" applyNumberFormat="0" applyFont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59" fillId="4" borderId="0" applyNumberFormat="0" applyBorder="0" applyAlignment="0" applyProtection="0"/>
    <xf numFmtId="0" fontId="63" fillId="22" borderId="8" applyNumberFormat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4" fillId="22" borderId="1" applyNumberFormat="0" applyAlignment="0" applyProtection="0"/>
    <xf numFmtId="9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3" fontId="1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3" fontId="29" fillId="0" borderId="2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2" fillId="0" borderId="0" xfId="0" applyNumberFormat="1" applyFont="1" applyFill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5" fillId="0" borderId="2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25" xfId="0" applyFont="1" applyBorder="1" applyAlignment="1">
      <alignment vertical="top" wrapText="1"/>
    </xf>
    <xf numFmtId="0" fontId="36" fillId="0" borderId="25" xfId="0" applyFont="1" applyBorder="1" applyAlignment="1">
      <alignment horizontal="right" vertical="top" wrapText="1"/>
    </xf>
    <xf numFmtId="0" fontId="36" fillId="0" borderId="26" xfId="0" applyFont="1" applyBorder="1" applyAlignment="1">
      <alignment horizontal="right" vertical="top" wrapText="1"/>
    </xf>
    <xf numFmtId="0" fontId="36" fillId="0" borderId="25" xfId="0" applyFont="1" applyBorder="1" applyAlignment="1">
      <alignment horizontal="right" vertical="center" wrapText="1"/>
    </xf>
    <xf numFmtId="0" fontId="36" fillId="0" borderId="27" xfId="0" applyFont="1" applyBorder="1" applyAlignment="1">
      <alignment horizontal="right" vertical="top" wrapText="1"/>
    </xf>
    <xf numFmtId="0" fontId="36" fillId="0" borderId="28" xfId="0" applyFont="1" applyBorder="1" applyAlignment="1">
      <alignment horizontal="right" vertical="top" wrapText="1"/>
    </xf>
    <xf numFmtId="3" fontId="35" fillId="0" borderId="29" xfId="0" applyNumberFormat="1" applyFont="1" applyBorder="1" applyAlignment="1">
      <alignment horizontal="right" vertical="top" wrapText="1"/>
    </xf>
    <xf numFmtId="3" fontId="35" fillId="0" borderId="25" xfId="0" applyNumberFormat="1" applyFont="1" applyBorder="1" applyAlignment="1">
      <alignment horizontal="right" vertical="top" wrapText="1"/>
    </xf>
    <xf numFmtId="0" fontId="36" fillId="0" borderId="30" xfId="0" applyFont="1" applyBorder="1" applyAlignment="1">
      <alignment vertical="top" wrapText="1"/>
    </xf>
    <xf numFmtId="3" fontId="36" fillId="0" borderId="31" xfId="0" applyNumberFormat="1" applyFont="1" applyBorder="1" applyAlignment="1">
      <alignment horizontal="right" vertical="top" wrapText="1"/>
    </xf>
    <xf numFmtId="3" fontId="36" fillId="0" borderId="30" xfId="0" applyNumberFormat="1" applyFont="1" applyBorder="1" applyAlignment="1">
      <alignment horizontal="right" vertical="top" wrapText="1"/>
    </xf>
    <xf numFmtId="3" fontId="36" fillId="0" borderId="32" xfId="0" applyNumberFormat="1" applyFont="1" applyBorder="1" applyAlignment="1">
      <alignment horizontal="right" vertical="top" wrapText="1"/>
    </xf>
    <xf numFmtId="3" fontId="36" fillId="0" borderId="33" xfId="0" applyNumberFormat="1" applyFont="1" applyBorder="1" applyAlignment="1">
      <alignment horizontal="right" vertical="top" wrapText="1"/>
    </xf>
    <xf numFmtId="3" fontId="36" fillId="0" borderId="34" xfId="0" applyNumberFormat="1" applyFont="1" applyBorder="1" applyAlignment="1">
      <alignment horizontal="right" vertical="top" wrapText="1"/>
    </xf>
    <xf numFmtId="3" fontId="35" fillId="0" borderId="30" xfId="0" applyNumberFormat="1" applyFont="1" applyBorder="1" applyAlignment="1">
      <alignment horizontal="right" vertical="top" wrapText="1"/>
    </xf>
    <xf numFmtId="0" fontId="36" fillId="0" borderId="35" xfId="0" applyFont="1" applyBorder="1" applyAlignment="1">
      <alignment vertical="top" wrapText="1"/>
    </xf>
    <xf numFmtId="3" fontId="36" fillId="0" borderId="35" xfId="0" applyNumberFormat="1" applyFont="1" applyBorder="1" applyAlignment="1">
      <alignment horizontal="right" vertical="top" wrapText="1"/>
    </xf>
    <xf numFmtId="3" fontId="36" fillId="0" borderId="36" xfId="0" applyNumberFormat="1" applyFont="1" applyBorder="1" applyAlignment="1">
      <alignment horizontal="right" vertical="top" wrapText="1"/>
    </xf>
    <xf numFmtId="4" fontId="36" fillId="0" borderId="35" xfId="0" applyNumberFormat="1" applyFont="1" applyBorder="1" applyAlignment="1">
      <alignment horizontal="right" vertical="top" wrapText="1"/>
    </xf>
    <xf numFmtId="4" fontId="36" fillId="0" borderId="37" xfId="0" applyNumberFormat="1" applyFont="1" applyBorder="1" applyAlignment="1">
      <alignment horizontal="right" vertical="top" wrapText="1"/>
    </xf>
    <xf numFmtId="4" fontId="36" fillId="0" borderId="38" xfId="0" applyNumberFormat="1" applyFont="1" applyBorder="1" applyAlignment="1">
      <alignment horizontal="right" vertical="top" wrapText="1"/>
    </xf>
    <xf numFmtId="3" fontId="36" fillId="0" borderId="39" xfId="0" applyNumberFormat="1" applyFont="1" applyBorder="1" applyAlignment="1">
      <alignment horizontal="right" vertical="top" wrapText="1"/>
    </xf>
    <xf numFmtId="3" fontId="35" fillId="0" borderId="35" xfId="0" applyNumberFormat="1" applyFont="1" applyBorder="1" applyAlignment="1">
      <alignment horizontal="right" vertical="top" wrapText="1"/>
    </xf>
    <xf numFmtId="0" fontId="35" fillId="0" borderId="21" xfId="0" applyFont="1" applyBorder="1" applyAlignment="1">
      <alignment vertical="top" wrapText="1"/>
    </xf>
    <xf numFmtId="3" fontId="35" fillId="0" borderId="21" xfId="0" applyNumberFormat="1" applyFont="1" applyBorder="1" applyAlignment="1">
      <alignment horizontal="right" vertical="top" wrapText="1"/>
    </xf>
    <xf numFmtId="3" fontId="35" fillId="0" borderId="26" xfId="0" applyNumberFormat="1" applyFont="1" applyBorder="1" applyAlignment="1">
      <alignment horizontal="right" vertical="top" wrapText="1"/>
    </xf>
    <xf numFmtId="4" fontId="35" fillId="0" borderId="25" xfId="0" applyNumberFormat="1" applyFont="1" applyBorder="1" applyAlignment="1">
      <alignment horizontal="right" vertical="top" wrapText="1"/>
    </xf>
    <xf numFmtId="4" fontId="35" fillId="0" borderId="27" xfId="0" applyNumberFormat="1" applyFont="1" applyBorder="1" applyAlignment="1">
      <alignment horizontal="right" vertical="top" wrapText="1"/>
    </xf>
    <xf numFmtId="4" fontId="35" fillId="0" borderId="28" xfId="0" applyNumberFormat="1" applyFont="1" applyBorder="1" applyAlignment="1">
      <alignment horizontal="right" vertical="top" wrapText="1"/>
    </xf>
    <xf numFmtId="4" fontId="36" fillId="0" borderId="30" xfId="0" applyNumberFormat="1" applyFont="1" applyBorder="1" applyAlignment="1">
      <alignment horizontal="right" vertical="top" wrapText="1"/>
    </xf>
    <xf numFmtId="4" fontId="36" fillId="0" borderId="32" xfId="0" applyNumberFormat="1" applyFont="1" applyBorder="1" applyAlignment="1">
      <alignment horizontal="right" vertical="top" wrapText="1"/>
    </xf>
    <xf numFmtId="4" fontId="36" fillId="0" borderId="33" xfId="0" applyNumberFormat="1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6" fillId="0" borderId="0" xfId="0" applyFont="1" applyBorder="1" applyAlignment="1">
      <alignment vertical="top" wrapText="1"/>
    </xf>
    <xf numFmtId="3" fontId="36" fillId="0" borderId="0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2" fillId="0" borderId="40" xfId="0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22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20" xfId="0" applyFont="1" applyBorder="1" applyAlignment="1">
      <alignment/>
    </xf>
    <xf numFmtId="3" fontId="36" fillId="0" borderId="31" xfId="0" applyNumberFormat="1" applyFont="1" applyBorder="1" applyAlignment="1">
      <alignment vertical="top" wrapText="1"/>
    </xf>
    <xf numFmtId="3" fontId="36" fillId="0" borderId="30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4" fontId="22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41" fillId="0" borderId="0" xfId="58" applyFont="1" applyFill="1" applyAlignment="1" applyProtection="1">
      <alignment horizontal="center" vertical="center" wrapText="1"/>
      <protection/>
    </xf>
    <xf numFmtId="0" fontId="42" fillId="0" borderId="0" xfId="58" applyFill="1" applyProtection="1">
      <alignment/>
      <protection/>
    </xf>
    <xf numFmtId="0" fontId="42" fillId="0" borderId="0" xfId="58" applyFill="1" applyProtection="1">
      <alignment/>
      <protection locked="0"/>
    </xf>
    <xf numFmtId="0" fontId="43" fillId="0" borderId="0" xfId="57" applyFont="1" applyFill="1" applyAlignment="1">
      <alignment horizontal="right"/>
      <protection/>
    </xf>
    <xf numFmtId="0" fontId="45" fillId="0" borderId="43" xfId="58" applyFont="1" applyFill="1" applyBorder="1" applyAlignment="1" applyProtection="1">
      <alignment horizontal="center" vertical="center" wrapText="1"/>
      <protection/>
    </xf>
    <xf numFmtId="0" fontId="45" fillId="0" borderId="44" xfId="58" applyFont="1" applyFill="1" applyBorder="1" applyAlignment="1" applyProtection="1">
      <alignment horizontal="center" vertical="center"/>
      <protection/>
    </xf>
    <xf numFmtId="0" fontId="45" fillId="0" borderId="45" xfId="58" applyFont="1" applyFill="1" applyBorder="1" applyAlignment="1" applyProtection="1">
      <alignment horizontal="center" vertical="center"/>
      <protection/>
    </xf>
    <xf numFmtId="0" fontId="46" fillId="0" borderId="46" xfId="58" applyFont="1" applyFill="1" applyBorder="1" applyAlignment="1" applyProtection="1">
      <alignment horizontal="left" vertical="center" indent="1"/>
      <protection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6" fillId="0" borderId="48" xfId="58" applyFont="1" applyFill="1" applyBorder="1" applyAlignment="1" applyProtection="1">
      <alignment horizontal="left" vertical="center" indent="1"/>
      <protection/>
    </xf>
    <xf numFmtId="0" fontId="46" fillId="0" borderId="49" xfId="58" applyFont="1" applyFill="1" applyBorder="1" applyAlignment="1" applyProtection="1">
      <alignment horizontal="left" vertical="center" indent="1"/>
      <protection/>
    </xf>
    <xf numFmtId="3" fontId="46" fillId="0" borderId="49" xfId="58" applyNumberFormat="1" applyFont="1" applyFill="1" applyBorder="1" applyAlignment="1" applyProtection="1">
      <alignment vertical="center"/>
      <protection locked="0"/>
    </xf>
    <xf numFmtId="3" fontId="46" fillId="0" borderId="50" xfId="58" applyNumberFormat="1" applyFont="1" applyFill="1" applyBorder="1" applyAlignment="1" applyProtection="1">
      <alignment vertical="center"/>
      <protection/>
    </xf>
    <xf numFmtId="0" fontId="46" fillId="0" borderId="51" xfId="58" applyFont="1" applyFill="1" applyBorder="1" applyAlignment="1" applyProtection="1">
      <alignment horizontal="left" vertical="center" indent="1"/>
      <protection/>
    </xf>
    <xf numFmtId="0" fontId="46" fillId="0" borderId="33" xfId="58" applyFont="1" applyFill="1" applyBorder="1" applyAlignment="1" applyProtection="1">
      <alignment horizontal="left" vertical="center" indent="1"/>
      <protection/>
    </xf>
    <xf numFmtId="3" fontId="46" fillId="0" borderId="33" xfId="58" applyNumberFormat="1" applyFont="1" applyFill="1" applyBorder="1" applyAlignment="1" applyProtection="1">
      <alignment vertical="center"/>
      <protection locked="0"/>
    </xf>
    <xf numFmtId="3" fontId="46" fillId="0" borderId="52" xfId="58" applyNumberFormat="1" applyFont="1" applyFill="1" applyBorder="1" applyAlignment="1" applyProtection="1">
      <alignment vertical="center"/>
      <protection/>
    </xf>
    <xf numFmtId="0" fontId="46" fillId="0" borderId="28" xfId="58" applyFont="1" applyFill="1" applyBorder="1" applyAlignment="1" applyProtection="1">
      <alignment horizontal="left" vertical="center" wrapText="1" indent="1"/>
      <protection/>
    </xf>
    <xf numFmtId="3" fontId="46" fillId="0" borderId="28" xfId="58" applyNumberFormat="1" applyFont="1" applyFill="1" applyBorder="1" applyAlignment="1" applyProtection="1">
      <alignment vertical="center"/>
      <protection locked="0"/>
    </xf>
    <xf numFmtId="0" fontId="46" fillId="0" borderId="33" xfId="58" applyFont="1" applyFill="1" applyBorder="1" applyAlignment="1" applyProtection="1">
      <alignment horizontal="left" vertical="center" wrapText="1" indent="1"/>
      <protection/>
    </xf>
    <xf numFmtId="3" fontId="46" fillId="0" borderId="53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vertical="center" indent="1"/>
      <protection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46" fillId="0" borderId="55" xfId="58" applyFont="1" applyFill="1" applyBorder="1" applyAlignment="1" applyProtection="1">
      <alignment horizontal="left" vertical="center" indent="1"/>
      <protection/>
    </xf>
    <xf numFmtId="0" fontId="46" fillId="0" borderId="28" xfId="58" applyFont="1" applyFill="1" applyBorder="1" applyAlignment="1" applyProtection="1">
      <alignment horizontal="left" vertical="center" indent="1"/>
      <protection/>
    </xf>
    <xf numFmtId="3" fontId="46" fillId="0" borderId="56" xfId="58" applyNumberFormat="1" applyFont="1" applyFill="1" applyBorder="1" applyAlignment="1" applyProtection="1">
      <alignment vertical="center"/>
      <protection/>
    </xf>
    <xf numFmtId="0" fontId="48" fillId="0" borderId="46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indent="1"/>
      <protection/>
    </xf>
    <xf numFmtId="3" fontId="48" fillId="0" borderId="54" xfId="58" applyNumberFormat="1" applyFont="1" applyFill="1" applyBorder="1" applyProtection="1">
      <alignment/>
      <protection/>
    </xf>
    <xf numFmtId="0" fontId="44" fillId="0" borderId="0" xfId="58" applyFont="1" applyFill="1" applyProtection="1">
      <alignment/>
      <protection/>
    </xf>
    <xf numFmtId="0" fontId="22" fillId="0" borderId="0" xfId="58" applyFont="1" applyFill="1" applyProtection="1">
      <alignment/>
      <protection locked="0"/>
    </xf>
    <xf numFmtId="0" fontId="41" fillId="0" borderId="0" xfId="58" applyFont="1" applyFill="1" applyProtection="1">
      <alignment/>
      <protection locked="0"/>
    </xf>
    <xf numFmtId="3" fontId="41" fillId="0" borderId="0" xfId="58" applyNumberFormat="1" applyFont="1" applyFill="1" applyProtection="1">
      <alignment/>
      <protection locked="0"/>
    </xf>
    <xf numFmtId="0" fontId="41" fillId="0" borderId="0" xfId="58" applyFont="1" applyFill="1" applyBorder="1" applyAlignment="1" applyProtection="1">
      <alignment horizontal="center" wrapText="1"/>
      <protection locked="0"/>
    </xf>
    <xf numFmtId="168" fontId="46" fillId="0" borderId="49" xfId="58" applyNumberFormat="1" applyFont="1" applyFill="1" applyBorder="1" applyAlignment="1" applyProtection="1">
      <alignment vertical="center"/>
      <protection locked="0"/>
    </xf>
    <xf numFmtId="168" fontId="46" fillId="0" borderId="49" xfId="58" applyNumberFormat="1" applyFont="1" applyFill="1" applyBorder="1" applyAlignment="1" applyProtection="1">
      <alignment vertical="center"/>
      <protection/>
    </xf>
    <xf numFmtId="168" fontId="46" fillId="0" borderId="58" xfId="58" applyNumberFormat="1" applyFont="1" applyFill="1" applyBorder="1" applyAlignment="1" applyProtection="1" quotePrefix="1">
      <alignment horizontal="center" vertical="center"/>
      <protection/>
    </xf>
    <xf numFmtId="168" fontId="46" fillId="0" borderId="33" xfId="58" applyNumberFormat="1" applyFont="1" applyFill="1" applyBorder="1" applyAlignment="1" applyProtection="1">
      <alignment vertical="center"/>
      <protection locked="0"/>
    </xf>
    <xf numFmtId="168" fontId="46" fillId="0" borderId="52" xfId="58" applyNumberFormat="1" applyFont="1" applyFill="1" applyBorder="1" applyAlignment="1" applyProtection="1">
      <alignment vertical="center"/>
      <protection/>
    </xf>
    <xf numFmtId="168" fontId="46" fillId="0" borderId="28" xfId="58" applyNumberFormat="1" applyFont="1" applyFill="1" applyBorder="1" applyAlignment="1" applyProtection="1">
      <alignment vertical="center"/>
      <protection locked="0"/>
    </xf>
    <xf numFmtId="168" fontId="46" fillId="0" borderId="56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Protection="1">
      <alignment/>
      <protection/>
    </xf>
    <xf numFmtId="168" fontId="48" fillId="0" borderId="57" xfId="58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8" fillId="0" borderId="19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 wrapText="1"/>
    </xf>
    <xf numFmtId="0" fontId="37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/>
    </xf>
    <xf numFmtId="0" fontId="38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0" fontId="38" fillId="0" borderId="42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37" fillId="0" borderId="4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38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7" fillId="0" borderId="17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/>
    </xf>
    <xf numFmtId="0" fontId="38" fillId="0" borderId="17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7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4" fontId="37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2" fillId="0" borderId="59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3" fillId="0" borderId="0" xfId="56" applyFont="1" applyFill="1">
      <alignment/>
      <protection/>
    </xf>
    <xf numFmtId="168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41" fillId="0" borderId="60" xfId="56" applyFont="1" applyFill="1" applyBorder="1" applyAlignment="1" applyProtection="1">
      <alignment horizontal="center" vertical="center" wrapText="1"/>
      <protection/>
    </xf>
    <xf numFmtId="0" fontId="41" fillId="0" borderId="61" xfId="56" applyFont="1" applyFill="1" applyBorder="1" applyAlignment="1" applyProtection="1">
      <alignment horizontal="center" vertical="center" wrapText="1"/>
      <protection/>
    </xf>
    <xf numFmtId="0" fontId="41" fillId="0" borderId="50" xfId="56" applyFont="1" applyFill="1" applyBorder="1" applyAlignment="1" applyProtection="1">
      <alignment horizontal="center" vertical="center" wrapText="1"/>
      <protection/>
    </xf>
    <xf numFmtId="0" fontId="42" fillId="0" borderId="46" xfId="56" applyFont="1" applyFill="1" applyBorder="1" applyAlignment="1" applyProtection="1">
      <alignment horizontal="center" vertical="center"/>
      <protection/>
    </xf>
    <xf numFmtId="0" fontId="42" fillId="0" borderId="54" xfId="56" applyFont="1" applyFill="1" applyBorder="1" applyAlignment="1" applyProtection="1">
      <alignment horizontal="center" vertical="center"/>
      <protection/>
    </xf>
    <xf numFmtId="0" fontId="42" fillId="0" borderId="57" xfId="56" applyFont="1" applyFill="1" applyBorder="1" applyAlignment="1" applyProtection="1">
      <alignment horizontal="center" vertical="center"/>
      <protection/>
    </xf>
    <xf numFmtId="0" fontId="42" fillId="0" borderId="61" xfId="56" applyFont="1" applyFill="1" applyBorder="1" applyProtection="1">
      <alignment/>
      <protection/>
    </xf>
    <xf numFmtId="3" fontId="15" fillId="0" borderId="50" xfId="0" applyNumberFormat="1" applyFont="1" applyBorder="1" applyAlignment="1">
      <alignment horizontal="right" vertical="center" wrapText="1"/>
    </xf>
    <xf numFmtId="0" fontId="42" fillId="0" borderId="33" xfId="56" applyFont="1" applyFill="1" applyBorder="1" applyProtection="1">
      <alignment/>
      <protection/>
    </xf>
    <xf numFmtId="3" fontId="15" fillId="0" borderId="52" xfId="0" applyNumberFormat="1" applyFont="1" applyBorder="1" applyAlignment="1">
      <alignment horizontal="right" vertical="center" wrapText="1"/>
    </xf>
    <xf numFmtId="0" fontId="42" fillId="0" borderId="33" xfId="56" applyFont="1" applyFill="1" applyBorder="1" applyAlignment="1" applyProtection="1">
      <alignment wrapText="1"/>
      <protection/>
    </xf>
    <xf numFmtId="0" fontId="42" fillId="0" borderId="38" xfId="56" applyFont="1" applyFill="1" applyBorder="1" applyProtection="1">
      <alignment/>
      <protection/>
    </xf>
    <xf numFmtId="3" fontId="18" fillId="0" borderId="57" xfId="0" applyNumberFormat="1" applyFont="1" applyBorder="1" applyAlignment="1">
      <alignment horizontal="right" vertical="center" wrapText="1"/>
    </xf>
    <xf numFmtId="3" fontId="42" fillId="0" borderId="0" xfId="58" applyNumberFormat="1" applyFill="1" applyProtection="1">
      <alignment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41" fillId="0" borderId="41" xfId="56" applyFont="1" applyFill="1" applyBorder="1" applyAlignment="1" applyProtection="1">
      <alignment/>
      <protection/>
    </xf>
    <xf numFmtId="3" fontId="15" fillId="0" borderId="62" xfId="0" applyNumberFormat="1" applyFont="1" applyBorder="1" applyAlignment="1">
      <alignment horizontal="right" vertical="center" wrapText="1"/>
    </xf>
    <xf numFmtId="0" fontId="19" fillId="0" borderId="60" xfId="56" applyFont="1" applyFill="1" applyBorder="1" applyAlignment="1" applyProtection="1">
      <alignment horizontal="right" vertical="center"/>
      <protection/>
    </xf>
    <xf numFmtId="0" fontId="19" fillId="0" borderId="51" xfId="56" applyFont="1" applyFill="1" applyBorder="1" applyAlignment="1" applyProtection="1">
      <alignment horizontal="right" vertical="center"/>
      <protection/>
    </xf>
    <xf numFmtId="0" fontId="19" fillId="0" borderId="63" xfId="56" applyFont="1" applyFill="1" applyBorder="1" applyAlignment="1" applyProtection="1">
      <alignment horizontal="right" vertical="center"/>
      <protection/>
    </xf>
    <xf numFmtId="0" fontId="52" fillId="0" borderId="41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2" fillId="0" borderId="0" xfId="58" applyFont="1" applyFill="1" applyProtection="1">
      <alignment/>
      <protection/>
    </xf>
    <xf numFmtId="0" fontId="42" fillId="0" borderId="0" xfId="58" applyFont="1" applyFill="1" applyProtection="1">
      <alignment/>
      <protection locked="0"/>
    </xf>
    <xf numFmtId="0" fontId="42" fillId="0" borderId="0" xfId="58" applyFont="1" applyFill="1" applyAlignment="1" applyProtection="1">
      <alignment horizontal="right"/>
      <protection/>
    </xf>
    <xf numFmtId="0" fontId="42" fillId="0" borderId="0" xfId="58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18" fillId="0" borderId="0" xfId="0" applyNumberFormat="1" applyFont="1" applyAlignment="1">
      <alignment/>
    </xf>
    <xf numFmtId="3" fontId="22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176" fontId="0" fillId="0" borderId="0" xfId="0" applyAlignment="1">
      <alignment/>
    </xf>
    <xf numFmtId="3" fontId="3" fillId="0" borderId="67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2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76" xfId="0" applyFont="1" applyFill="1" applyBorder="1" applyAlignment="1">
      <alignment/>
    </xf>
    <xf numFmtId="3" fontId="3" fillId="0" borderId="7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0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37" fillId="0" borderId="21" xfId="0" applyNumberFormat="1" applyFont="1" applyFill="1" applyBorder="1" applyAlignment="1">
      <alignment/>
    </xf>
    <xf numFmtId="164" fontId="37" fillId="0" borderId="20" xfId="0" applyNumberFormat="1" applyFont="1" applyFill="1" applyBorder="1" applyAlignment="1">
      <alignment horizontal="right"/>
    </xf>
    <xf numFmtId="164" fontId="37" fillId="0" borderId="16" xfId="0" applyNumberFormat="1" applyFont="1" applyFill="1" applyBorder="1" applyAlignment="1">
      <alignment wrapText="1"/>
    </xf>
    <xf numFmtId="0" fontId="37" fillId="0" borderId="19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1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0" fontId="36" fillId="0" borderId="16" xfId="0" applyFont="1" applyBorder="1" applyAlignment="1">
      <alignment vertical="top" wrapText="1"/>
    </xf>
    <xf numFmtId="3" fontId="36" fillId="0" borderId="16" xfId="0" applyNumberFormat="1" applyFont="1" applyBorder="1" applyAlignment="1">
      <alignment horizontal="right" vertical="top" wrapText="1"/>
    </xf>
    <xf numFmtId="3" fontId="36" fillId="0" borderId="80" xfId="0" applyNumberFormat="1" applyFont="1" applyBorder="1" applyAlignment="1">
      <alignment horizontal="right" vertical="top" wrapText="1"/>
    </xf>
    <xf numFmtId="3" fontId="36" fillId="0" borderId="49" xfId="0" applyNumberFormat="1" applyFont="1" applyBorder="1" applyAlignment="1">
      <alignment horizontal="right" vertical="top" wrapText="1"/>
    </xf>
    <xf numFmtId="3" fontId="36" fillId="0" borderId="81" xfId="0" applyNumberFormat="1" applyFont="1" applyBorder="1" applyAlignment="1">
      <alignment horizontal="right" vertical="top" wrapText="1"/>
    </xf>
    <xf numFmtId="3" fontId="36" fillId="0" borderId="52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0" fontId="22" fillId="0" borderId="72" xfId="0" applyFont="1" applyBorder="1" applyAlignment="1">
      <alignment horizontal="center"/>
    </xf>
    <xf numFmtId="4" fontId="22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79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2" fillId="0" borderId="70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2" fillId="0" borderId="0" xfId="0" applyNumberFormat="1" applyFont="1" applyAlignment="1">
      <alignment/>
    </xf>
    <xf numFmtId="0" fontId="22" fillId="0" borderId="69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8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65" xfId="0" applyNumberFormat="1" applyFont="1" applyBorder="1" applyAlignment="1">
      <alignment/>
    </xf>
    <xf numFmtId="0" fontId="24" fillId="0" borderId="69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3" fontId="22" fillId="0" borderId="77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17" xfId="0" applyFont="1" applyBorder="1" applyAlignment="1">
      <alignment wrapText="1"/>
    </xf>
    <xf numFmtId="3" fontId="23" fillId="0" borderId="17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3" fillId="0" borderId="69" xfId="0" applyFont="1" applyBorder="1" applyAlignment="1">
      <alignment/>
    </xf>
    <xf numFmtId="3" fontId="23" fillId="0" borderId="84" xfId="0" applyNumberFormat="1" applyFont="1" applyBorder="1" applyAlignment="1">
      <alignment/>
    </xf>
    <xf numFmtId="0" fontId="23" fillId="0" borderId="65" xfId="0" applyFont="1" applyBorder="1" applyAlignment="1">
      <alignment/>
    </xf>
    <xf numFmtId="3" fontId="23" fillId="0" borderId="66" xfId="0" applyNumberFormat="1" applyFont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37" fillId="0" borderId="18" xfId="0" applyFont="1" applyFill="1" applyBorder="1" applyAlignment="1">
      <alignment horizontal="right"/>
    </xf>
    <xf numFmtId="3" fontId="37" fillId="0" borderId="74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 horizontal="right" wrapText="1"/>
    </xf>
    <xf numFmtId="164" fontId="37" fillId="0" borderId="16" xfId="0" applyNumberFormat="1" applyFont="1" applyFill="1" applyBorder="1" applyAlignment="1">
      <alignment horizontal="right" wrapText="1"/>
    </xf>
    <xf numFmtId="3" fontId="0" fillId="0" borderId="69" xfId="0" applyNumberFormat="1" applyFont="1" applyFill="1" applyBorder="1" applyAlignment="1">
      <alignment/>
    </xf>
    <xf numFmtId="0" fontId="0" fillId="0" borderId="84" xfId="0" applyFont="1" applyFill="1" applyBorder="1" applyAlignment="1">
      <alignment/>
    </xf>
    <xf numFmtId="164" fontId="37" fillId="0" borderId="77" xfId="0" applyNumberFormat="1" applyFont="1" applyFill="1" applyBorder="1" applyAlignment="1">
      <alignment horizontal="right"/>
    </xf>
    <xf numFmtId="164" fontId="37" fillId="0" borderId="20" xfId="0" applyNumberFormat="1" applyFont="1" applyFill="1" applyBorder="1" applyAlignment="1">
      <alignment horizontal="right"/>
    </xf>
    <xf numFmtId="164" fontId="37" fillId="0" borderId="78" xfId="0" applyNumberFormat="1" applyFont="1" applyFill="1" applyBorder="1" applyAlignment="1">
      <alignment horizontal="right"/>
    </xf>
    <xf numFmtId="0" fontId="37" fillId="0" borderId="7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3" fontId="48" fillId="0" borderId="81" xfId="58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78" fillId="0" borderId="0" xfId="0" applyFont="1" applyFill="1" applyBorder="1" applyAlignment="1">
      <alignment horizontal="right" wrapText="1"/>
    </xf>
    <xf numFmtId="0" fontId="78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79" fillId="4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0" fillId="0" borderId="0" xfId="0" applyFont="1" applyFill="1" applyBorder="1" applyAlignment="1">
      <alignment horizontal="right"/>
    </xf>
    <xf numFmtId="0" fontId="15" fillId="0" borderId="0" xfId="0" applyFont="1" applyAlignment="1">
      <alignment wrapText="1"/>
    </xf>
    <xf numFmtId="1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81" fillId="0" borderId="0" xfId="0" applyNumberFormat="1" applyFont="1" applyAlignment="1">
      <alignment/>
    </xf>
    <xf numFmtId="0" fontId="8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6" fillId="0" borderId="36" xfId="0" applyNumberFormat="1" applyFont="1" applyBorder="1" applyAlignment="1">
      <alignment vertical="top" wrapText="1"/>
    </xf>
    <xf numFmtId="3" fontId="36" fillId="0" borderId="35" xfId="0" applyNumberFormat="1" applyFont="1" applyBorder="1" applyAlignment="1">
      <alignment vertical="top" wrapText="1"/>
    </xf>
    <xf numFmtId="3" fontId="36" fillId="0" borderId="37" xfId="0" applyNumberFormat="1" applyFont="1" applyBorder="1" applyAlignment="1">
      <alignment horizontal="right" vertical="top" wrapText="1"/>
    </xf>
    <xf numFmtId="3" fontId="36" fillId="0" borderId="38" xfId="0" applyNumberFormat="1" applyFont="1" applyBorder="1" applyAlignment="1">
      <alignment horizontal="right" vertical="top" wrapText="1"/>
    </xf>
    <xf numFmtId="3" fontId="0" fillId="0" borderId="30" xfId="0" applyNumberFormat="1" applyBorder="1" applyAlignment="1">
      <alignment/>
    </xf>
    <xf numFmtId="3" fontId="35" fillId="0" borderId="65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164" fontId="37" fillId="0" borderId="79" xfId="0" applyNumberFormat="1" applyFont="1" applyFill="1" applyBorder="1" applyAlignment="1">
      <alignment/>
    </xf>
    <xf numFmtId="0" fontId="0" fillId="0" borderId="79" xfId="0" applyFont="1" applyFill="1" applyBorder="1" applyAlignment="1">
      <alignment/>
    </xf>
    <xf numFmtId="164" fontId="37" fillId="0" borderId="21" xfId="0" applyNumberFormat="1" applyFont="1" applyFill="1" applyBorder="1" applyAlignment="1">
      <alignment wrapText="1"/>
    </xf>
    <xf numFmtId="0" fontId="37" fillId="0" borderId="42" xfId="0" applyFont="1" applyFill="1" applyBorder="1" applyAlignment="1">
      <alignment horizontal="center" wrapText="1"/>
    </xf>
    <xf numFmtId="3" fontId="38" fillId="0" borderId="0" xfId="0" applyNumberFormat="1" applyFont="1" applyFill="1" applyAlignment="1">
      <alignment/>
    </xf>
    <xf numFmtId="164" fontId="37" fillId="0" borderId="2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wrapText="1"/>
    </xf>
    <xf numFmtId="3" fontId="37" fillId="0" borderId="21" xfId="0" applyNumberFormat="1" applyFont="1" applyFill="1" applyBorder="1" applyAlignment="1">
      <alignment/>
    </xf>
    <xf numFmtId="164" fontId="37" fillId="0" borderId="77" xfId="0" applyNumberFormat="1" applyFont="1" applyFill="1" applyBorder="1" applyAlignment="1">
      <alignment horizontal="right"/>
    </xf>
    <xf numFmtId="0" fontId="0" fillId="0" borderId="69" xfId="0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3" fontId="0" fillId="24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46" fillId="0" borderId="81" xfId="58" applyNumberFormat="1" applyFont="1" applyFill="1" applyBorder="1" applyAlignment="1" applyProtection="1">
      <alignment vertical="center"/>
      <protection locked="0"/>
    </xf>
    <xf numFmtId="3" fontId="48" fillId="0" borderId="49" xfId="58" applyNumberFormat="1" applyFont="1" applyFill="1" applyBorder="1" applyAlignment="1" applyProtection="1">
      <alignment vertical="center"/>
      <protection/>
    </xf>
    <xf numFmtId="0" fontId="0" fillId="0" borderId="26" xfId="0" applyBorder="1" applyAlignment="1">
      <alignment/>
    </xf>
    <xf numFmtId="173" fontId="0" fillId="0" borderId="0" xfId="0" applyNumberFormat="1" applyAlignment="1">
      <alignment/>
    </xf>
    <xf numFmtId="0" fontId="10" fillId="0" borderId="88" xfId="0" applyFont="1" applyBorder="1" applyAlignment="1">
      <alignment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89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5" fillId="0" borderId="38" xfId="0" applyFont="1" applyBorder="1" applyAlignment="1">
      <alignment horizontal="center" vertical="top" wrapText="1"/>
    </xf>
    <xf numFmtId="0" fontId="35" fillId="0" borderId="91" xfId="0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16" fillId="0" borderId="92" xfId="0" applyFont="1" applyBorder="1" applyAlignment="1">
      <alignment horizontal="center"/>
    </xf>
    <xf numFmtId="0" fontId="35" fillId="0" borderId="37" xfId="0" applyFont="1" applyBorder="1" applyAlignment="1">
      <alignment horizontal="center" vertical="top" wrapText="1"/>
    </xf>
    <xf numFmtId="0" fontId="35" fillId="0" borderId="93" xfId="0" applyFont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7" fillId="0" borderId="94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87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49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15" xfId="56" applyFont="1" applyFill="1" applyBorder="1" applyAlignment="1">
      <alignment horizontal="justify" vertical="center" wrapText="1"/>
      <protection/>
    </xf>
    <xf numFmtId="0" fontId="41" fillId="0" borderId="0" xfId="58" applyFont="1" applyFill="1" applyBorder="1" applyAlignment="1" applyProtection="1">
      <alignment horizontal="center" wrapText="1"/>
      <protection locked="0"/>
    </xf>
    <xf numFmtId="0" fontId="41" fillId="0" borderId="17" xfId="58" applyFont="1" applyFill="1" applyBorder="1" applyAlignment="1" applyProtection="1">
      <alignment horizontal="center" wrapText="1"/>
      <protection locked="0"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7" fillId="0" borderId="40" xfId="58" applyFont="1" applyFill="1" applyBorder="1" applyAlignment="1" applyProtection="1">
      <alignment horizontal="left" vertical="center" indent="1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1" fillId="0" borderId="0" xfId="58" applyFont="1" applyFill="1" applyAlignment="1" applyProtection="1">
      <alignment horizontal="center" vertical="center" wrapText="1"/>
      <protection/>
    </xf>
    <xf numFmtId="0" fontId="41" fillId="0" borderId="0" xfId="58" applyFont="1" applyFill="1" applyAlignment="1" applyProtection="1">
      <alignment horizontal="center" vertical="center"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AppData\Local\Temp\k&#246;ltm&#243;d&#225;prilis%20el&#337;terjesz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  <sheetDataSet>
      <sheetData sheetId="20">
        <row r="7">
          <cell r="C7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8" sqref="C18"/>
    </sheetView>
  </sheetViews>
  <sheetFormatPr defaultColWidth="9.140625" defaultRowHeight="12.75"/>
  <cols>
    <col min="1" max="1" width="13.00390625" style="665" bestFit="1" customWidth="1"/>
    <col min="2" max="6" width="12.7109375" style="665" bestFit="1" customWidth="1"/>
    <col min="7" max="16384" width="9.140625" style="665" customWidth="1"/>
  </cols>
  <sheetData>
    <row r="1" spans="2:5" ht="15">
      <c r="B1" s="665" t="s">
        <v>581</v>
      </c>
      <c r="C1" s="665" t="s">
        <v>582</v>
      </c>
      <c r="D1" s="665" t="s">
        <v>583</v>
      </c>
      <c r="E1" s="665" t="s">
        <v>61</v>
      </c>
    </row>
    <row r="2" spans="1:5" ht="15">
      <c r="A2" s="665" t="s">
        <v>584</v>
      </c>
      <c r="B2" s="666">
        <v>4615328</v>
      </c>
      <c r="C2" s="666">
        <v>1487610</v>
      </c>
      <c r="D2" s="666">
        <v>1511240</v>
      </c>
      <c r="E2" s="666">
        <f>SUM(B2:D2)</f>
        <v>7614178</v>
      </c>
    </row>
    <row r="3" spans="1:5" ht="15">
      <c r="A3" s="665" t="s">
        <v>567</v>
      </c>
      <c r="B3" s="666">
        <v>4578848</v>
      </c>
      <c r="C3" s="666">
        <v>1658610</v>
      </c>
      <c r="D3" s="666">
        <v>1514548</v>
      </c>
      <c r="E3" s="666">
        <f aca="true" t="shared" si="0" ref="E3:E15">SUM(B3:D3)</f>
        <v>7752006</v>
      </c>
    </row>
    <row r="4" spans="1:6" ht="15">
      <c r="A4" s="665" t="s">
        <v>573</v>
      </c>
      <c r="B4" s="666">
        <v>6024672</v>
      </c>
      <c r="C4" s="666">
        <v>1357830</v>
      </c>
      <c r="D4" s="666">
        <v>1380494</v>
      </c>
      <c r="E4" s="666">
        <f t="shared" si="0"/>
        <v>8762996</v>
      </c>
      <c r="F4" s="666">
        <f>SUM(E2:E4)</f>
        <v>24129180</v>
      </c>
    </row>
    <row r="5" spans="1:5" ht="15">
      <c r="A5" s="665" t="s">
        <v>574</v>
      </c>
      <c r="B5" s="666">
        <v>5649688</v>
      </c>
      <c r="C5" s="666">
        <v>1584630</v>
      </c>
      <c r="D5" s="666">
        <v>1443792</v>
      </c>
      <c r="E5" s="666">
        <f t="shared" si="0"/>
        <v>8678110</v>
      </c>
    </row>
    <row r="6" spans="1:5" ht="15">
      <c r="A6" s="665" t="s">
        <v>575</v>
      </c>
      <c r="B6" s="666">
        <v>4758167</v>
      </c>
      <c r="C6" s="666">
        <v>1346850</v>
      </c>
      <c r="D6" s="666">
        <v>1542237</v>
      </c>
      <c r="E6" s="666">
        <f t="shared" si="0"/>
        <v>7647254</v>
      </c>
    </row>
    <row r="7" spans="1:5" ht="15">
      <c r="A7" s="665" t="s">
        <v>585</v>
      </c>
      <c r="B7" s="666">
        <v>4648684</v>
      </c>
      <c r="C7" s="666">
        <v>1597320</v>
      </c>
      <c r="D7" s="666">
        <v>1357196</v>
      </c>
      <c r="E7" s="666">
        <f t="shared" si="0"/>
        <v>7603200</v>
      </c>
    </row>
    <row r="8" spans="1:5" ht="15.75" thickBot="1">
      <c r="A8" s="667" t="s">
        <v>586</v>
      </c>
      <c r="B8" s="668">
        <v>7941130</v>
      </c>
      <c r="C8" s="668">
        <v>1445310</v>
      </c>
      <c r="D8" s="668">
        <v>1563976</v>
      </c>
      <c r="E8" s="668">
        <f t="shared" si="0"/>
        <v>10950416</v>
      </c>
    </row>
    <row r="9" spans="1:5" s="669" customFormat="1" ht="15.75">
      <c r="A9" s="669" t="s">
        <v>587</v>
      </c>
      <c r="B9" s="670">
        <f>SUM(B2:B8)</f>
        <v>38216517</v>
      </c>
      <c r="C9" s="670">
        <f>SUM(C2:C8)</f>
        <v>10478160</v>
      </c>
      <c r="D9" s="670">
        <f>SUM(D2:D8)</f>
        <v>10313483</v>
      </c>
      <c r="E9" s="670">
        <f>SUM(E2:E8)</f>
        <v>59008160</v>
      </c>
    </row>
    <row r="10" spans="1:5" ht="15">
      <c r="A10" s="665" t="s">
        <v>588</v>
      </c>
      <c r="E10" s="665">
        <f t="shared" si="0"/>
        <v>0</v>
      </c>
    </row>
    <row r="11" spans="1:5" ht="15">
      <c r="A11" s="665" t="s">
        <v>589</v>
      </c>
      <c r="E11" s="665">
        <f t="shared" si="0"/>
        <v>0</v>
      </c>
    </row>
    <row r="12" spans="1:5" ht="15">
      <c r="A12" s="665" t="s">
        <v>590</v>
      </c>
      <c r="E12" s="665">
        <f t="shared" si="0"/>
        <v>0</v>
      </c>
    </row>
    <row r="13" spans="1:5" ht="15">
      <c r="A13" s="665" t="s">
        <v>591</v>
      </c>
      <c r="E13" s="665">
        <f t="shared" si="0"/>
        <v>0</v>
      </c>
    </row>
    <row r="14" spans="1:5" ht="15">
      <c r="A14" s="665" t="s">
        <v>592</v>
      </c>
      <c r="E14" s="665">
        <f t="shared" si="0"/>
        <v>0</v>
      </c>
    </row>
    <row r="15" spans="1:5" ht="15">
      <c r="A15" s="665" t="s">
        <v>566</v>
      </c>
      <c r="E15" s="665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8515625" style="208" customWidth="1"/>
    <col min="2" max="2" width="46.28125" style="208" customWidth="1"/>
    <col min="3" max="3" width="10.421875" style="208" customWidth="1"/>
    <col min="4" max="4" width="13.28125" style="208" customWidth="1"/>
    <col min="5" max="5" width="13.7109375" style="208" bestFit="1" customWidth="1"/>
    <col min="6" max="16384" width="9.140625" style="208" customWidth="1"/>
  </cols>
  <sheetData>
    <row r="1" spans="1:2" ht="12.75">
      <c r="A1" s="495" t="s">
        <v>341</v>
      </c>
      <c r="B1" s="495"/>
    </row>
    <row r="2" ht="12.75">
      <c r="B2" s="298"/>
    </row>
    <row r="3" ht="12.75">
      <c r="B3" s="298"/>
    </row>
    <row r="5" spans="2:6" ht="52.5" customHeight="1">
      <c r="B5" s="364" t="s">
        <v>340</v>
      </c>
      <c r="C5" s="365" t="s">
        <v>376</v>
      </c>
      <c r="D5" s="619" t="s">
        <v>524</v>
      </c>
      <c r="E5" s="360"/>
      <c r="F5" s="360"/>
    </row>
    <row r="6" spans="1:6" s="392" customFormat="1" ht="24" customHeight="1">
      <c r="A6" s="620" t="s">
        <v>11</v>
      </c>
      <c r="B6" s="393" t="s">
        <v>12</v>
      </c>
      <c r="C6" s="363" t="s">
        <v>13</v>
      </c>
      <c r="D6" s="621" t="s">
        <v>14</v>
      </c>
      <c r="E6" s="363"/>
      <c r="F6" s="363"/>
    </row>
    <row r="7" spans="1:4" ht="12.75">
      <c r="A7" s="208" t="s">
        <v>20</v>
      </c>
      <c r="B7" s="361" t="str">
        <f>+'[3]bevétel'!A40</f>
        <v>Városellátó  Szervezet</v>
      </c>
      <c r="C7" s="305">
        <v>28</v>
      </c>
      <c r="D7" s="209">
        <f>+C7</f>
        <v>28</v>
      </c>
    </row>
    <row r="8" spans="2:4" ht="12.75">
      <c r="B8" s="361"/>
      <c r="C8" s="305"/>
      <c r="D8" s="209"/>
    </row>
    <row r="9" spans="1:4" ht="12.75">
      <c r="A9" s="208" t="s">
        <v>21</v>
      </c>
      <c r="B9" s="361" t="str">
        <f>+'[3]bevétel'!A46</f>
        <v>Egészségügyi és Szociális Ellátó Szervezet</v>
      </c>
      <c r="C9" s="305">
        <v>35</v>
      </c>
      <c r="D9" s="209">
        <f>+C9</f>
        <v>35</v>
      </c>
    </row>
    <row r="10" spans="2:4" ht="12.75">
      <c r="B10" s="363" t="s">
        <v>374</v>
      </c>
      <c r="C10" s="305">
        <v>4</v>
      </c>
      <c r="D10" s="209">
        <f>+C10</f>
        <v>4</v>
      </c>
    </row>
    <row r="11" spans="2:4" ht="12.75">
      <c r="B11" s="362"/>
      <c r="C11" s="305"/>
      <c r="D11" s="209"/>
    </row>
    <row r="12" spans="1:4" ht="12.75">
      <c r="A12" s="208" t="s">
        <v>22</v>
      </c>
      <c r="B12" s="361" t="str">
        <f>+'[3]bevétel'!A62</f>
        <v>Városi Művelődési Központ és Könyvtár</v>
      </c>
      <c r="C12" s="305">
        <v>4</v>
      </c>
      <c r="D12" s="209">
        <f>+C12</f>
        <v>4</v>
      </c>
    </row>
    <row r="13" spans="2:4" s="246" customFormat="1" ht="12.75">
      <c r="B13" s="363"/>
      <c r="C13" s="213"/>
      <c r="D13" s="609"/>
    </row>
    <row r="14" spans="1:4" ht="12.75">
      <c r="A14" s="208" t="s">
        <v>23</v>
      </c>
      <c r="B14" s="361" t="str">
        <f>+'[3]bevétel'!A76</f>
        <v>Battonya Város Önkormányzata</v>
      </c>
      <c r="C14" s="305">
        <v>1</v>
      </c>
      <c r="D14" s="209">
        <f>+C14</f>
        <v>1</v>
      </c>
    </row>
    <row r="15" spans="2:4" s="246" customFormat="1" ht="12.75">
      <c r="B15" s="363"/>
      <c r="C15" s="213"/>
      <c r="D15" s="609"/>
    </row>
    <row r="16" spans="1:4" ht="12.75">
      <c r="A16" s="208" t="s">
        <v>24</v>
      </c>
      <c r="B16" s="361" t="s">
        <v>338</v>
      </c>
      <c r="C16" s="305">
        <v>23</v>
      </c>
      <c r="D16" s="209"/>
    </row>
    <row r="17" spans="2:4" ht="12.75">
      <c r="B17" s="362" t="s">
        <v>659</v>
      </c>
      <c r="C17" s="305"/>
      <c r="D17" s="209">
        <f>+C16+1</f>
        <v>24</v>
      </c>
    </row>
    <row r="18" spans="2:4" s="246" customFormat="1" ht="12.75">
      <c r="B18" s="363"/>
      <c r="C18" s="213"/>
      <c r="D18" s="609"/>
    </row>
    <row r="19" spans="2:4" ht="12.75">
      <c r="B19" s="299"/>
      <c r="C19" s="305"/>
      <c r="D19" s="209"/>
    </row>
    <row r="20" spans="1:4" ht="12.75">
      <c r="A20" s="208" t="s">
        <v>25</v>
      </c>
      <c r="B20" s="348" t="s">
        <v>96</v>
      </c>
      <c r="C20" s="610">
        <f>SUM(C7:C19)-C10</f>
        <v>91</v>
      </c>
      <c r="D20" s="610">
        <f>SUM(D7:D19)-D10</f>
        <v>92</v>
      </c>
    </row>
    <row r="21" spans="2:4" ht="12.75">
      <c r="B21" s="299"/>
      <c r="C21" s="305"/>
      <c r="D21" s="209"/>
    </row>
    <row r="22" spans="2:4" ht="12.75">
      <c r="B22" s="299"/>
      <c r="C22" s="305"/>
      <c r="D22" s="209"/>
    </row>
    <row r="23" spans="1:4" ht="12.75">
      <c r="A23" s="208" t="s">
        <v>26</v>
      </c>
      <c r="B23" s="299" t="s">
        <v>342</v>
      </c>
      <c r="C23" s="305">
        <v>250</v>
      </c>
      <c r="D23" s="209">
        <f>+C23</f>
        <v>250</v>
      </c>
    </row>
    <row r="24" spans="3:4" ht="12.75">
      <c r="C24" s="209"/>
      <c r="D24" s="209"/>
    </row>
    <row r="25" spans="3:4" ht="12.75">
      <c r="C25" s="209"/>
      <c r="D25" s="20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10/2014.(VI.27.)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25">
      <selection activeCell="D29" sqref="D29"/>
    </sheetView>
  </sheetViews>
  <sheetFormatPr defaultColWidth="9.140625" defaultRowHeight="15" customHeight="1"/>
  <cols>
    <col min="1" max="1" width="5.140625" style="37" customWidth="1"/>
    <col min="2" max="2" width="58.421875" style="36" customWidth="1"/>
    <col min="3" max="3" width="11.57421875" style="37" bestFit="1" customWidth="1"/>
    <col min="4" max="4" width="13.28125" style="37" customWidth="1"/>
    <col min="5" max="5" width="10.28125" style="37" bestFit="1" customWidth="1"/>
    <col min="6" max="7" width="9.140625" style="37" customWidth="1"/>
    <col min="8" max="8" width="10.140625" style="37" bestFit="1" customWidth="1"/>
    <col min="9" max="13" width="13.00390625" style="42" bestFit="1" customWidth="1"/>
    <col min="14" max="29" width="9.140625" style="42" customWidth="1"/>
    <col min="30" max="16384" width="9.140625" style="37" customWidth="1"/>
  </cols>
  <sheetData>
    <row r="1" ht="15" customHeight="1">
      <c r="A1" s="35" t="s">
        <v>66</v>
      </c>
    </row>
    <row r="2" ht="15" customHeight="1">
      <c r="B2" s="38"/>
    </row>
    <row r="3" spans="2:4" ht="15" customHeight="1">
      <c r="B3" s="38" t="s">
        <v>67</v>
      </c>
      <c r="C3" s="39" t="s">
        <v>377</v>
      </c>
      <c r="D3" s="39" t="s">
        <v>377</v>
      </c>
    </row>
    <row r="4" spans="3:4" ht="21" customHeight="1">
      <c r="C4" s="40" t="s">
        <v>68</v>
      </c>
      <c r="D4" s="39" t="s">
        <v>470</v>
      </c>
    </row>
    <row r="6" spans="1:4" ht="15" customHeight="1">
      <c r="A6" s="10" t="s">
        <v>363</v>
      </c>
      <c r="B6" s="41" t="s">
        <v>12</v>
      </c>
      <c r="C6" s="39" t="s">
        <v>13</v>
      </c>
      <c r="D6" s="39" t="s">
        <v>14</v>
      </c>
    </row>
    <row r="8" spans="1:4" ht="15" customHeight="1">
      <c r="A8" s="37" t="s">
        <v>20</v>
      </c>
      <c r="B8" s="36" t="s">
        <v>73</v>
      </c>
      <c r="C8" s="37">
        <f>13319+5</f>
        <v>13324</v>
      </c>
      <c r="D8" s="37">
        <f aca="true" t="shared" si="0" ref="D8:D13">+C8</f>
        <v>13324</v>
      </c>
    </row>
    <row r="9" spans="1:4" ht="15" customHeight="1">
      <c r="A9" s="37" t="s">
        <v>21</v>
      </c>
      <c r="B9" s="36" t="s">
        <v>232</v>
      </c>
      <c r="C9" s="37">
        <v>5000</v>
      </c>
      <c r="D9" s="37">
        <f t="shared" si="0"/>
        <v>5000</v>
      </c>
    </row>
    <row r="10" spans="1:4" ht="15" customHeight="1">
      <c r="A10" s="45" t="s">
        <v>22</v>
      </c>
      <c r="B10" s="43" t="s">
        <v>460</v>
      </c>
      <c r="C10" s="45">
        <f>4000-700-50+1600-45-5</f>
        <v>4800</v>
      </c>
      <c r="D10" s="37">
        <f>+C10</f>
        <v>4800</v>
      </c>
    </row>
    <row r="11" spans="1:4" ht="15" customHeight="1">
      <c r="A11" s="45" t="s">
        <v>23</v>
      </c>
      <c r="B11" s="611" t="s">
        <v>499</v>
      </c>
      <c r="C11" s="614">
        <v>300</v>
      </c>
      <c r="D11" s="612">
        <f t="shared" si="0"/>
        <v>300</v>
      </c>
    </row>
    <row r="12" spans="1:4" ht="15" customHeight="1">
      <c r="A12" s="45" t="s">
        <v>24</v>
      </c>
      <c r="B12" s="611" t="s">
        <v>500</v>
      </c>
      <c r="C12" s="614">
        <v>300</v>
      </c>
      <c r="D12" s="612">
        <f t="shared" si="0"/>
        <v>300</v>
      </c>
    </row>
    <row r="13" spans="1:4" ht="15" customHeight="1">
      <c r="A13" s="45" t="s">
        <v>25</v>
      </c>
      <c r="B13" s="611" t="s">
        <v>501</v>
      </c>
      <c r="C13" s="614">
        <v>1000</v>
      </c>
      <c r="D13" s="612">
        <f t="shared" si="0"/>
        <v>1000</v>
      </c>
    </row>
    <row r="14" spans="1:4" ht="15" customHeight="1">
      <c r="A14" s="45" t="s">
        <v>26</v>
      </c>
      <c r="B14" s="611" t="s">
        <v>502</v>
      </c>
      <c r="C14" s="45"/>
      <c r="D14" s="612">
        <v>150</v>
      </c>
    </row>
    <row r="15" spans="1:4" ht="15" customHeight="1">
      <c r="A15" s="45" t="s">
        <v>27</v>
      </c>
      <c r="B15" s="611" t="s">
        <v>503</v>
      </c>
      <c r="C15" s="45"/>
      <c r="D15" s="612">
        <v>1600</v>
      </c>
    </row>
    <row r="16" spans="1:4" ht="15" customHeight="1">
      <c r="A16" s="45" t="s">
        <v>28</v>
      </c>
      <c r="B16" s="611" t="s">
        <v>504</v>
      </c>
      <c r="C16" s="45"/>
      <c r="D16" s="612">
        <v>100</v>
      </c>
    </row>
    <row r="17" spans="1:4" ht="15" customHeight="1">
      <c r="A17" s="45" t="s">
        <v>29</v>
      </c>
      <c r="B17" s="611" t="s">
        <v>505</v>
      </c>
      <c r="C17" s="45"/>
      <c r="D17" s="612">
        <v>80</v>
      </c>
    </row>
    <row r="18" spans="1:4" ht="15" customHeight="1">
      <c r="A18" s="45" t="s">
        <v>30</v>
      </c>
      <c r="B18" s="611" t="s">
        <v>506</v>
      </c>
      <c r="C18" s="45"/>
      <c r="D18" s="612">
        <v>100</v>
      </c>
    </row>
    <row r="19" spans="1:4" ht="15" customHeight="1">
      <c r="A19" s="45" t="s">
        <v>31</v>
      </c>
      <c r="B19" s="611" t="s">
        <v>507</v>
      </c>
      <c r="C19" s="45"/>
      <c r="D19" s="612">
        <v>200</v>
      </c>
    </row>
    <row r="20" spans="1:4" ht="15" customHeight="1">
      <c r="A20" s="45" t="s">
        <v>32</v>
      </c>
      <c r="B20" s="611" t="s">
        <v>508</v>
      </c>
      <c r="C20" s="45"/>
      <c r="D20" s="612">
        <v>200</v>
      </c>
    </row>
    <row r="21" spans="1:4" ht="15" customHeight="1">
      <c r="A21" s="45" t="s">
        <v>33</v>
      </c>
      <c r="B21" s="611" t="s">
        <v>509</v>
      </c>
      <c r="C21" s="45"/>
      <c r="D21" s="612">
        <v>60</v>
      </c>
    </row>
    <row r="22" spans="1:4" ht="15" customHeight="1">
      <c r="A22" s="45" t="s">
        <v>34</v>
      </c>
      <c r="B22" s="611" t="s">
        <v>510</v>
      </c>
      <c r="C22" s="45"/>
      <c r="D22" s="612">
        <v>110</v>
      </c>
    </row>
    <row r="23" spans="1:4" ht="15" customHeight="1">
      <c r="A23" s="45" t="s">
        <v>35</v>
      </c>
      <c r="B23" s="611" t="s">
        <v>511</v>
      </c>
      <c r="C23" s="45"/>
      <c r="D23" s="612">
        <v>60</v>
      </c>
    </row>
    <row r="24" spans="1:4" ht="15" customHeight="1">
      <c r="A24" s="45" t="s">
        <v>36</v>
      </c>
      <c r="B24" s="611" t="s">
        <v>512</v>
      </c>
      <c r="C24" s="45"/>
      <c r="D24" s="612">
        <v>40</v>
      </c>
    </row>
    <row r="25" spans="1:4" ht="15" customHeight="1">
      <c r="A25" s="45" t="s">
        <v>37</v>
      </c>
      <c r="B25" s="611" t="s">
        <v>513</v>
      </c>
      <c r="C25" s="45"/>
      <c r="D25" s="612">
        <v>100</v>
      </c>
    </row>
    <row r="26" spans="1:4" ht="15" customHeight="1">
      <c r="A26" s="45" t="s">
        <v>40</v>
      </c>
      <c r="B26" s="611" t="s">
        <v>514</v>
      </c>
      <c r="C26" s="45"/>
      <c r="D26" s="612">
        <v>80</v>
      </c>
    </row>
    <row r="27" spans="1:4" ht="15" customHeight="1">
      <c r="A27" s="45" t="s">
        <v>42</v>
      </c>
      <c r="B27" s="611" t="s">
        <v>515</v>
      </c>
      <c r="C27" s="45"/>
      <c r="D27" s="612">
        <v>100</v>
      </c>
    </row>
    <row r="28" spans="1:4" ht="15" customHeight="1">
      <c r="A28" s="45" t="s">
        <v>43</v>
      </c>
      <c r="B28" s="611" t="s">
        <v>674</v>
      </c>
      <c r="C28" s="45"/>
      <c r="D28" s="612">
        <v>30</v>
      </c>
    </row>
    <row r="29" spans="1:4" ht="15" customHeight="1">
      <c r="A29" s="45" t="s">
        <v>44</v>
      </c>
      <c r="B29" s="611" t="s">
        <v>516</v>
      </c>
      <c r="C29" s="45"/>
      <c r="D29" s="612">
        <f>+D10-D11-D12-D13-D14-D15-D16-D17-D18-D19-D20-D21-D22-D23-D24-D25-D26-D27-D28</f>
        <v>190</v>
      </c>
    </row>
    <row r="30" spans="1:4" ht="15" customHeight="1">
      <c r="A30" s="45" t="s">
        <v>45</v>
      </c>
      <c r="B30" s="43" t="s">
        <v>445</v>
      </c>
      <c r="C30" s="45">
        <v>3000</v>
      </c>
      <c r="D30" s="37">
        <f>+C30</f>
        <v>3000</v>
      </c>
    </row>
    <row r="31" spans="1:4" ht="32.25" customHeight="1">
      <c r="A31" s="45" t="s">
        <v>46</v>
      </c>
      <c r="B31" s="559" t="s">
        <v>467</v>
      </c>
      <c r="C31" s="45">
        <f>15*3</f>
        <v>45</v>
      </c>
      <c r="D31" s="37">
        <f>+C31</f>
        <v>45</v>
      </c>
    </row>
    <row r="32" spans="1:4" ht="15">
      <c r="A32" s="615" t="s">
        <v>47</v>
      </c>
      <c r="B32" s="559" t="s">
        <v>517</v>
      </c>
      <c r="C32" s="45"/>
      <c r="D32" s="37">
        <f>SUM(D33:D39)</f>
        <v>35923</v>
      </c>
    </row>
    <row r="33" spans="1:4" ht="15">
      <c r="A33" s="615" t="s">
        <v>48</v>
      </c>
      <c r="B33" s="616" t="s">
        <v>518</v>
      </c>
      <c r="C33" s="615"/>
      <c r="D33" s="617">
        <v>5343</v>
      </c>
    </row>
    <row r="34" spans="1:4" ht="15">
      <c r="A34" s="45" t="s">
        <v>49</v>
      </c>
      <c r="B34" s="616" t="s">
        <v>519</v>
      </c>
      <c r="C34" s="615"/>
      <c r="D34" s="617">
        <v>2356</v>
      </c>
    </row>
    <row r="35" spans="1:4" ht="15">
      <c r="A35" s="45" t="s">
        <v>50</v>
      </c>
      <c r="B35" s="616" t="s">
        <v>520</v>
      </c>
      <c r="C35" s="615"/>
      <c r="D35" s="617">
        <v>27490</v>
      </c>
    </row>
    <row r="36" spans="1:4" ht="30">
      <c r="A36" s="45" t="s">
        <v>51</v>
      </c>
      <c r="B36" s="559" t="s">
        <v>639</v>
      </c>
      <c r="C36" s="45"/>
      <c r="D36" s="37">
        <v>280</v>
      </c>
    </row>
    <row r="37" spans="1:4" ht="30">
      <c r="A37" s="45" t="s">
        <v>52</v>
      </c>
      <c r="B37" s="559" t="s">
        <v>640</v>
      </c>
      <c r="C37" s="45"/>
      <c r="D37" s="37">
        <v>454</v>
      </c>
    </row>
    <row r="38" spans="1:3" ht="15">
      <c r="A38" s="45"/>
      <c r="B38" s="559"/>
      <c r="C38" s="45"/>
    </row>
    <row r="39" spans="1:3" ht="15" customHeight="1">
      <c r="A39" s="45"/>
      <c r="B39" s="43"/>
      <c r="C39" s="45"/>
    </row>
    <row r="40" spans="1:4" ht="15" customHeight="1">
      <c r="A40" s="45" t="s">
        <v>487</v>
      </c>
      <c r="B40" s="5" t="s">
        <v>69</v>
      </c>
      <c r="C40" s="6">
        <f>SUM(C8:C39)-C11-C12-C13</f>
        <v>26169</v>
      </c>
      <c r="D40" s="6">
        <f>+D31+D30+D10+D9+D8+D32</f>
        <v>62092</v>
      </c>
    </row>
    <row r="41" spans="2:4" ht="15" customHeight="1">
      <c r="B41" s="5"/>
      <c r="C41" s="6"/>
      <c r="D41" s="6"/>
    </row>
    <row r="42" spans="1:4" ht="15" customHeight="1">
      <c r="A42" s="37" t="s">
        <v>488</v>
      </c>
      <c r="B42" s="5" t="s">
        <v>70</v>
      </c>
      <c r="C42" s="6">
        <f>SUM(C43)</f>
        <v>3000</v>
      </c>
      <c r="D42" s="6">
        <f>SUM(D43:D44)</f>
        <v>4000</v>
      </c>
    </row>
    <row r="43" spans="1:4" ht="15" customHeight="1">
      <c r="A43" s="37" t="s">
        <v>489</v>
      </c>
      <c r="B43" s="43" t="s">
        <v>443</v>
      </c>
      <c r="C43" s="46">
        <v>3000</v>
      </c>
      <c r="D43" s="618">
        <f>+C43</f>
        <v>3000</v>
      </c>
    </row>
    <row r="44" spans="1:4" ht="15" customHeight="1">
      <c r="A44" s="37" t="s">
        <v>490</v>
      </c>
      <c r="B44" s="559" t="s">
        <v>521</v>
      </c>
      <c r="C44" s="6"/>
      <c r="D44" s="618">
        <v>1000</v>
      </c>
    </row>
    <row r="45" spans="1:3" ht="15" customHeight="1">
      <c r="A45" s="45"/>
      <c r="B45" s="5"/>
      <c r="C45" s="45"/>
    </row>
    <row r="46" spans="1:4" ht="15" customHeight="1">
      <c r="A46" s="37" t="s">
        <v>491</v>
      </c>
      <c r="B46" s="47" t="s">
        <v>71</v>
      </c>
      <c r="C46" s="6">
        <f>+C40+C42</f>
        <v>29169</v>
      </c>
      <c r="D46" s="6">
        <f>+D40+D42</f>
        <v>66092</v>
      </c>
    </row>
    <row r="69" ht="15" customHeight="1">
      <c r="B69" s="400"/>
    </row>
    <row r="72" spans="2:29" s="1" customFormat="1" ht="15" customHeight="1">
      <c r="B72" s="40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6" spans="2:29" s="1" customFormat="1" ht="15" customHeight="1">
      <c r="B76" s="40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10/2014.(VI.27.) Önkormányzati költségvetési rendelethez&amp;R&amp;D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L33" sqref="L33"/>
    </sheetView>
  </sheetViews>
  <sheetFormatPr defaultColWidth="9.140625" defaultRowHeight="15" customHeight="1"/>
  <cols>
    <col min="1" max="1" width="4.140625" style="52" bestFit="1" customWidth="1"/>
    <col min="2" max="2" width="52.57421875" style="52" customWidth="1"/>
    <col min="3" max="3" width="11.00390625" style="52" hidden="1" customWidth="1"/>
    <col min="4" max="4" width="10.28125" style="52" hidden="1" customWidth="1"/>
    <col min="5" max="5" width="11.28125" style="52" hidden="1" customWidth="1"/>
    <col min="6" max="6" width="11.00390625" style="52" bestFit="1" customWidth="1"/>
    <col min="7" max="7" width="10.28125" style="52" customWidth="1"/>
    <col min="8" max="8" width="11.28125" style="52" bestFit="1" customWidth="1"/>
    <col min="9" max="9" width="10.57421875" style="52" bestFit="1" customWidth="1"/>
    <col min="10" max="10" width="9.421875" style="52" bestFit="1" customWidth="1"/>
    <col min="11" max="11" width="10.57421875" style="52" bestFit="1" customWidth="1"/>
    <col min="12" max="12" width="9.421875" style="52" bestFit="1" customWidth="1"/>
    <col min="13" max="16384" width="9.140625" style="52" customWidth="1"/>
  </cols>
  <sheetData>
    <row r="1" spans="1:12" ht="22.5" customHeight="1" thickBot="1">
      <c r="A1" s="50" t="s">
        <v>74</v>
      </c>
      <c r="B1" s="48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53"/>
      <c r="B2" s="475"/>
      <c r="C2" s="716" t="s">
        <v>373</v>
      </c>
      <c r="D2" s="717"/>
      <c r="E2" s="718"/>
      <c r="F2" s="716" t="s">
        <v>376</v>
      </c>
      <c r="G2" s="717"/>
      <c r="H2" s="718"/>
      <c r="I2" s="716" t="str">
        <f>+F2</f>
        <v>2014.évi er.ei.</v>
      </c>
      <c r="J2" s="719"/>
      <c r="K2" s="716" t="s">
        <v>477</v>
      </c>
      <c r="L2" s="719"/>
    </row>
    <row r="3" spans="1:12" ht="43.5" customHeight="1" thickBot="1">
      <c r="A3" s="54"/>
      <c r="B3" s="55"/>
      <c r="C3" s="476" t="s">
        <v>75</v>
      </c>
      <c r="D3" s="477" t="s">
        <v>76</v>
      </c>
      <c r="E3" s="478" t="s">
        <v>5</v>
      </c>
      <c r="F3" s="476" t="s">
        <v>75</v>
      </c>
      <c r="G3" s="477" t="s">
        <v>76</v>
      </c>
      <c r="H3" s="478" t="s">
        <v>5</v>
      </c>
      <c r="I3" s="57" t="s">
        <v>77</v>
      </c>
      <c r="J3" s="56" t="s">
        <v>78</v>
      </c>
      <c r="K3" s="57" t="s">
        <v>77</v>
      </c>
      <c r="L3" s="56" t="s">
        <v>78</v>
      </c>
    </row>
    <row r="4" spans="1:12" s="28" customFormat="1" ht="15" customHeight="1">
      <c r="A4" s="558" t="s">
        <v>11</v>
      </c>
      <c r="B4" s="58" t="s">
        <v>12</v>
      </c>
      <c r="C4" s="421" t="s">
        <v>16</v>
      </c>
      <c r="D4" s="59" t="s">
        <v>17</v>
      </c>
      <c r="E4" s="422" t="s">
        <v>18</v>
      </c>
      <c r="F4" s="421" t="s">
        <v>16</v>
      </c>
      <c r="G4" s="59" t="s">
        <v>17</v>
      </c>
      <c r="H4" s="422" t="s">
        <v>18</v>
      </c>
      <c r="I4" s="60" t="s">
        <v>63</v>
      </c>
      <c r="J4" s="419" t="s">
        <v>19</v>
      </c>
      <c r="K4" s="60" t="s">
        <v>361</v>
      </c>
      <c r="L4" s="419" t="s">
        <v>362</v>
      </c>
    </row>
    <row r="5" spans="1:12" ht="15" customHeight="1">
      <c r="A5" s="61"/>
      <c r="B5" s="437"/>
      <c r="C5" s="75"/>
      <c r="D5" s="62"/>
      <c r="E5" s="420"/>
      <c r="F5" s="75"/>
      <c r="G5" s="62"/>
      <c r="H5" s="420"/>
      <c r="I5" s="63"/>
      <c r="J5" s="420"/>
      <c r="K5" s="63"/>
      <c r="L5" s="420"/>
    </row>
    <row r="6" spans="1:12" ht="15" customHeight="1">
      <c r="A6" s="61" t="s">
        <v>20</v>
      </c>
      <c r="B6" s="437" t="s">
        <v>79</v>
      </c>
      <c r="C6" s="75">
        <f>+E6-D6</f>
        <v>1188.7999999999993</v>
      </c>
      <c r="D6" s="62">
        <f>+E6*0.9</f>
        <v>10699.2</v>
      </c>
      <c r="E6" s="415">
        <f>3140+337+8411</f>
        <v>11888</v>
      </c>
      <c r="F6" s="75">
        <f>+H6-G6</f>
        <v>1690</v>
      </c>
      <c r="G6" s="62">
        <f>+H6*0.9</f>
        <v>15210</v>
      </c>
      <c r="H6" s="415">
        <v>16900</v>
      </c>
      <c r="I6" s="65">
        <v>16900</v>
      </c>
      <c r="J6" s="415"/>
      <c r="K6" s="65">
        <v>16900</v>
      </c>
      <c r="L6" s="415"/>
    </row>
    <row r="7" spans="1:12" ht="15" customHeight="1">
      <c r="A7" s="61" t="s">
        <v>21</v>
      </c>
      <c r="B7" s="437" t="s">
        <v>464</v>
      </c>
      <c r="C7" s="75">
        <f>+E7-D7</f>
        <v>264.9000000000001</v>
      </c>
      <c r="D7" s="62">
        <f>+E7*0.9</f>
        <v>2384.1</v>
      </c>
      <c r="E7" s="415">
        <f>2407+242</f>
        <v>2649</v>
      </c>
      <c r="F7" s="75">
        <f>+H7-G7</f>
        <v>264.9000000000001</v>
      </c>
      <c r="G7" s="62">
        <f>+H7*0.9</f>
        <v>2384.1</v>
      </c>
      <c r="H7" s="415">
        <f>2407+242</f>
        <v>2649</v>
      </c>
      <c r="I7" s="65">
        <v>2649</v>
      </c>
      <c r="J7" s="415"/>
      <c r="K7" s="65">
        <v>2649</v>
      </c>
      <c r="L7" s="415"/>
    </row>
    <row r="8" spans="1:12" ht="15" customHeight="1">
      <c r="A8" s="61" t="s">
        <v>22</v>
      </c>
      <c r="B8" s="414" t="s">
        <v>463</v>
      </c>
      <c r="C8" s="423">
        <f>+E8-D8</f>
        <v>28174.59999999999</v>
      </c>
      <c r="D8" s="62">
        <f>+E8*0.8</f>
        <v>112698.40000000001</v>
      </c>
      <c r="E8" s="415">
        <f>128536+12337</f>
        <v>140873</v>
      </c>
      <c r="F8" s="423">
        <f>+H8-G8</f>
        <v>14700</v>
      </c>
      <c r="G8" s="62">
        <f>+H8*0.8</f>
        <v>58800</v>
      </c>
      <c r="H8" s="415">
        <v>73500</v>
      </c>
      <c r="I8" s="65">
        <v>73500</v>
      </c>
      <c r="J8" s="415"/>
      <c r="K8" s="65">
        <v>73500</v>
      </c>
      <c r="L8" s="415"/>
    </row>
    <row r="9" spans="1:12" s="77" customFormat="1" ht="15" customHeight="1">
      <c r="A9" s="61" t="s">
        <v>23</v>
      </c>
      <c r="B9" s="414" t="s">
        <v>80</v>
      </c>
      <c r="C9" s="424">
        <f>+E9-D9</f>
        <v>2017.5999999999985</v>
      </c>
      <c r="D9" s="62">
        <f>+E9*0.9</f>
        <v>18158.4</v>
      </c>
      <c r="E9" s="415">
        <f>18399+1777</f>
        <v>20176</v>
      </c>
      <c r="F9" s="424">
        <f>+H9-G9</f>
        <v>2017.5999999999985</v>
      </c>
      <c r="G9" s="62">
        <f>+H9*0.9</f>
        <v>18158.4</v>
      </c>
      <c r="H9" s="415">
        <f>18399+1777</f>
        <v>20176</v>
      </c>
      <c r="I9" s="65">
        <v>20176</v>
      </c>
      <c r="J9" s="415"/>
      <c r="K9" s="65">
        <v>20176</v>
      </c>
      <c r="L9" s="415"/>
    </row>
    <row r="10" spans="1:12" ht="15" customHeight="1">
      <c r="A10" s="61" t="s">
        <v>24</v>
      </c>
      <c r="B10" s="414" t="s">
        <v>381</v>
      </c>
      <c r="C10" s="423"/>
      <c r="D10" s="62">
        <v>264</v>
      </c>
      <c r="E10" s="415">
        <f>+D10</f>
        <v>264</v>
      </c>
      <c r="F10" s="423"/>
      <c r="G10" s="62"/>
      <c r="H10" s="415"/>
      <c r="I10" s="65"/>
      <c r="J10" s="415"/>
      <c r="K10" s="65"/>
      <c r="L10" s="415"/>
    </row>
    <row r="11" spans="1:12" ht="15" customHeight="1" thickBot="1">
      <c r="A11" s="66" t="s">
        <v>25</v>
      </c>
      <c r="B11" s="438" t="s">
        <v>382</v>
      </c>
      <c r="C11" s="423"/>
      <c r="D11" s="62">
        <v>2622</v>
      </c>
      <c r="E11" s="415">
        <f>+D11</f>
        <v>2622</v>
      </c>
      <c r="F11" s="423"/>
      <c r="G11" s="62"/>
      <c r="H11" s="415"/>
      <c r="I11" s="68"/>
      <c r="J11" s="425"/>
      <c r="K11" s="68"/>
      <c r="L11" s="425"/>
    </row>
    <row r="12" spans="1:12" ht="30" customHeight="1">
      <c r="A12" s="69" t="s">
        <v>26</v>
      </c>
      <c r="B12" s="542" t="s">
        <v>81</v>
      </c>
      <c r="C12" s="485">
        <f>SUM(C6:C11)</f>
        <v>31645.89999999999</v>
      </c>
      <c r="D12" s="486">
        <f aca="true" t="shared" si="0" ref="D12:J12">SUM(D6:D11)</f>
        <v>146826.1</v>
      </c>
      <c r="E12" s="487">
        <f t="shared" si="0"/>
        <v>178472</v>
      </c>
      <c r="F12" s="485">
        <f t="shared" si="0"/>
        <v>18672.5</v>
      </c>
      <c r="G12" s="486">
        <f t="shared" si="0"/>
        <v>94552.5</v>
      </c>
      <c r="H12" s="487">
        <f t="shared" si="0"/>
        <v>113225</v>
      </c>
      <c r="I12" s="439">
        <f>SUM(I6:I11)</f>
        <v>113225</v>
      </c>
      <c r="J12" s="439">
        <f t="shared" si="0"/>
        <v>0</v>
      </c>
      <c r="K12" s="439">
        <f>SUM(K6:K11)</f>
        <v>113225</v>
      </c>
      <c r="L12" s="439">
        <f>SUM(L6:L11)</f>
        <v>0</v>
      </c>
    </row>
    <row r="13" spans="1:12" ht="15" customHeight="1">
      <c r="A13" s="61"/>
      <c r="C13" s="488"/>
      <c r="D13" s="70"/>
      <c r="E13" s="489">
        <f>SUM(C12:D12)</f>
        <v>178472</v>
      </c>
      <c r="F13" s="488"/>
      <c r="G13" s="70"/>
      <c r="H13" s="489">
        <f>SUM(F12:G12)</f>
        <v>113225</v>
      </c>
      <c r="I13" s="71"/>
      <c r="J13" s="71"/>
      <c r="K13" s="71"/>
      <c r="L13" s="71"/>
    </row>
    <row r="14" spans="1:12" ht="7.5" customHeight="1">
      <c r="A14" s="61"/>
      <c r="B14" s="543"/>
      <c r="C14" s="490"/>
      <c r="D14" s="72"/>
      <c r="E14" s="491"/>
      <c r="F14" s="490"/>
      <c r="G14" s="72"/>
      <c r="H14" s="491"/>
      <c r="I14" s="73"/>
      <c r="J14" s="73"/>
      <c r="K14" s="73"/>
      <c r="L14" s="73"/>
    </row>
    <row r="15" spans="1:12" ht="15" customHeight="1">
      <c r="A15" s="61" t="s">
        <v>27</v>
      </c>
      <c r="B15" s="544" t="s">
        <v>82</v>
      </c>
      <c r="C15" s="424">
        <f>+E15</f>
        <v>280</v>
      </c>
      <c r="D15" s="62"/>
      <c r="E15" s="492">
        <v>280</v>
      </c>
      <c r="F15" s="424"/>
      <c r="G15" s="62"/>
      <c r="H15" s="492"/>
      <c r="I15" s="65"/>
      <c r="J15" s="65"/>
      <c r="K15" s="65"/>
      <c r="L15" s="65"/>
    </row>
    <row r="16" spans="1:12" ht="15" customHeight="1">
      <c r="A16" s="61" t="s">
        <v>28</v>
      </c>
      <c r="B16" s="544" t="s">
        <v>83</v>
      </c>
      <c r="C16" s="424">
        <f>+E16</f>
        <v>2814</v>
      </c>
      <c r="D16" s="62"/>
      <c r="E16" s="492">
        <v>2814</v>
      </c>
      <c r="F16" s="424"/>
      <c r="G16" s="62"/>
      <c r="H16" s="492"/>
      <c r="I16" s="65"/>
      <c r="J16" s="65"/>
      <c r="K16" s="65"/>
      <c r="L16" s="65"/>
    </row>
    <row r="17" spans="1:12" ht="15" customHeight="1">
      <c r="A17" s="61" t="s">
        <v>29</v>
      </c>
      <c r="B17" s="545" t="s">
        <v>84</v>
      </c>
      <c r="C17" s="424">
        <f>+E17</f>
        <v>552</v>
      </c>
      <c r="D17" s="62"/>
      <c r="E17" s="492">
        <v>552</v>
      </c>
      <c r="F17" s="424">
        <v>100</v>
      </c>
      <c r="G17" s="62"/>
      <c r="H17" s="492">
        <f>SUM(F17:G17)</f>
        <v>100</v>
      </c>
      <c r="I17" s="65"/>
      <c r="J17" s="65">
        <f>+H17</f>
        <v>100</v>
      </c>
      <c r="K17" s="65"/>
      <c r="L17" s="65">
        <f>+J17</f>
        <v>100</v>
      </c>
    </row>
    <row r="18" spans="1:12" s="77" customFormat="1" ht="15" customHeight="1">
      <c r="A18" s="61" t="s">
        <v>30</v>
      </c>
      <c r="B18" s="540" t="s">
        <v>85</v>
      </c>
      <c r="C18" s="424">
        <f>+E18</f>
        <v>1832</v>
      </c>
      <c r="D18" s="62"/>
      <c r="E18" s="492">
        <v>1832</v>
      </c>
      <c r="F18" s="424"/>
      <c r="G18" s="62"/>
      <c r="H18" s="492"/>
      <c r="I18" s="547"/>
      <c r="J18" s="65"/>
      <c r="K18" s="547"/>
      <c r="L18" s="65"/>
    </row>
    <row r="19" spans="1:12" ht="16.5" customHeight="1">
      <c r="A19" s="61" t="s">
        <v>31</v>
      </c>
      <c r="B19" s="541" t="s">
        <v>466</v>
      </c>
      <c r="C19" s="424"/>
      <c r="D19" s="62"/>
      <c r="E19" s="492"/>
      <c r="F19" s="424">
        <f>4764+350-100</f>
        <v>5014</v>
      </c>
      <c r="G19" s="62"/>
      <c r="H19" s="492">
        <f>SUM(F19:G19)</f>
        <v>5014</v>
      </c>
      <c r="I19" s="65"/>
      <c r="J19" s="65">
        <f>+H19</f>
        <v>5014</v>
      </c>
      <c r="K19" s="65"/>
      <c r="L19" s="65">
        <f>+J19</f>
        <v>5014</v>
      </c>
    </row>
    <row r="20" spans="1:12" ht="15" customHeight="1">
      <c r="A20" s="61" t="s">
        <v>32</v>
      </c>
      <c r="B20" s="546" t="s">
        <v>86</v>
      </c>
      <c r="C20" s="482">
        <f>SUM(C15:C18)</f>
        <v>5478</v>
      </c>
      <c r="D20" s="483">
        <f>SUM(D15:D18)</f>
        <v>0</v>
      </c>
      <c r="E20" s="484">
        <f>SUM(E15:E18)</f>
        <v>5478</v>
      </c>
      <c r="F20" s="482">
        <f aca="true" t="shared" si="1" ref="F20:L20">SUM(F15:F19)</f>
        <v>5114</v>
      </c>
      <c r="G20" s="483">
        <f t="shared" si="1"/>
        <v>0</v>
      </c>
      <c r="H20" s="484">
        <f t="shared" si="1"/>
        <v>5114</v>
      </c>
      <c r="I20" s="71">
        <f t="shared" si="1"/>
        <v>0</v>
      </c>
      <c r="J20" s="71">
        <f t="shared" si="1"/>
        <v>5114</v>
      </c>
      <c r="K20" s="71">
        <f t="shared" si="1"/>
        <v>0</v>
      </c>
      <c r="L20" s="71">
        <f t="shared" si="1"/>
        <v>5114</v>
      </c>
    </row>
    <row r="21" spans="1:12" ht="7.5" customHeight="1">
      <c r="A21" s="61"/>
      <c r="B21" s="544"/>
      <c r="C21" s="75"/>
      <c r="D21" s="62"/>
      <c r="E21" s="76"/>
      <c r="F21" s="75"/>
      <c r="G21" s="62"/>
      <c r="H21" s="76"/>
      <c r="I21" s="63"/>
      <c r="J21" s="63"/>
      <c r="K21" s="63"/>
      <c r="L21" s="63"/>
    </row>
    <row r="22" spans="1:12" ht="15" customHeight="1" thickBot="1">
      <c r="A22" s="61" t="s">
        <v>33</v>
      </c>
      <c r="B22" s="544" t="s">
        <v>87</v>
      </c>
      <c r="C22" s="411">
        <v>350</v>
      </c>
      <c r="D22" s="67"/>
      <c r="E22" s="412">
        <f>+C22</f>
        <v>350</v>
      </c>
      <c r="F22" s="411"/>
      <c r="G22" s="67"/>
      <c r="H22" s="412"/>
      <c r="I22" s="68"/>
      <c r="J22" s="68"/>
      <c r="K22" s="68"/>
      <c r="L22" s="68"/>
    </row>
    <row r="23" spans="1:12" ht="31.5" customHeight="1">
      <c r="A23" s="555" t="s">
        <v>34</v>
      </c>
      <c r="B23" s="548" t="s">
        <v>88</v>
      </c>
      <c r="C23" s="426">
        <f aca="true" t="shared" si="2" ref="C23:J23">SUM(C22:C22)</f>
        <v>350</v>
      </c>
      <c r="D23" s="427">
        <f t="shared" si="2"/>
        <v>0</v>
      </c>
      <c r="E23" s="428">
        <f t="shared" si="2"/>
        <v>350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4">
        <f t="shared" si="2"/>
        <v>0</v>
      </c>
      <c r="J23" s="74">
        <f t="shared" si="2"/>
        <v>0</v>
      </c>
      <c r="K23" s="74">
        <f>SUM(K22:K22)</f>
        <v>0</v>
      </c>
      <c r="L23" s="74">
        <f>SUM(L22:L22)</f>
        <v>0</v>
      </c>
    </row>
    <row r="24" spans="1:12" ht="7.5" customHeight="1">
      <c r="A24" s="556"/>
      <c r="B24" s="549"/>
      <c r="C24" s="429"/>
      <c r="D24" s="70"/>
      <c r="E24" s="430"/>
      <c r="F24" s="70"/>
      <c r="G24" s="70"/>
      <c r="H24" s="70"/>
      <c r="I24" s="71"/>
      <c r="J24" s="71"/>
      <c r="K24" s="71"/>
      <c r="L24" s="71"/>
    </row>
    <row r="25" spans="1:12" ht="15" customHeight="1">
      <c r="A25" s="556" t="s">
        <v>35</v>
      </c>
      <c r="B25" s="549" t="s">
        <v>89</v>
      </c>
      <c r="C25" s="429"/>
      <c r="D25" s="70">
        <v>430</v>
      </c>
      <c r="E25" s="430">
        <f>SUM(C25:D25)</f>
        <v>430</v>
      </c>
      <c r="F25" s="70"/>
      <c r="G25" s="70"/>
      <c r="H25" s="70">
        <f>SUM(F25:G25)</f>
        <v>0</v>
      </c>
      <c r="I25" s="71"/>
      <c r="J25" s="71"/>
      <c r="K25" s="71"/>
      <c r="L25" s="71"/>
    </row>
    <row r="26" spans="1:12" ht="6" customHeight="1">
      <c r="A26" s="61"/>
      <c r="B26" s="549"/>
      <c r="C26" s="429"/>
      <c r="D26" s="70"/>
      <c r="E26" s="430"/>
      <c r="F26" s="70"/>
      <c r="G26" s="70"/>
      <c r="H26" s="70"/>
      <c r="I26" s="71"/>
      <c r="J26" s="71"/>
      <c r="K26" s="71"/>
      <c r="L26" s="71"/>
    </row>
    <row r="27" spans="1:12" ht="15" customHeight="1">
      <c r="A27" s="61" t="s">
        <v>36</v>
      </c>
      <c r="B27" s="550" t="s">
        <v>375</v>
      </c>
      <c r="C27" s="413"/>
      <c r="D27" s="77">
        <v>3248</v>
      </c>
      <c r="E27" s="430">
        <f>SUM(C27:D27)</f>
        <v>3248</v>
      </c>
      <c r="I27" s="61"/>
      <c r="J27" s="78"/>
      <c r="K27" s="61"/>
      <c r="L27" s="78"/>
    </row>
    <row r="28" spans="1:12" ht="15" customHeight="1">
      <c r="A28" s="556" t="s">
        <v>37</v>
      </c>
      <c r="B28" s="551" t="s">
        <v>90</v>
      </c>
      <c r="C28" s="429"/>
      <c r="D28" s="70">
        <v>9366</v>
      </c>
      <c r="E28" s="430">
        <f>SUM(C28:D28)</f>
        <v>9366</v>
      </c>
      <c r="F28" s="70"/>
      <c r="G28" s="70"/>
      <c r="H28" s="70">
        <f>SUM(F28:G28)</f>
        <v>0</v>
      </c>
      <c r="I28" s="71"/>
      <c r="J28" s="71"/>
      <c r="K28" s="71"/>
      <c r="L28" s="71"/>
    </row>
    <row r="29" spans="1:12" ht="15" customHeight="1">
      <c r="A29" s="556" t="s">
        <v>40</v>
      </c>
      <c r="B29" s="552" t="s">
        <v>91</v>
      </c>
      <c r="C29" s="431">
        <f aca="true" t="shared" si="3" ref="C29:J29">SUM(C23:C28)+C20+C12</f>
        <v>37473.899999999994</v>
      </c>
      <c r="D29" s="72">
        <f t="shared" si="3"/>
        <v>159870.1</v>
      </c>
      <c r="E29" s="432">
        <f t="shared" si="3"/>
        <v>197344</v>
      </c>
      <c r="F29" s="72">
        <f t="shared" si="3"/>
        <v>23786.5</v>
      </c>
      <c r="G29" s="72">
        <f t="shared" si="3"/>
        <v>94552.5</v>
      </c>
      <c r="H29" s="72">
        <f t="shared" si="3"/>
        <v>118339</v>
      </c>
      <c r="I29" s="73">
        <f t="shared" si="3"/>
        <v>113225</v>
      </c>
      <c r="J29" s="73">
        <f t="shared" si="3"/>
        <v>5114</v>
      </c>
      <c r="K29" s="73">
        <f>SUM(K23:K28)+K20+K12</f>
        <v>113225</v>
      </c>
      <c r="L29" s="73">
        <f>SUM(L23:L28)+L20+L12</f>
        <v>5114</v>
      </c>
    </row>
    <row r="30" spans="1:12" ht="15.75" thickBot="1">
      <c r="A30" s="556"/>
      <c r="B30" s="553"/>
      <c r="C30" s="433"/>
      <c r="D30" s="434"/>
      <c r="E30" s="435">
        <f>SUM(C29:D29)</f>
        <v>197344</v>
      </c>
      <c r="F30" s="72"/>
      <c r="G30" s="72"/>
      <c r="H30" s="72">
        <f>SUM(F29:G29)</f>
        <v>118339</v>
      </c>
      <c r="I30" s="436"/>
      <c r="J30" s="436"/>
      <c r="K30" s="436"/>
      <c r="L30" s="436"/>
    </row>
    <row r="31" spans="1:12" ht="15.75" thickBot="1">
      <c r="A31" s="557" t="s">
        <v>47</v>
      </c>
      <c r="B31" s="554" t="s">
        <v>92</v>
      </c>
      <c r="C31" s="79">
        <f aca="true" t="shared" si="4" ref="C31:J31">+C29</f>
        <v>37473.899999999994</v>
      </c>
      <c r="D31" s="79">
        <f t="shared" si="4"/>
        <v>159870.1</v>
      </c>
      <c r="E31" s="79">
        <f t="shared" si="4"/>
        <v>197344</v>
      </c>
      <c r="F31" s="479">
        <f t="shared" si="4"/>
        <v>23786.5</v>
      </c>
      <c r="G31" s="79">
        <f t="shared" si="4"/>
        <v>94552.5</v>
      </c>
      <c r="H31" s="480">
        <f t="shared" si="4"/>
        <v>118339</v>
      </c>
      <c r="I31" s="80">
        <f>+I29</f>
        <v>113225</v>
      </c>
      <c r="J31" s="80">
        <f t="shared" si="4"/>
        <v>5114</v>
      </c>
      <c r="K31" s="80">
        <f>+K29</f>
        <v>113225</v>
      </c>
      <c r="L31" s="80">
        <f>+L29</f>
        <v>5114</v>
      </c>
    </row>
    <row r="33" ht="15" customHeight="1">
      <c r="L33" s="655"/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10/2014.(VI.27.)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H14" sqref="H14"/>
    </sheetView>
  </sheetViews>
  <sheetFormatPr defaultColWidth="9.140625" defaultRowHeight="15" customHeight="1"/>
  <cols>
    <col min="1" max="1" width="4.7109375" style="112" customWidth="1"/>
    <col min="2" max="2" width="50.421875" style="112" customWidth="1"/>
    <col min="3" max="3" width="17.421875" style="112" customWidth="1"/>
    <col min="4" max="16384" width="9.140625" style="112" customWidth="1"/>
  </cols>
  <sheetData>
    <row r="1" spans="1:2" ht="15" customHeight="1">
      <c r="A1" s="460" t="s">
        <v>93</v>
      </c>
      <c r="B1" s="137"/>
    </row>
    <row r="2" spans="1:4" ht="15" customHeight="1">
      <c r="A2" s="460"/>
      <c r="B2" s="137"/>
      <c r="C2" s="461" t="s">
        <v>377</v>
      </c>
      <c r="D2" s="461" t="s">
        <v>377</v>
      </c>
    </row>
    <row r="3" spans="1:4" ht="15" customHeight="1">
      <c r="A3" s="139"/>
      <c r="B3" s="137" t="s">
        <v>365</v>
      </c>
      <c r="C3" s="462" t="s">
        <v>68</v>
      </c>
      <c r="D3" s="462" t="s">
        <v>470</v>
      </c>
    </row>
    <row r="4" spans="1:2" s="465" customFormat="1" ht="15" customHeight="1">
      <c r="A4" s="463"/>
      <c r="B4" s="464"/>
    </row>
    <row r="5" spans="1:4" s="466" customFormat="1" ht="15" customHeight="1">
      <c r="A5" s="493" t="s">
        <v>11</v>
      </c>
      <c r="B5" s="493" t="s">
        <v>12</v>
      </c>
      <c r="C5" s="494" t="s">
        <v>13</v>
      </c>
      <c r="D5" s="461" t="s">
        <v>14</v>
      </c>
    </row>
    <row r="6" spans="2:4" ht="15" customHeight="1">
      <c r="B6" s="467"/>
      <c r="C6" s="468"/>
      <c r="D6" s="468"/>
    </row>
    <row r="7" spans="1:4" ht="15" customHeight="1">
      <c r="A7" s="701" t="s">
        <v>20</v>
      </c>
      <c r="B7" s="469" t="s">
        <v>378</v>
      </c>
      <c r="C7" s="114">
        <f>+'[5]felhalmozási bevétel'!C7+22863-1000-1000-4272-500</f>
        <v>16241</v>
      </c>
      <c r="D7" s="114">
        <f>+C7-900-2650-519</f>
        <v>12172</v>
      </c>
    </row>
    <row r="8" spans="1:4" ht="15" customHeight="1">
      <c r="A8" s="701" t="s">
        <v>21</v>
      </c>
      <c r="B8" s="469" t="s">
        <v>446</v>
      </c>
      <c r="C8" s="114">
        <v>5000</v>
      </c>
      <c r="D8" s="114">
        <f>+C8</f>
        <v>5000</v>
      </c>
    </row>
    <row r="9" spans="1:4" ht="15" customHeight="1">
      <c r="A9" s="701" t="s">
        <v>22</v>
      </c>
      <c r="B9" s="469" t="s">
        <v>462</v>
      </c>
      <c r="C9" s="114">
        <v>1000</v>
      </c>
      <c r="D9" s="114">
        <f>+C9</f>
        <v>1000</v>
      </c>
    </row>
    <row r="10" spans="1:4" ht="42.75">
      <c r="A10" s="701" t="s">
        <v>23</v>
      </c>
      <c r="B10" s="469" t="s">
        <v>471</v>
      </c>
      <c r="C10" s="114"/>
      <c r="D10" s="112">
        <v>26212</v>
      </c>
    </row>
    <row r="11" spans="1:4" ht="15" customHeight="1">
      <c r="A11" s="701" t="s">
        <v>24</v>
      </c>
      <c r="B11" s="469" t="s">
        <v>227</v>
      </c>
      <c r="C11" s="114"/>
      <c r="D11" s="112">
        <v>6094</v>
      </c>
    </row>
    <row r="12" spans="1:4" ht="15" customHeight="1">
      <c r="A12" s="701" t="s">
        <v>25</v>
      </c>
      <c r="B12" s="469" t="s">
        <v>522</v>
      </c>
      <c r="C12" s="114"/>
      <c r="D12" s="112">
        <v>12492</v>
      </c>
    </row>
    <row r="13" spans="1:4" ht="31.5" customHeight="1">
      <c r="A13" s="702" t="s">
        <v>26</v>
      </c>
      <c r="B13" s="469" t="s">
        <v>523</v>
      </c>
      <c r="C13" s="114"/>
      <c r="D13" s="112">
        <v>1000</v>
      </c>
    </row>
    <row r="14" spans="1:4" ht="31.5" customHeight="1">
      <c r="A14" s="702" t="s">
        <v>27</v>
      </c>
      <c r="B14" s="469" t="s">
        <v>635</v>
      </c>
      <c r="C14" s="114"/>
      <c r="D14" s="112">
        <v>2650</v>
      </c>
    </row>
    <row r="15" spans="1:4" ht="31.5" customHeight="1">
      <c r="A15" s="702" t="s">
        <v>28</v>
      </c>
      <c r="B15" s="469" t="s">
        <v>637</v>
      </c>
      <c r="C15" s="114"/>
      <c r="D15" s="112">
        <v>1100</v>
      </c>
    </row>
    <row r="16" spans="1:4" ht="31.5" customHeight="1">
      <c r="A16" s="112" t="s">
        <v>29</v>
      </c>
      <c r="B16" s="469" t="s">
        <v>666</v>
      </c>
      <c r="C16" s="114"/>
      <c r="D16" s="112">
        <v>519</v>
      </c>
    </row>
    <row r="17" spans="1:3" ht="14.25">
      <c r="A17" s="701"/>
      <c r="B17" s="469"/>
      <c r="C17" s="114"/>
    </row>
    <row r="18" spans="1:4" ht="15" customHeight="1">
      <c r="A18" s="112" t="s">
        <v>30</v>
      </c>
      <c r="B18" s="470" t="s">
        <v>94</v>
      </c>
      <c r="C18" s="468">
        <f>SUM(C7:C13)</f>
        <v>22241</v>
      </c>
      <c r="D18" s="468">
        <f>SUM(D7:D17)</f>
        <v>68239</v>
      </c>
    </row>
    <row r="20" spans="1:4" ht="15" customHeight="1">
      <c r="A20" s="112" t="s">
        <v>31</v>
      </c>
      <c r="B20" s="471" t="s">
        <v>447</v>
      </c>
      <c r="C20" s="52">
        <f>9041+3096</f>
        <v>12137</v>
      </c>
      <c r="D20" s="112">
        <f>+C20</f>
        <v>12137</v>
      </c>
    </row>
    <row r="21" spans="1:4" ht="15" customHeight="1">
      <c r="A21" s="112" t="s">
        <v>32</v>
      </c>
      <c r="B21" s="471" t="s">
        <v>619</v>
      </c>
      <c r="C21" s="52">
        <v>1500</v>
      </c>
      <c r="D21" s="112">
        <f>+C21</f>
        <v>1500</v>
      </c>
    </row>
    <row r="22" spans="1:3" ht="15" customHeight="1">
      <c r="A22" s="701"/>
      <c r="B22" s="471"/>
      <c r="C22" s="52"/>
    </row>
    <row r="23" spans="2:3" ht="15" customHeight="1">
      <c r="B23" s="471"/>
      <c r="C23" s="114"/>
    </row>
    <row r="24" spans="1:4" ht="15" customHeight="1">
      <c r="A24" s="112" t="s">
        <v>33</v>
      </c>
      <c r="B24" s="472" t="s">
        <v>95</v>
      </c>
      <c r="C24" s="473">
        <f>SUM(C20:C23)</f>
        <v>13637</v>
      </c>
      <c r="D24" s="473">
        <f>SUM(D20:D23)</f>
        <v>13637</v>
      </c>
    </row>
    <row r="25" spans="2:4" ht="15" customHeight="1">
      <c r="B25" s="472"/>
      <c r="C25" s="473"/>
      <c r="D25" s="473"/>
    </row>
    <row r="26" spans="1:4" ht="15" customHeight="1">
      <c r="A26" s="112" t="s">
        <v>34</v>
      </c>
      <c r="B26" s="473" t="s">
        <v>96</v>
      </c>
      <c r="C26" s="474">
        <f>+C24+C18</f>
        <v>35878</v>
      </c>
      <c r="D26" s="474">
        <f>+D24+D18</f>
        <v>81876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10/2014.(VI.27.) Önkormányzati költségvetési rendelethez</oddHead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92" bestFit="1" customWidth="1"/>
    <col min="2" max="2" width="66.421875" style="91" customWidth="1"/>
    <col min="3" max="3" width="12.140625" style="91" customWidth="1"/>
    <col min="4" max="16384" width="9.140625" style="91" customWidth="1"/>
  </cols>
  <sheetData>
    <row r="1" ht="15.75">
      <c r="A1" s="90" t="s">
        <v>150</v>
      </c>
    </row>
    <row r="2" ht="15.75">
      <c r="B2" s="93"/>
    </row>
    <row r="3" spans="2:4" ht="15.75">
      <c r="B3" s="94" t="s">
        <v>151</v>
      </c>
      <c r="C3" s="457" t="s">
        <v>377</v>
      </c>
      <c r="D3" s="457" t="s">
        <v>377</v>
      </c>
    </row>
    <row r="4" spans="3:4" ht="15.75">
      <c r="C4" s="457" t="s">
        <v>68</v>
      </c>
      <c r="D4" s="457" t="s">
        <v>470</v>
      </c>
    </row>
    <row r="5" spans="1:4" ht="15.75">
      <c r="A5" s="92" t="s">
        <v>11</v>
      </c>
      <c r="B5" s="458" t="s">
        <v>12</v>
      </c>
      <c r="C5" s="457" t="s">
        <v>13</v>
      </c>
      <c r="D5" s="457" t="s">
        <v>14</v>
      </c>
    </row>
    <row r="7" spans="1:4" ht="15.75">
      <c r="A7" s="92" t="s">
        <v>20</v>
      </c>
      <c r="B7" s="91" t="s">
        <v>152</v>
      </c>
      <c r="C7" s="95">
        <f>+1_mell!E77</f>
        <v>150</v>
      </c>
      <c r="D7" s="95">
        <f>+1_mell!F78</f>
        <v>150</v>
      </c>
    </row>
    <row r="8" spans="1:4" ht="15.75">
      <c r="A8" s="92" t="s">
        <v>21</v>
      </c>
      <c r="B8" s="91" t="s">
        <v>453</v>
      </c>
      <c r="C8" s="95">
        <v>7000</v>
      </c>
      <c r="D8" s="95">
        <f>+C8</f>
        <v>7000</v>
      </c>
    </row>
    <row r="9" spans="1:4" ht="15.75">
      <c r="A9" s="92" t="s">
        <v>22</v>
      </c>
      <c r="B9" s="91" t="s">
        <v>452</v>
      </c>
      <c r="C9" s="91">
        <f>35000+9450</f>
        <v>44450</v>
      </c>
      <c r="D9" s="91">
        <f>+C9</f>
        <v>44450</v>
      </c>
    </row>
    <row r="10" spans="1:4" ht="36.75" customHeight="1">
      <c r="A10" s="92" t="s">
        <v>23</v>
      </c>
      <c r="B10" s="583" t="s">
        <v>661</v>
      </c>
      <c r="C10" s="91">
        <v>9450</v>
      </c>
      <c r="D10" s="91">
        <f>+C10</f>
        <v>9450</v>
      </c>
    </row>
    <row r="11" spans="1:4" ht="15.75">
      <c r="A11" s="92" t="s">
        <v>24</v>
      </c>
      <c r="B11" s="91" t="str">
        <f>+1_mell!C72</f>
        <v>BM EU Önerő Alap KEOP-1.3.0/09-11 pályázathoz</v>
      </c>
      <c r="D11" s="95">
        <f>+1_mell!F72</f>
        <v>26212</v>
      </c>
    </row>
    <row r="12" spans="1:4" ht="15.75">
      <c r="A12" s="92" t="s">
        <v>25</v>
      </c>
      <c r="B12" s="91" t="str">
        <f>+1_mell!C73</f>
        <v>Közfoglalkoztatás</v>
      </c>
      <c r="D12" s="95">
        <f>+1_mell!F73</f>
        <v>6094</v>
      </c>
    </row>
    <row r="13" spans="1:4" ht="15.75">
      <c r="A13" s="92" t="s">
        <v>26</v>
      </c>
      <c r="B13" s="622" t="s">
        <v>522</v>
      </c>
      <c r="D13" s="91">
        <v>12492</v>
      </c>
    </row>
    <row r="14" spans="1:4" ht="15.75">
      <c r="A14" s="92" t="s">
        <v>27</v>
      </c>
      <c r="B14" s="622" t="s">
        <v>523</v>
      </c>
      <c r="D14" s="91">
        <v>1000</v>
      </c>
    </row>
    <row r="15" spans="1:4" ht="15.75">
      <c r="A15" s="92" t="s">
        <v>28</v>
      </c>
      <c r="B15" s="672" t="str">
        <f>+1_mell!C75</f>
        <v>Városi Művelődési Központ és Könyvtár "Civil Alap 2014 pályázat"</v>
      </c>
      <c r="D15" s="91">
        <v>1100</v>
      </c>
    </row>
    <row r="18" spans="1:6" ht="15.75">
      <c r="A18" s="92" t="s">
        <v>29</v>
      </c>
      <c r="B18" s="94" t="s">
        <v>153</v>
      </c>
      <c r="C18" s="406">
        <f>SUM(C7:C17)-C10</f>
        <v>51600</v>
      </c>
      <c r="D18" s="406">
        <f>SUM(D7:D17)-D10</f>
        <v>98498</v>
      </c>
      <c r="F18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10/2014.(VI.27.) Önkormányzati költségvetési rendelethez&amp;R&amp;D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720" t="s">
        <v>380</v>
      </c>
      <c r="B1" s="720"/>
      <c r="C1" s="720"/>
      <c r="D1" s="720"/>
      <c r="E1" s="720"/>
      <c r="F1" s="720"/>
      <c r="G1" s="720"/>
    </row>
    <row r="2" spans="1:7" ht="15.75">
      <c r="A2" s="82" t="s">
        <v>11</v>
      </c>
      <c r="B2" s="394" t="s">
        <v>360</v>
      </c>
      <c r="C2" s="394" t="s">
        <v>13</v>
      </c>
      <c r="D2" s="394" t="s">
        <v>14</v>
      </c>
      <c r="E2" s="394" t="s">
        <v>379</v>
      </c>
      <c r="F2" s="584" t="s">
        <v>16</v>
      </c>
      <c r="G2" s="584" t="s">
        <v>17</v>
      </c>
    </row>
    <row r="3" spans="1:7" ht="16.5" thickBot="1">
      <c r="A3" t="s">
        <v>20</v>
      </c>
      <c r="B3" s="96" t="s">
        <v>154</v>
      </c>
      <c r="C3" s="96"/>
      <c r="D3" s="96"/>
      <c r="E3" s="96" t="s">
        <v>155</v>
      </c>
      <c r="F3" s="97"/>
      <c r="G3" s="97"/>
    </row>
    <row r="4" spans="1:7" ht="15.75">
      <c r="A4" t="s">
        <v>21</v>
      </c>
      <c r="B4" s="98" t="s">
        <v>156</v>
      </c>
      <c r="C4" s="99" t="s">
        <v>377</v>
      </c>
      <c r="D4" s="99" t="s">
        <v>377</v>
      </c>
      <c r="E4" s="100" t="s">
        <v>156</v>
      </c>
      <c r="F4" s="81" t="s">
        <v>377</v>
      </c>
      <c r="G4" s="101" t="s">
        <v>377</v>
      </c>
    </row>
    <row r="5" spans="1:7" ht="15.75">
      <c r="A5" t="s">
        <v>22</v>
      </c>
      <c r="B5" s="99"/>
      <c r="C5" s="99" t="s">
        <v>68</v>
      </c>
      <c r="D5" s="99" t="s">
        <v>470</v>
      </c>
      <c r="E5" s="100"/>
      <c r="F5" s="101" t="s">
        <v>68</v>
      </c>
      <c r="G5" s="101" t="s">
        <v>470</v>
      </c>
    </row>
    <row r="6" spans="2:5" ht="15.75">
      <c r="B6" s="102"/>
      <c r="C6" s="102"/>
      <c r="D6" s="102"/>
      <c r="E6" s="103"/>
    </row>
    <row r="7" spans="1:7" ht="15.75">
      <c r="A7" t="s">
        <v>23</v>
      </c>
      <c r="B7" s="102" t="str">
        <f>+'[1]felh bev'!A35</f>
        <v>Felhalmozási bevételek összesen</v>
      </c>
      <c r="C7" s="104">
        <f>+8_mell!C18</f>
        <v>51600</v>
      </c>
      <c r="D7" s="107">
        <f>+8_mell!D18</f>
        <v>98498</v>
      </c>
      <c r="E7" s="103" t="s">
        <v>157</v>
      </c>
      <c r="F7" s="85">
        <f>+2_mell!E22</f>
        <v>22241</v>
      </c>
      <c r="G7" s="86">
        <f>+2_mell!F22</f>
        <v>68239</v>
      </c>
    </row>
    <row r="8" spans="1:7" ht="15.75">
      <c r="A8" t="s">
        <v>24</v>
      </c>
      <c r="B8" s="102"/>
      <c r="C8" s="104"/>
      <c r="D8" s="104"/>
      <c r="E8" s="103" t="s">
        <v>158</v>
      </c>
      <c r="F8">
        <f>+2_mell!E23</f>
        <v>13637</v>
      </c>
      <c r="G8" s="82">
        <f>+2_mell!F23</f>
        <v>13637</v>
      </c>
    </row>
    <row r="9" spans="2:7" ht="15.75">
      <c r="B9" s="102"/>
      <c r="C9" s="104"/>
      <c r="D9" s="104"/>
      <c r="E9" s="103"/>
      <c r="G9" s="82"/>
    </row>
    <row r="10" spans="1:7" ht="15.75">
      <c r="A10" t="s">
        <v>25</v>
      </c>
      <c r="B10" s="102"/>
      <c r="C10" s="104"/>
      <c r="D10" s="104"/>
      <c r="E10" s="103" t="s">
        <v>70</v>
      </c>
      <c r="F10" s="85">
        <f>+2_mell!E19</f>
        <v>3000</v>
      </c>
      <c r="G10" s="86">
        <f>+2_mell!F19</f>
        <v>4000</v>
      </c>
    </row>
    <row r="11" spans="2:7" ht="15.75">
      <c r="B11" s="102"/>
      <c r="C11" s="104"/>
      <c r="D11" s="104"/>
      <c r="E11" s="103"/>
      <c r="G11" s="82"/>
    </row>
    <row r="12" spans="2:7" ht="15.75">
      <c r="B12" s="102"/>
      <c r="C12" s="104"/>
      <c r="D12" s="104"/>
      <c r="E12" s="103"/>
      <c r="G12" s="82"/>
    </row>
    <row r="13" spans="1:7" ht="15.75">
      <c r="A13" t="s">
        <v>26</v>
      </c>
      <c r="B13" s="102"/>
      <c r="C13" s="104"/>
      <c r="D13" s="104"/>
      <c r="E13" s="105" t="s">
        <v>339</v>
      </c>
      <c r="F13" s="85">
        <v>1200</v>
      </c>
      <c r="G13" s="86">
        <f>+F13</f>
        <v>1200</v>
      </c>
    </row>
    <row r="14" spans="1:7" ht="15.75">
      <c r="A14" t="s">
        <v>27</v>
      </c>
      <c r="B14" s="102"/>
      <c r="C14" s="104"/>
      <c r="D14" s="104"/>
      <c r="E14" s="103" t="s">
        <v>159</v>
      </c>
      <c r="F14" s="85">
        <v>1867</v>
      </c>
      <c r="G14" s="86">
        <f>+F14</f>
        <v>1867</v>
      </c>
    </row>
    <row r="15" spans="1:7" ht="15.75">
      <c r="A15" t="s">
        <v>28</v>
      </c>
      <c r="B15" s="102"/>
      <c r="C15" s="104"/>
      <c r="D15" s="104"/>
      <c r="E15" s="105" t="s">
        <v>451</v>
      </c>
      <c r="F15">
        <v>9450</v>
      </c>
      <c r="G15" s="86">
        <f>+F15</f>
        <v>9450</v>
      </c>
    </row>
    <row r="16" spans="2:6" ht="15.75">
      <c r="B16" s="102"/>
      <c r="C16" s="104"/>
      <c r="D16" s="104"/>
      <c r="E16" s="103"/>
      <c r="F16" s="85"/>
    </row>
    <row r="17" spans="2:5" ht="15.75">
      <c r="B17" s="102"/>
      <c r="C17" s="104"/>
      <c r="D17" s="104"/>
      <c r="E17" s="103"/>
    </row>
    <row r="18" spans="2:6" ht="15.75">
      <c r="B18" s="102"/>
      <c r="C18" s="104"/>
      <c r="D18" s="104"/>
      <c r="E18" s="103"/>
      <c r="F18" s="85"/>
    </row>
    <row r="19" spans="2:5" ht="15.75">
      <c r="B19" s="102"/>
      <c r="C19" s="104"/>
      <c r="D19" s="104"/>
      <c r="E19" s="106"/>
    </row>
    <row r="20" spans="2:5" ht="15.75">
      <c r="B20" s="102"/>
      <c r="C20" s="104"/>
      <c r="D20" s="104"/>
      <c r="E20" s="106"/>
    </row>
    <row r="21" spans="2:5" ht="15.75">
      <c r="B21" s="102"/>
      <c r="C21" s="104"/>
      <c r="D21" s="104"/>
      <c r="E21" s="106"/>
    </row>
    <row r="22" spans="2:5" ht="15.75">
      <c r="B22" s="102"/>
      <c r="C22" s="104"/>
      <c r="D22" s="104"/>
      <c r="E22" s="106"/>
    </row>
    <row r="23" spans="1:7" ht="15.75">
      <c r="A23" t="s">
        <v>29</v>
      </c>
      <c r="B23" s="98" t="s">
        <v>153</v>
      </c>
      <c r="C23" s="107">
        <f>SUM(C7:C22)</f>
        <v>51600</v>
      </c>
      <c r="D23" s="107">
        <f>SUM(D7:D22)</f>
        <v>98498</v>
      </c>
      <c r="E23" s="108" t="s">
        <v>160</v>
      </c>
      <c r="F23" s="109">
        <f>SUM(F7:F22)</f>
        <v>51395</v>
      </c>
      <c r="G23" s="109">
        <f>SUM(G7:G22)</f>
        <v>98393</v>
      </c>
    </row>
    <row r="24" spans="1:5" ht="15.75">
      <c r="A24" t="s">
        <v>30</v>
      </c>
      <c r="B24" s="110" t="s">
        <v>161</v>
      </c>
      <c r="C24" s="111">
        <f>+C23-F23</f>
        <v>205</v>
      </c>
      <c r="D24" s="111">
        <f>+D23-G23</f>
        <v>105</v>
      </c>
      <c r="E24" s="10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10/2014.(VI.27.) Önkormányzati költségvetési rendelethez&amp;R&amp;D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H44" sqref="H44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85" bestFit="1" customWidth="1"/>
  </cols>
  <sheetData>
    <row r="1" ht="12.75" customHeight="1">
      <c r="D1" s="530" t="s">
        <v>376</v>
      </c>
    </row>
    <row r="2" spans="1:4" ht="12.75" customHeight="1">
      <c r="A2" t="s">
        <v>458</v>
      </c>
      <c r="B2" t="s">
        <v>61</v>
      </c>
      <c r="D2" s="86"/>
    </row>
    <row r="3" spans="1:4" ht="12.75">
      <c r="A3" t="s">
        <v>151</v>
      </c>
      <c r="B3" s="84" t="s">
        <v>423</v>
      </c>
      <c r="C3" t="s">
        <v>383</v>
      </c>
      <c r="D3" s="86">
        <f>+D7+D8+D18+D20+D24+D25+D37+D38</f>
        <v>241073596</v>
      </c>
    </row>
    <row r="4" ht="12.75" customHeight="1">
      <c r="A4" t="s">
        <v>384</v>
      </c>
    </row>
    <row r="5" ht="12.75" customHeight="1">
      <c r="A5" t="s">
        <v>385</v>
      </c>
    </row>
    <row r="6" spans="1:4" ht="12.75" customHeight="1">
      <c r="A6" t="s">
        <v>386</v>
      </c>
      <c r="B6" t="s">
        <v>127</v>
      </c>
      <c r="C6" s="416">
        <v>20.41</v>
      </c>
      <c r="D6" s="440">
        <v>93477800</v>
      </c>
    </row>
    <row r="7" spans="1:4" ht="12.75" customHeight="1">
      <c r="A7" t="s">
        <v>387</v>
      </c>
      <c r="B7" t="s">
        <v>127</v>
      </c>
      <c r="C7" s="417">
        <v>0</v>
      </c>
      <c r="D7" s="441">
        <v>93477800</v>
      </c>
    </row>
    <row r="8" spans="1:4" ht="12.75" customHeight="1">
      <c r="A8" t="s">
        <v>388</v>
      </c>
      <c r="B8" t="s">
        <v>127</v>
      </c>
      <c r="C8" s="417">
        <v>0</v>
      </c>
      <c r="D8" s="441">
        <v>55853688</v>
      </c>
    </row>
    <row r="9" spans="1:4" ht="12.75" customHeight="1">
      <c r="A9" t="s">
        <v>389</v>
      </c>
      <c r="B9" t="s">
        <v>127</v>
      </c>
      <c r="C9" s="417">
        <v>0</v>
      </c>
      <c r="D9" s="440">
        <v>55853688</v>
      </c>
    </row>
    <row r="10" spans="1:4" ht="12.75" customHeight="1">
      <c r="A10" t="s">
        <v>390</v>
      </c>
      <c r="B10" t="s">
        <v>127</v>
      </c>
      <c r="C10" s="417">
        <v>0</v>
      </c>
      <c r="D10" s="440">
        <v>18963920</v>
      </c>
    </row>
    <row r="11" spans="1:4" ht="12.75" customHeight="1">
      <c r="A11" t="s">
        <v>391</v>
      </c>
      <c r="B11" t="s">
        <v>127</v>
      </c>
      <c r="C11" s="417">
        <v>0</v>
      </c>
      <c r="D11" s="442">
        <v>18963920</v>
      </c>
    </row>
    <row r="12" spans="1:4" ht="12.75" customHeight="1">
      <c r="A12" t="s">
        <v>128</v>
      </c>
      <c r="B12" t="s">
        <v>127</v>
      </c>
      <c r="C12" s="417">
        <v>0</v>
      </c>
      <c r="D12" s="440">
        <v>20985120</v>
      </c>
    </row>
    <row r="13" spans="1:4" ht="12.75" customHeight="1">
      <c r="A13" t="s">
        <v>392</v>
      </c>
      <c r="B13" t="s">
        <v>127</v>
      </c>
      <c r="C13" s="417">
        <v>0</v>
      </c>
      <c r="D13" s="442">
        <v>20985120</v>
      </c>
    </row>
    <row r="14" spans="1:4" ht="12.75" customHeight="1">
      <c r="A14" t="s">
        <v>129</v>
      </c>
      <c r="B14" t="s">
        <v>127</v>
      </c>
      <c r="C14" s="417">
        <v>0</v>
      </c>
      <c r="D14" s="440">
        <v>100000</v>
      </c>
    </row>
    <row r="15" spans="1:4" ht="12.75" customHeight="1">
      <c r="A15" t="s">
        <v>393</v>
      </c>
      <c r="B15" t="s">
        <v>127</v>
      </c>
      <c r="C15" s="417">
        <v>0</v>
      </c>
      <c r="D15" s="442">
        <v>100000</v>
      </c>
    </row>
    <row r="16" spans="1:4" ht="12.75" customHeight="1">
      <c r="A16" t="s">
        <v>130</v>
      </c>
      <c r="B16" t="s">
        <v>127</v>
      </c>
      <c r="C16" s="417">
        <v>0</v>
      </c>
      <c r="D16" s="440">
        <v>15804648</v>
      </c>
    </row>
    <row r="17" spans="1:4" ht="12.75" customHeight="1">
      <c r="A17" t="s">
        <v>394</v>
      </c>
      <c r="B17" t="s">
        <v>127</v>
      </c>
      <c r="C17" s="417">
        <v>0</v>
      </c>
      <c r="D17" s="442">
        <v>15804648</v>
      </c>
    </row>
    <row r="18" spans="1:4" ht="12.75" customHeight="1">
      <c r="A18" t="s">
        <v>395</v>
      </c>
      <c r="B18" t="s">
        <v>127</v>
      </c>
      <c r="C18" s="417">
        <v>0</v>
      </c>
      <c r="D18" s="441">
        <v>16229700</v>
      </c>
    </row>
    <row r="19" spans="1:4" ht="12.75" customHeight="1">
      <c r="A19" t="s">
        <v>396</v>
      </c>
      <c r="B19" t="s">
        <v>127</v>
      </c>
      <c r="C19" s="417">
        <v>0</v>
      </c>
      <c r="D19" s="440">
        <v>16229700</v>
      </c>
    </row>
    <row r="20" spans="1:4" ht="12.75" customHeight="1">
      <c r="A20" t="s">
        <v>397</v>
      </c>
      <c r="B20" t="s">
        <v>398</v>
      </c>
      <c r="C20" s="417">
        <v>131</v>
      </c>
      <c r="D20" s="441">
        <v>13100</v>
      </c>
    </row>
    <row r="21" spans="1:4" ht="12.75" customHeight="1">
      <c r="A21" t="s">
        <v>399</v>
      </c>
      <c r="B21" t="s">
        <v>127</v>
      </c>
      <c r="C21" s="417">
        <v>0</v>
      </c>
      <c r="D21" s="440">
        <v>20651160</v>
      </c>
    </row>
    <row r="22" ht="12.75" customHeight="1">
      <c r="A22" t="s">
        <v>400</v>
      </c>
    </row>
    <row r="23" spans="1:4" ht="12.75" customHeight="1">
      <c r="A23" t="s">
        <v>401</v>
      </c>
      <c r="B23" t="s">
        <v>127</v>
      </c>
      <c r="C23" s="417">
        <v>0</v>
      </c>
      <c r="D23" s="440">
        <v>57411388</v>
      </c>
    </row>
    <row r="24" spans="1:4" ht="12.75" customHeight="1">
      <c r="A24" t="s">
        <v>402</v>
      </c>
      <c r="B24" t="s">
        <v>127</v>
      </c>
      <c r="C24" s="417">
        <v>0</v>
      </c>
      <c r="D24" s="441">
        <v>36760228</v>
      </c>
    </row>
    <row r="25" spans="1:4" ht="12.75" customHeight="1">
      <c r="A25" t="s">
        <v>403</v>
      </c>
      <c r="D25" s="560">
        <f>+D27+D29+D31+D32+D34+D36</f>
        <v>31607690</v>
      </c>
    </row>
    <row r="26" ht="12.75" customHeight="1">
      <c r="A26" t="s">
        <v>404</v>
      </c>
    </row>
    <row r="27" spans="1:4" ht="12.75" customHeight="1">
      <c r="A27" t="s">
        <v>405</v>
      </c>
      <c r="B27" t="s">
        <v>127</v>
      </c>
      <c r="C27" s="418">
        <v>1.2022</v>
      </c>
      <c r="D27" s="440">
        <v>2374345</v>
      </c>
    </row>
    <row r="28" ht="12.75" customHeight="1">
      <c r="A28" t="s">
        <v>406</v>
      </c>
    </row>
    <row r="29" spans="1:4" ht="12.75" customHeight="1">
      <c r="A29" t="s">
        <v>407</v>
      </c>
      <c r="B29" t="s">
        <v>127</v>
      </c>
      <c r="C29" s="418">
        <v>1.2022</v>
      </c>
      <c r="D29" s="440">
        <v>2374345</v>
      </c>
    </row>
    <row r="30" spans="1:4" ht="12.75" customHeight="1">
      <c r="A30" t="s">
        <v>408</v>
      </c>
      <c r="B30" t="s">
        <v>409</v>
      </c>
      <c r="C30" s="417">
        <v>0</v>
      </c>
      <c r="D30" s="440">
        <v>0</v>
      </c>
    </row>
    <row r="31" spans="1:4" ht="12.75" customHeight="1">
      <c r="A31" t="s">
        <v>410</v>
      </c>
      <c r="B31" t="s">
        <v>127</v>
      </c>
      <c r="C31" s="417">
        <v>75</v>
      </c>
      <c r="D31" s="440">
        <v>4152000</v>
      </c>
    </row>
    <row r="32" spans="1:4" ht="12.75" customHeight="1">
      <c r="A32" t="s">
        <v>411</v>
      </c>
      <c r="B32" t="s">
        <v>127</v>
      </c>
      <c r="C32" s="417">
        <v>39</v>
      </c>
      <c r="D32" s="440">
        <v>5655000</v>
      </c>
    </row>
    <row r="33" ht="12.75" customHeight="1">
      <c r="A33" t="s">
        <v>412</v>
      </c>
    </row>
    <row r="34" spans="1:4" ht="12.75" customHeight="1">
      <c r="A34" t="s">
        <v>413</v>
      </c>
      <c r="B34" t="s">
        <v>127</v>
      </c>
      <c r="C34" s="417">
        <v>28</v>
      </c>
      <c r="D34" s="440">
        <v>3052000</v>
      </c>
    </row>
    <row r="35" ht="12.75" customHeight="1">
      <c r="A35" t="s">
        <v>414</v>
      </c>
    </row>
    <row r="36" spans="1:4" ht="12.75" customHeight="1">
      <c r="A36" t="s">
        <v>415</v>
      </c>
      <c r="B36" t="s">
        <v>127</v>
      </c>
      <c r="C36" s="417">
        <v>28</v>
      </c>
      <c r="D36" s="440">
        <v>14000000</v>
      </c>
    </row>
    <row r="37" spans="1:4" ht="12.75">
      <c r="A37" t="s">
        <v>468</v>
      </c>
      <c r="B37">
        <v>1140</v>
      </c>
      <c r="C37">
        <v>6011</v>
      </c>
      <c r="D37" s="85">
        <f>+C37*B37</f>
        <v>6852540</v>
      </c>
    </row>
    <row r="38" spans="1:4" ht="12.75">
      <c r="A38" t="s">
        <v>469</v>
      </c>
      <c r="D38" s="85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10/2014.(VI.27.) Önkormányzati költségvetési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</cols>
  <sheetData>
    <row r="2" spans="1:11" ht="18.75" customHeight="1">
      <c r="A2" s="711" t="s">
        <v>457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</row>
    <row r="3" spans="2:11" ht="18.75" customHeight="1">
      <c r="B3" s="160"/>
      <c r="C3" s="160"/>
      <c r="D3" s="160"/>
      <c r="E3" s="160"/>
      <c r="F3" s="160"/>
      <c r="G3" s="160"/>
      <c r="H3" s="160"/>
      <c r="I3" s="160"/>
      <c r="J3" s="160"/>
      <c r="K3" s="81" t="s">
        <v>213</v>
      </c>
    </row>
    <row r="4" spans="1:11" ht="18.75" customHeight="1" thickBot="1">
      <c r="A4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0" t="s">
        <v>18</v>
      </c>
      <c r="I4" s="160" t="s">
        <v>63</v>
      </c>
      <c r="J4" s="160" t="s">
        <v>19</v>
      </c>
      <c r="K4" s="160" t="s">
        <v>361</v>
      </c>
    </row>
    <row r="5" spans="1:11" ht="18.75" customHeight="1">
      <c r="A5" t="s">
        <v>20</v>
      </c>
      <c r="B5" s="712" t="s">
        <v>214</v>
      </c>
      <c r="C5" s="712" t="s">
        <v>215</v>
      </c>
      <c r="D5" s="726" t="s">
        <v>216</v>
      </c>
      <c r="E5" s="712" t="s">
        <v>217</v>
      </c>
      <c r="F5" s="712" t="s">
        <v>218</v>
      </c>
      <c r="G5" s="729" t="s">
        <v>219</v>
      </c>
      <c r="H5" s="729"/>
      <c r="I5" s="729"/>
      <c r="J5" s="729"/>
      <c r="K5" s="712" t="s">
        <v>5</v>
      </c>
    </row>
    <row r="6" spans="2:11" ht="18.75" customHeight="1">
      <c r="B6" s="724"/>
      <c r="C6" s="724"/>
      <c r="D6" s="727"/>
      <c r="E6" s="724"/>
      <c r="F6" s="724"/>
      <c r="G6" s="730" t="s">
        <v>220</v>
      </c>
      <c r="H6" s="721" t="s">
        <v>221</v>
      </c>
      <c r="I6" s="721" t="s">
        <v>70</v>
      </c>
      <c r="J6" s="723" t="s">
        <v>222</v>
      </c>
      <c r="K6" s="724"/>
    </row>
    <row r="7" spans="2:11" ht="51" customHeight="1" thickBot="1">
      <c r="B7" s="725"/>
      <c r="C7" s="725"/>
      <c r="D7" s="728"/>
      <c r="E7" s="725"/>
      <c r="F7" s="725"/>
      <c r="G7" s="731"/>
      <c r="H7" s="722"/>
      <c r="I7" s="722"/>
      <c r="J7" s="709"/>
      <c r="K7" s="725"/>
    </row>
    <row r="8" spans="1:11" ht="18.75" customHeight="1">
      <c r="A8" t="s">
        <v>21</v>
      </c>
      <c r="B8" s="162" t="s">
        <v>72</v>
      </c>
      <c r="C8" s="163"/>
      <c r="D8" s="164"/>
      <c r="E8" s="165"/>
      <c r="F8" s="163"/>
      <c r="G8" s="166"/>
      <c r="H8" s="167"/>
      <c r="I8" s="167"/>
      <c r="J8" s="168"/>
      <c r="K8" s="169"/>
    </row>
    <row r="9" spans="1:11" ht="29.25" customHeight="1">
      <c r="A9" t="s">
        <v>22</v>
      </c>
      <c r="B9" s="170" t="s">
        <v>270</v>
      </c>
      <c r="C9" s="683">
        <f>100267+178+1283-600</f>
        <v>101128</v>
      </c>
      <c r="D9" s="240">
        <f>26821+48+367-186</f>
        <v>27050</v>
      </c>
      <c r="E9" s="241">
        <f>41135-187</f>
        <v>40948</v>
      </c>
      <c r="F9" s="172"/>
      <c r="G9" s="173">
        <f>+4_mell!I30</f>
        <v>113225</v>
      </c>
      <c r="H9" s="174"/>
      <c r="I9" s="174"/>
      <c r="J9" s="175"/>
      <c r="K9" s="176">
        <f>SUM(C9:J9)</f>
        <v>282351</v>
      </c>
    </row>
    <row r="10" spans="1:11" ht="29.25" customHeight="1">
      <c r="A10" t="s">
        <v>23</v>
      </c>
      <c r="B10" s="177" t="s">
        <v>486</v>
      </c>
      <c r="C10" s="683">
        <f>50+600</f>
        <v>650</v>
      </c>
      <c r="D10" s="679">
        <f>13+186</f>
        <v>199</v>
      </c>
      <c r="E10" s="680">
        <f>59+187</f>
        <v>246</v>
      </c>
      <c r="F10" s="178"/>
      <c r="G10" s="681"/>
      <c r="H10" s="682"/>
      <c r="I10" s="682"/>
      <c r="J10" s="183"/>
      <c r="K10" s="176">
        <f>SUM(C10:J10)</f>
        <v>1095</v>
      </c>
    </row>
    <row r="11" spans="1:11" ht="29.25" customHeight="1">
      <c r="A11" t="s">
        <v>24</v>
      </c>
      <c r="B11" s="177" t="s">
        <v>664</v>
      </c>
      <c r="C11" s="242">
        <v>757</v>
      </c>
      <c r="D11" s="679">
        <v>209</v>
      </c>
      <c r="E11" s="680">
        <v>32</v>
      </c>
      <c r="F11" s="178"/>
      <c r="G11" s="681"/>
      <c r="H11" s="682"/>
      <c r="I11" s="682"/>
      <c r="J11" s="183"/>
      <c r="K11" s="176">
        <f>SUM(C11:J11)</f>
        <v>998</v>
      </c>
    </row>
    <row r="12" spans="1:11" ht="18.75" customHeight="1" thickBot="1">
      <c r="A12" t="s">
        <v>25</v>
      </c>
      <c r="B12" s="177" t="s">
        <v>223</v>
      </c>
      <c r="C12" s="178">
        <f>1560+3364</f>
        <v>4924</v>
      </c>
      <c r="D12" s="179">
        <f>421+908</f>
        <v>1329</v>
      </c>
      <c r="E12" s="178"/>
      <c r="F12" s="180"/>
      <c r="G12" s="181"/>
      <c r="H12" s="182"/>
      <c r="I12" s="182"/>
      <c r="J12" s="183"/>
      <c r="K12" s="184">
        <f>+J12+F12+E12+D12+C12</f>
        <v>6253</v>
      </c>
    </row>
    <row r="13" spans="1:11" ht="18.75" customHeight="1" thickBot="1">
      <c r="A13" t="s">
        <v>26</v>
      </c>
      <c r="B13" s="185" t="s">
        <v>224</v>
      </c>
      <c r="C13" s="186">
        <f>SUM(C9:C12)</f>
        <v>107459</v>
      </c>
      <c r="D13" s="186">
        <f aca="true" t="shared" si="0" ref="D13:J13">SUM(D9:D12)</f>
        <v>28787</v>
      </c>
      <c r="E13" s="186">
        <f t="shared" si="0"/>
        <v>41226</v>
      </c>
      <c r="F13" s="186">
        <f t="shared" si="0"/>
        <v>0</v>
      </c>
      <c r="G13" s="186">
        <f t="shared" si="0"/>
        <v>113225</v>
      </c>
      <c r="H13" s="186">
        <f t="shared" si="0"/>
        <v>0</v>
      </c>
      <c r="I13" s="186">
        <f t="shared" si="0"/>
        <v>0</v>
      </c>
      <c r="J13" s="186">
        <f t="shared" si="0"/>
        <v>0</v>
      </c>
      <c r="K13" s="186">
        <f>SUM(K9:K12)</f>
        <v>290697</v>
      </c>
    </row>
    <row r="14" spans="1:11" ht="18.75" customHeight="1">
      <c r="A14" t="s">
        <v>27</v>
      </c>
      <c r="B14" s="162" t="s">
        <v>225</v>
      </c>
      <c r="C14" s="169"/>
      <c r="D14" s="187"/>
      <c r="E14" s="169"/>
      <c r="F14" s="188"/>
      <c r="G14" s="189"/>
      <c r="H14" s="190"/>
      <c r="I14" s="190"/>
      <c r="J14" s="168"/>
      <c r="K14" s="169"/>
    </row>
    <row r="15" spans="1:11" ht="18.75" customHeight="1">
      <c r="A15" t="s">
        <v>28</v>
      </c>
      <c r="B15" s="170" t="s">
        <v>226</v>
      </c>
      <c r="C15" s="172">
        <f>1423+40</f>
        <v>1463</v>
      </c>
      <c r="D15" s="171">
        <f>383+11</f>
        <v>394</v>
      </c>
      <c r="E15" s="172">
        <v>2105</v>
      </c>
      <c r="F15" s="191"/>
      <c r="G15" s="192"/>
      <c r="H15" s="193"/>
      <c r="I15" s="193"/>
      <c r="J15" s="175"/>
      <c r="K15" s="176">
        <f>SUM(C15:J15)</f>
        <v>3962</v>
      </c>
    </row>
    <row r="16" spans="1:11" ht="18.75" customHeight="1">
      <c r="A16" t="s">
        <v>29</v>
      </c>
      <c r="B16" s="170" t="s">
        <v>227</v>
      </c>
      <c r="C16" s="172">
        <f>44404+13877+15263+8858+98196</f>
        <v>180598</v>
      </c>
      <c r="D16" s="171">
        <f>5994+1874+2060+1192+13257</f>
        <v>24377</v>
      </c>
      <c r="E16" s="172">
        <f>15694-14254+3150+3464+2005+1689</f>
        <v>11748</v>
      </c>
      <c r="F16" s="172">
        <f>+7_mell!D11</f>
        <v>6094</v>
      </c>
      <c r="G16" s="173"/>
      <c r="H16" s="174"/>
      <c r="I16" s="174"/>
      <c r="J16" s="175"/>
      <c r="K16" s="176">
        <f aca="true" t="shared" si="1" ref="K16:K27">SUM(C16:J16)</f>
        <v>222817</v>
      </c>
    </row>
    <row r="17" spans="1:11" ht="18.75" customHeight="1">
      <c r="A17" t="s">
        <v>30</v>
      </c>
      <c r="B17" s="170" t="s">
        <v>220</v>
      </c>
      <c r="C17" s="172"/>
      <c r="D17" s="171"/>
      <c r="E17" s="172"/>
      <c r="F17" s="172"/>
      <c r="G17" s="173">
        <f>+4_mell!I21</f>
        <v>5114</v>
      </c>
      <c r="H17" s="174"/>
      <c r="I17" s="174"/>
      <c r="J17" s="175"/>
      <c r="K17" s="176">
        <f t="shared" si="1"/>
        <v>5114</v>
      </c>
    </row>
    <row r="18" spans="1:11" ht="15">
      <c r="A18" t="s">
        <v>31</v>
      </c>
      <c r="B18" s="170" t="s">
        <v>228</v>
      </c>
      <c r="C18" s="172"/>
      <c r="D18" s="171"/>
      <c r="E18" s="172"/>
      <c r="F18" s="191"/>
      <c r="G18" s="192"/>
      <c r="H18" s="174">
        <f>+5_mell!D40-5_mell!D37</f>
        <v>61638</v>
      </c>
      <c r="I18" s="174">
        <f>+4_mell!K22</f>
        <v>4000</v>
      </c>
      <c r="J18" s="175"/>
      <c r="K18" s="176">
        <f t="shared" si="1"/>
        <v>65638</v>
      </c>
    </row>
    <row r="19" spans="1:11" ht="15">
      <c r="A19" t="s">
        <v>32</v>
      </c>
      <c r="B19" s="170" t="s">
        <v>271</v>
      </c>
      <c r="C19" s="172"/>
      <c r="D19" s="171"/>
      <c r="E19" s="172">
        <v>507</v>
      </c>
      <c r="F19" s="191"/>
      <c r="G19" s="192"/>
      <c r="H19" s="174"/>
      <c r="I19" s="174"/>
      <c r="J19" s="175"/>
      <c r="K19" s="176">
        <f t="shared" si="1"/>
        <v>507</v>
      </c>
    </row>
    <row r="20" spans="1:11" ht="18.75" customHeight="1">
      <c r="A20" t="s">
        <v>33</v>
      </c>
      <c r="B20" s="170" t="s">
        <v>456</v>
      </c>
      <c r="C20" s="196">
        <v>1620</v>
      </c>
      <c r="D20" s="443">
        <v>394</v>
      </c>
      <c r="E20" s="196"/>
      <c r="F20" s="196"/>
      <c r="G20" s="197"/>
      <c r="H20" s="198"/>
      <c r="I20" s="523"/>
      <c r="J20" s="199"/>
      <c r="K20" s="176">
        <f t="shared" si="1"/>
        <v>2014</v>
      </c>
    </row>
    <row r="21" spans="1:11" ht="18.75" customHeight="1">
      <c r="A21" t="s">
        <v>34</v>
      </c>
      <c r="B21" s="170" t="s">
        <v>665</v>
      </c>
      <c r="C21" s="196"/>
      <c r="D21" s="443"/>
      <c r="E21" s="196">
        <v>14254</v>
      </c>
      <c r="F21" s="196"/>
      <c r="G21" s="197"/>
      <c r="H21" s="198"/>
      <c r="I21" s="523"/>
      <c r="J21" s="199"/>
      <c r="K21" s="176">
        <f t="shared" si="1"/>
        <v>14254</v>
      </c>
    </row>
    <row r="22" spans="1:11" ht="18.75" customHeight="1">
      <c r="A22" t="s">
        <v>35</v>
      </c>
      <c r="B22" s="170" t="s">
        <v>663</v>
      </c>
      <c r="C22" s="196"/>
      <c r="D22" s="443"/>
      <c r="E22" s="196">
        <v>7175</v>
      </c>
      <c r="F22" s="196"/>
      <c r="G22" s="197"/>
      <c r="H22" s="198"/>
      <c r="I22" s="523"/>
      <c r="J22" s="199"/>
      <c r="K22" s="176">
        <f t="shared" si="1"/>
        <v>7175</v>
      </c>
    </row>
    <row r="23" spans="1:11" ht="18.75" customHeight="1">
      <c r="A23" t="s">
        <v>36</v>
      </c>
      <c r="B23" s="170" t="s">
        <v>662</v>
      </c>
      <c r="C23" s="196"/>
      <c r="D23" s="443"/>
      <c r="E23" s="196">
        <v>1010</v>
      </c>
      <c r="F23" s="196"/>
      <c r="G23" s="197"/>
      <c r="H23" s="198"/>
      <c r="I23" s="523"/>
      <c r="J23" s="199"/>
      <c r="K23" s="176">
        <f t="shared" si="1"/>
        <v>1010</v>
      </c>
    </row>
    <row r="24" spans="1:11" ht="18.75" customHeight="1">
      <c r="A24" t="s">
        <v>37</v>
      </c>
      <c r="B24" s="170" t="s">
        <v>465</v>
      </c>
      <c r="C24" s="196"/>
      <c r="D24" s="443"/>
      <c r="E24" s="196"/>
      <c r="F24" s="196">
        <f>+4_mell!L22-7_mell!D11</f>
        <v>70513</v>
      </c>
      <c r="G24" s="197"/>
      <c r="H24" s="198"/>
      <c r="I24" s="523"/>
      <c r="J24" s="199"/>
      <c r="K24" s="176">
        <f t="shared" si="1"/>
        <v>70513</v>
      </c>
    </row>
    <row r="25" spans="1:11" ht="18.75" customHeight="1">
      <c r="A25" t="s">
        <v>40</v>
      </c>
      <c r="B25" s="170" t="s">
        <v>454</v>
      </c>
      <c r="C25" s="194"/>
      <c r="D25" s="195"/>
      <c r="E25" s="194">
        <f>+9_mell!F15</f>
        <v>9450</v>
      </c>
      <c r="F25" s="194"/>
      <c r="G25" s="197"/>
      <c r="H25" s="198"/>
      <c r="I25" s="198"/>
      <c r="J25" s="199"/>
      <c r="K25" s="176">
        <f t="shared" si="1"/>
        <v>9450</v>
      </c>
    </row>
    <row r="26" spans="1:11" ht="18.75" customHeight="1">
      <c r="A26" t="s">
        <v>42</v>
      </c>
      <c r="B26" s="170" t="s">
        <v>455</v>
      </c>
      <c r="C26" s="172"/>
      <c r="D26" s="171"/>
      <c r="E26" s="172">
        <f>+9_mell!F14+9_mell!F13</f>
        <v>3067</v>
      </c>
      <c r="F26" s="172"/>
      <c r="G26" s="173"/>
      <c r="H26" s="174"/>
      <c r="I26" s="174"/>
      <c r="J26" s="529"/>
      <c r="K26" s="176">
        <f t="shared" si="1"/>
        <v>3067</v>
      </c>
    </row>
    <row r="27" spans="1:11" ht="18.75" customHeight="1" thickBot="1">
      <c r="A27" t="s">
        <v>43</v>
      </c>
      <c r="B27" s="524" t="s">
        <v>222</v>
      </c>
      <c r="C27" s="525"/>
      <c r="D27" s="201"/>
      <c r="E27" s="525"/>
      <c r="F27" s="525"/>
      <c r="G27" s="526"/>
      <c r="H27" s="527"/>
      <c r="I27" s="527"/>
      <c r="J27" s="528">
        <f>+3_mell!J33</f>
        <v>499985</v>
      </c>
      <c r="K27" s="176">
        <f t="shared" si="1"/>
        <v>499985</v>
      </c>
    </row>
    <row r="28" spans="1:13" ht="18.75" customHeight="1" thickBot="1">
      <c r="A28" t="s">
        <v>44</v>
      </c>
      <c r="B28" s="185" t="s">
        <v>229</v>
      </c>
      <c r="C28" s="186">
        <f>SUM(C15:C27)</f>
        <v>183681</v>
      </c>
      <c r="D28" s="186">
        <f>SUM(D15:D27)</f>
        <v>25165</v>
      </c>
      <c r="E28" s="186">
        <f aca="true" t="shared" si="2" ref="E28:J28">SUM(E15:E27)</f>
        <v>49316</v>
      </c>
      <c r="F28" s="186">
        <f t="shared" si="2"/>
        <v>76607</v>
      </c>
      <c r="G28" s="186">
        <f t="shared" si="2"/>
        <v>5114</v>
      </c>
      <c r="H28" s="186">
        <f t="shared" si="2"/>
        <v>61638</v>
      </c>
      <c r="I28" s="186">
        <f t="shared" si="2"/>
        <v>4000</v>
      </c>
      <c r="J28" s="186">
        <f t="shared" si="2"/>
        <v>499985</v>
      </c>
      <c r="K28" s="186">
        <f>SUM(K15:K27)</f>
        <v>905506</v>
      </c>
      <c r="L28" s="684"/>
      <c r="M28" s="685"/>
    </row>
    <row r="29" spans="2:11" ht="18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202"/>
    </row>
    <row r="30" spans="2:11" ht="18.75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2"/>
    </row>
    <row r="31" spans="2:11" ht="30.75" customHeight="1">
      <c r="B31" s="200"/>
      <c r="C31" s="201"/>
      <c r="D31" s="201"/>
      <c r="E31" s="201"/>
      <c r="F31" s="201"/>
      <c r="G31" s="201"/>
      <c r="H31" s="201"/>
      <c r="I31" s="201"/>
      <c r="J31" s="201"/>
      <c r="K31" s="201"/>
    </row>
    <row r="32" spans="2:11" ht="18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202"/>
    </row>
    <row r="33" spans="2:11" ht="18.75" customHeight="1">
      <c r="B33" s="200"/>
      <c r="C33" s="201"/>
      <c r="D33" s="201"/>
      <c r="E33" s="201"/>
      <c r="F33" s="201"/>
      <c r="G33" s="201"/>
      <c r="H33" s="201"/>
      <c r="I33" s="201"/>
      <c r="J33" s="201"/>
      <c r="K33" s="201"/>
    </row>
    <row r="34" spans="2:11" ht="18.75" customHeight="1">
      <c r="B34" s="203"/>
      <c r="C34" s="204"/>
      <c r="D34" s="204"/>
      <c r="E34" s="201"/>
      <c r="F34" s="201"/>
      <c r="G34" s="201"/>
      <c r="H34" s="201"/>
      <c r="I34" s="201"/>
      <c r="J34" s="201"/>
      <c r="K34" s="202"/>
    </row>
    <row r="35" spans="2:11" ht="18.75" customHeight="1">
      <c r="B35" s="203"/>
      <c r="C35" s="204"/>
      <c r="D35" s="204"/>
      <c r="E35" s="201"/>
      <c r="F35" s="201"/>
      <c r="G35" s="201"/>
      <c r="H35" s="201"/>
      <c r="I35" s="201"/>
      <c r="J35" s="201"/>
      <c r="K35" s="202"/>
    </row>
    <row r="36" spans="2:11" ht="18.75" customHeight="1">
      <c r="B36" s="205"/>
      <c r="C36" s="201"/>
      <c r="D36" s="201"/>
      <c r="E36" s="201"/>
      <c r="F36" s="201"/>
      <c r="G36" s="201"/>
      <c r="H36" s="201"/>
      <c r="I36" s="201"/>
      <c r="J36" s="201"/>
      <c r="K36" s="202"/>
    </row>
    <row r="37" spans="2:11" ht="18.75" customHeight="1">
      <c r="B37" s="200"/>
      <c r="C37" s="201"/>
      <c r="D37" s="201"/>
      <c r="E37" s="201"/>
      <c r="F37" s="201"/>
      <c r="G37" s="201"/>
      <c r="H37" s="201"/>
      <c r="I37" s="201"/>
      <c r="J37" s="201"/>
      <c r="K37" s="202"/>
    </row>
    <row r="38" spans="2:11" ht="18.75" customHeight="1">
      <c r="B38" s="200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2:11" ht="18.7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</row>
    <row r="40" spans="2:11" ht="18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54" spans="2:11" ht="18.75" customHeight="1">
      <c r="B54" s="710"/>
      <c r="C54" s="710"/>
      <c r="D54" s="710"/>
      <c r="E54" s="710"/>
      <c r="F54" s="710"/>
      <c r="G54" s="710"/>
      <c r="H54" s="710"/>
      <c r="I54" s="710"/>
      <c r="J54" s="710"/>
      <c r="K54" s="710"/>
    </row>
    <row r="55" spans="2:11" ht="18.75" customHeight="1">
      <c r="B55" s="207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2:11" ht="18.75" customHeight="1">
      <c r="B56" s="207"/>
      <c r="C56" s="158"/>
      <c r="D56" s="158"/>
      <c r="E56" s="158"/>
      <c r="F56" s="158"/>
      <c r="G56" s="158"/>
      <c r="H56" s="158"/>
      <c r="I56" s="158"/>
      <c r="J56" s="158"/>
      <c r="K56" s="158"/>
    </row>
    <row r="57" spans="2:11" ht="18.75" customHeight="1">
      <c r="B57" s="207"/>
      <c r="C57" s="158"/>
      <c r="D57" s="158"/>
      <c r="E57" s="158"/>
      <c r="F57" s="158"/>
      <c r="G57" s="158"/>
      <c r="H57" s="158"/>
      <c r="I57" s="158"/>
      <c r="J57" s="158"/>
      <c r="K57" s="158"/>
    </row>
    <row r="59" ht="18.75" customHeight="1">
      <c r="B59" s="206"/>
    </row>
    <row r="61" ht="18.75" customHeight="1">
      <c r="B61" s="206"/>
    </row>
    <row r="62" ht="18.75" customHeight="1">
      <c r="B62" s="206"/>
    </row>
  </sheetData>
  <sheetProtection/>
  <mergeCells count="13">
    <mergeCell ref="K5:K7"/>
    <mergeCell ref="G6:G7"/>
    <mergeCell ref="H6:H7"/>
    <mergeCell ref="I6:I7"/>
    <mergeCell ref="J6:J7"/>
    <mergeCell ref="B54:K54"/>
    <mergeCell ref="A2:K2"/>
    <mergeCell ref="B5:B7"/>
    <mergeCell ref="C5:C7"/>
    <mergeCell ref="D5:D7"/>
    <mergeCell ref="E5:E7"/>
    <mergeCell ref="F5:F7"/>
    <mergeCell ref="G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headerFooter alignWithMargins="0">
    <oddHeader>&amp;L11. melléklet a 2014. évi 10/2014.(VI.27.) Önkormányzati költségvetési rendelethez&amp;R&amp;D</oddHeader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Z75"/>
  <sheetViews>
    <sheetView view="pageBreakPreview" zoomScale="60" zoomScalePageLayoutView="0" workbookViewId="0" topLeftCell="E1">
      <selection activeCell="X79" sqref="X79"/>
    </sheetView>
  </sheetViews>
  <sheetFormatPr defaultColWidth="9.140625" defaultRowHeight="12.75"/>
  <cols>
    <col min="1" max="1" width="0.2890625" style="208" customWidth="1"/>
    <col min="2" max="2" width="19.28125" style="208" customWidth="1"/>
    <col min="3" max="3" width="9.7109375" style="208" bestFit="1" customWidth="1"/>
    <col min="4" max="4" width="10.140625" style="208" bestFit="1" customWidth="1"/>
    <col min="5" max="5" width="8.28125" style="208" bestFit="1" customWidth="1"/>
    <col min="6" max="6" width="9.57421875" style="208" bestFit="1" customWidth="1"/>
    <col min="7" max="7" width="8.421875" style="208" customWidth="1"/>
    <col min="8" max="8" width="6.421875" style="208" customWidth="1"/>
    <col min="9" max="9" width="8.140625" style="208" bestFit="1" customWidth="1"/>
    <col min="10" max="10" width="7.7109375" style="208" customWidth="1"/>
    <col min="11" max="11" width="9.57421875" style="208" customWidth="1"/>
    <col min="12" max="12" width="8.8515625" style="208" bestFit="1" customWidth="1"/>
    <col min="13" max="14" width="7.8515625" style="208" customWidth="1"/>
    <col min="15" max="15" width="10.7109375" style="208" customWidth="1"/>
    <col min="16" max="16" width="9.28125" style="208" bestFit="1" customWidth="1"/>
    <col min="17" max="19" width="8.421875" style="208" customWidth="1"/>
    <col min="20" max="20" width="10.7109375" style="208" customWidth="1"/>
    <col min="21" max="23" width="7.421875" style="208" customWidth="1"/>
    <col min="24" max="25" width="10.00390625" style="208" customWidth="1"/>
    <col min="26" max="16384" width="9.140625" style="208" customWidth="1"/>
  </cols>
  <sheetData>
    <row r="2" spans="2:14" ht="12.75">
      <c r="B2" s="495" t="s">
        <v>448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ht="13.5" thickBot="1"/>
    <row r="4" spans="2:25" ht="13.5" thickBot="1">
      <c r="B4" s="249" t="s">
        <v>296</v>
      </c>
      <c r="C4" s="736" t="s">
        <v>174</v>
      </c>
      <c r="D4" s="736"/>
      <c r="E4" s="736"/>
      <c r="F4" s="736"/>
      <c r="G4" s="736"/>
      <c r="H4" s="736"/>
      <c r="I4" s="736"/>
      <c r="J4" s="736"/>
      <c r="K4" s="737"/>
      <c r="L4" s="735" t="s">
        <v>297</v>
      </c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7"/>
    </row>
    <row r="5" spans="2:25" ht="13.5" thickBot="1">
      <c r="B5" s="313"/>
      <c r="C5" s="312"/>
      <c r="D5" s="312"/>
      <c r="E5" s="312"/>
      <c r="F5" s="312"/>
      <c r="G5" s="312"/>
      <c r="H5" s="312"/>
      <c r="I5" s="312"/>
      <c r="J5" s="312"/>
      <c r="K5" s="313"/>
      <c r="L5" s="589"/>
      <c r="M5" s="590"/>
      <c r="N5" s="591"/>
      <c r="O5" s="592"/>
      <c r="P5" s="741" t="s">
        <v>281</v>
      </c>
      <c r="Q5" s="742"/>
      <c r="R5" s="742"/>
      <c r="S5" s="742"/>
      <c r="T5" s="742"/>
      <c r="U5" s="742"/>
      <c r="V5" s="743"/>
      <c r="W5" s="743"/>
      <c r="X5" s="744"/>
      <c r="Y5" s="327"/>
    </row>
    <row r="6" spans="2:25" s="244" customFormat="1" ht="77.25" thickBot="1">
      <c r="B6" s="323" t="s">
        <v>233</v>
      </c>
      <c r="C6" s="496" t="s">
        <v>56</v>
      </c>
      <c r="D6" s="496" t="s">
        <v>234</v>
      </c>
      <c r="E6" s="496" t="s">
        <v>235</v>
      </c>
      <c r="F6" s="496" t="s">
        <v>61</v>
      </c>
      <c r="G6" s="324" t="s">
        <v>277</v>
      </c>
      <c r="H6" s="324" t="s">
        <v>278</v>
      </c>
      <c r="I6" s="324" t="s">
        <v>62</v>
      </c>
      <c r="J6" s="324" t="s">
        <v>9</v>
      </c>
      <c r="K6" s="497" t="s">
        <v>279</v>
      </c>
      <c r="L6" s="502" t="s">
        <v>250</v>
      </c>
      <c r="M6" s="502" t="s">
        <v>249</v>
      </c>
      <c r="N6" s="324" t="s">
        <v>480</v>
      </c>
      <c r="O6" s="340" t="s">
        <v>248</v>
      </c>
      <c r="P6" s="459" t="s">
        <v>265</v>
      </c>
      <c r="Q6" s="326" t="s">
        <v>449</v>
      </c>
      <c r="R6" s="325" t="s">
        <v>290</v>
      </c>
      <c r="S6" s="326" t="s">
        <v>291</v>
      </c>
      <c r="T6" s="325" t="s">
        <v>293</v>
      </c>
      <c r="U6" s="326" t="s">
        <v>294</v>
      </c>
      <c r="V6" s="326" t="s">
        <v>498</v>
      </c>
      <c r="W6" s="326" t="s">
        <v>8</v>
      </c>
      <c r="X6" s="333" t="s">
        <v>292</v>
      </c>
      <c r="Y6" s="323" t="s">
        <v>295</v>
      </c>
    </row>
    <row r="7" spans="2:26" s="244" customFormat="1" ht="12.75">
      <c r="B7" s="314" t="s">
        <v>484</v>
      </c>
      <c r="C7" s="608">
        <v>669</v>
      </c>
      <c r="D7" s="608">
        <v>180</v>
      </c>
      <c r="E7" s="498"/>
      <c r="F7" s="213">
        <f>SUM(C7:E7)</f>
        <v>849</v>
      </c>
      <c r="G7" s="301"/>
      <c r="H7" s="301"/>
      <c r="I7" s="301"/>
      <c r="J7" s="301"/>
      <c r="K7" s="597">
        <f>SUM(F7:J7)</f>
        <v>849</v>
      </c>
      <c r="L7" s="498"/>
      <c r="M7" s="498"/>
      <c r="N7" s="498"/>
      <c r="O7" s="301"/>
      <c r="P7" s="593">
        <v>849</v>
      </c>
      <c r="Q7" s="302"/>
      <c r="R7" s="302"/>
      <c r="S7" s="302"/>
      <c r="T7" s="302"/>
      <c r="U7" s="302"/>
      <c r="V7" s="302"/>
      <c r="W7" s="302"/>
      <c r="X7" s="309"/>
      <c r="Y7" s="319">
        <f aca="true" t="shared" si="0" ref="Y7:Y13">SUM(L7:X7)</f>
        <v>849</v>
      </c>
      <c r="Z7" s="694">
        <f>+Y7-K7</f>
        <v>0</v>
      </c>
    </row>
    <row r="8" spans="2:26" ht="12.75">
      <c r="B8" s="315" t="s">
        <v>282</v>
      </c>
      <c r="C8" s="305">
        <v>266</v>
      </c>
      <c r="D8" s="305">
        <v>72</v>
      </c>
      <c r="E8" s="305">
        <v>17983</v>
      </c>
      <c r="F8" s="213">
        <f>SUM(C8:E8)</f>
        <v>18321</v>
      </c>
      <c r="G8" s="213"/>
      <c r="H8" s="213"/>
      <c r="I8" s="213"/>
      <c r="J8" s="213"/>
      <c r="K8" s="319">
        <f>SUM(F8:J8)</f>
        <v>18321</v>
      </c>
      <c r="L8" s="501">
        <v>7493</v>
      </c>
      <c r="M8" s="299"/>
      <c r="N8" s="299"/>
      <c r="O8" s="299"/>
      <c r="P8" s="334">
        <v>4152</v>
      </c>
      <c r="Q8" s="299"/>
      <c r="R8" s="299">
        <v>6676</v>
      </c>
      <c r="S8" s="299"/>
      <c r="T8" s="299"/>
      <c r="U8" s="299"/>
      <c r="V8" s="299"/>
      <c r="W8" s="299"/>
      <c r="X8" s="300"/>
      <c r="Y8" s="319">
        <f t="shared" si="0"/>
        <v>18321</v>
      </c>
      <c r="Z8" s="694">
        <f aca="true" t="shared" si="1" ref="Z8:Z22">+Y8-K8</f>
        <v>0</v>
      </c>
    </row>
    <row r="9" spans="2:26" ht="12.75">
      <c r="B9" s="315" t="s">
        <v>236</v>
      </c>
      <c r="C9" s="305">
        <v>3259</v>
      </c>
      <c r="D9" s="305">
        <v>880</v>
      </c>
      <c r="E9" s="305">
        <v>2761</v>
      </c>
      <c r="F9" s="213">
        <f>SUM(C9:E9)</f>
        <v>6900</v>
      </c>
      <c r="G9" s="213"/>
      <c r="H9" s="213"/>
      <c r="I9" s="213"/>
      <c r="J9" s="213"/>
      <c r="K9" s="319">
        <f aca="true" t="shared" si="2" ref="K9:K21">SUM(F9:J9)</f>
        <v>6900</v>
      </c>
      <c r="L9" s="299"/>
      <c r="M9" s="299"/>
      <c r="N9" s="299"/>
      <c r="O9" s="305"/>
      <c r="P9" s="304"/>
      <c r="Q9" s="299"/>
      <c r="R9" s="299">
        <v>6900</v>
      </c>
      <c r="S9" s="299"/>
      <c r="T9" s="299"/>
      <c r="U9" s="299"/>
      <c r="V9" s="299"/>
      <c r="W9" s="299"/>
      <c r="X9" s="300"/>
      <c r="Y9" s="319">
        <f t="shared" si="0"/>
        <v>6900</v>
      </c>
      <c r="Z9" s="694">
        <f t="shared" si="1"/>
        <v>0</v>
      </c>
    </row>
    <row r="10" spans="2:26" ht="12.75">
      <c r="B10" s="315" t="s">
        <v>237</v>
      </c>
      <c r="C10" s="305">
        <v>4551</v>
      </c>
      <c r="D10" s="305">
        <v>1066</v>
      </c>
      <c r="E10" s="305">
        <v>2383</v>
      </c>
      <c r="F10" s="213">
        <f aca="true" t="shared" si="3" ref="F10:F21">SUM(C10:E10)</f>
        <v>8000</v>
      </c>
      <c r="G10" s="213"/>
      <c r="H10" s="213"/>
      <c r="I10" s="213"/>
      <c r="J10" s="213"/>
      <c r="K10" s="319">
        <f t="shared" si="2"/>
        <v>8000</v>
      </c>
      <c r="L10" s="299"/>
      <c r="M10" s="299"/>
      <c r="N10" s="299"/>
      <c r="O10" s="307"/>
      <c r="P10" s="304"/>
      <c r="Q10" s="299"/>
      <c r="R10" s="299">
        <v>8000</v>
      </c>
      <c r="S10" s="299"/>
      <c r="T10" s="299"/>
      <c r="U10" s="299"/>
      <c r="V10" s="299"/>
      <c r="W10" s="299"/>
      <c r="X10" s="300"/>
      <c r="Y10" s="319">
        <f t="shared" si="0"/>
        <v>8000</v>
      </c>
      <c r="Z10" s="694">
        <f t="shared" si="1"/>
        <v>0</v>
      </c>
    </row>
    <row r="11" spans="2:26" ht="12.75">
      <c r="B11" s="315" t="s">
        <v>238</v>
      </c>
      <c r="C11" s="305">
        <f>3240+1165</f>
        <v>4405</v>
      </c>
      <c r="D11" s="305">
        <f>875+314</f>
        <v>1189</v>
      </c>
      <c r="E11" s="305">
        <v>676</v>
      </c>
      <c r="F11" s="213">
        <f t="shared" si="3"/>
        <v>6270</v>
      </c>
      <c r="G11" s="213"/>
      <c r="H11" s="213"/>
      <c r="I11" s="213"/>
      <c r="J11" s="213"/>
      <c r="K11" s="319">
        <f t="shared" si="2"/>
        <v>6270</v>
      </c>
      <c r="L11" s="305">
        <v>1310</v>
      </c>
      <c r="M11" s="299"/>
      <c r="N11" s="299"/>
      <c r="O11" s="307"/>
      <c r="P11" s="334">
        <v>3052</v>
      </c>
      <c r="Q11" s="299"/>
      <c r="R11" s="299">
        <v>429</v>
      </c>
      <c r="S11" s="299"/>
      <c r="T11" s="299"/>
      <c r="U11" s="299"/>
      <c r="V11" s="299">
        <v>1479</v>
      </c>
      <c r="W11" s="299"/>
      <c r="X11" s="300"/>
      <c r="Y11" s="319">
        <f t="shared" si="0"/>
        <v>6270</v>
      </c>
      <c r="Z11" s="694">
        <f t="shared" si="1"/>
        <v>0</v>
      </c>
    </row>
    <row r="12" spans="2:26" ht="12.75">
      <c r="B12" s="315" t="s">
        <v>239</v>
      </c>
      <c r="C12" s="305">
        <v>10590</v>
      </c>
      <c r="D12" s="305">
        <v>2859</v>
      </c>
      <c r="E12" s="305">
        <v>1634</v>
      </c>
      <c r="F12" s="213">
        <f>SUM(C12:E12)</f>
        <v>15083</v>
      </c>
      <c r="G12" s="213"/>
      <c r="H12" s="213"/>
      <c r="I12" s="213"/>
      <c r="J12" s="213"/>
      <c r="K12" s="319">
        <f t="shared" si="2"/>
        <v>15083</v>
      </c>
      <c r="L12" s="305"/>
      <c r="M12" s="299"/>
      <c r="N12" s="299"/>
      <c r="O12" s="307"/>
      <c r="P12" s="334">
        <v>14000</v>
      </c>
      <c r="Q12" s="299"/>
      <c r="R12" s="299">
        <v>1083</v>
      </c>
      <c r="S12" s="299"/>
      <c r="T12" s="299"/>
      <c r="U12" s="299"/>
      <c r="V12" s="299"/>
      <c r="W12" s="299"/>
      <c r="X12" s="300"/>
      <c r="Y12" s="319">
        <f t="shared" si="0"/>
        <v>15083</v>
      </c>
      <c r="Z12" s="694">
        <f t="shared" si="1"/>
        <v>0</v>
      </c>
    </row>
    <row r="13" spans="2:26" ht="12.75">
      <c r="B13" s="315" t="s">
        <v>240</v>
      </c>
      <c r="C13" s="305">
        <v>2954</v>
      </c>
      <c r="D13" s="305">
        <v>798</v>
      </c>
      <c r="E13" s="305">
        <v>144</v>
      </c>
      <c r="F13" s="213">
        <f t="shared" si="3"/>
        <v>3896</v>
      </c>
      <c r="G13" s="213"/>
      <c r="H13" s="213"/>
      <c r="I13" s="213"/>
      <c r="J13" s="213"/>
      <c r="K13" s="319">
        <f t="shared" si="2"/>
        <v>3896</v>
      </c>
      <c r="L13" s="299"/>
      <c r="M13" s="299"/>
      <c r="N13" s="299"/>
      <c r="O13" s="307"/>
      <c r="P13" s="334">
        <v>2374</v>
      </c>
      <c r="Q13" s="299"/>
      <c r="R13" s="299">
        <v>1522</v>
      </c>
      <c r="S13" s="299"/>
      <c r="T13" s="299"/>
      <c r="U13" s="299"/>
      <c r="V13" s="299"/>
      <c r="W13" s="299"/>
      <c r="X13" s="300"/>
      <c r="Y13" s="319">
        <f t="shared" si="0"/>
        <v>3896</v>
      </c>
      <c r="Z13" s="694">
        <f t="shared" si="1"/>
        <v>0</v>
      </c>
    </row>
    <row r="14" spans="2:26" ht="12.75">
      <c r="B14" s="315" t="s">
        <v>241</v>
      </c>
      <c r="C14" s="305">
        <f>8117+972</f>
        <v>9089</v>
      </c>
      <c r="D14" s="305">
        <f>2192+262</f>
        <v>2454</v>
      </c>
      <c r="E14" s="305">
        <f>2026+800+54+1000+3754</f>
        <v>7634</v>
      </c>
      <c r="F14" s="213">
        <f t="shared" si="3"/>
        <v>19177</v>
      </c>
      <c r="G14" s="213"/>
      <c r="H14" s="213"/>
      <c r="I14" s="213"/>
      <c r="J14" s="213"/>
      <c r="K14" s="319">
        <f t="shared" si="2"/>
        <v>19177</v>
      </c>
      <c r="M14" s="299"/>
      <c r="N14" s="299"/>
      <c r="O14" s="299">
        <f>+1_mell!F63+1_mell!F64+1_mell!F65+3_mell!G13</f>
        <v>4210</v>
      </c>
      <c r="P14" s="334">
        <v>2374</v>
      </c>
      <c r="Q14" s="299"/>
      <c r="R14" s="299">
        <f>504+2016</f>
        <v>2520</v>
      </c>
      <c r="S14" s="299"/>
      <c r="T14" s="299">
        <v>9457</v>
      </c>
      <c r="U14" s="299"/>
      <c r="V14" s="299"/>
      <c r="W14" s="299">
        <f>+3_mell!E13</f>
        <v>616</v>
      </c>
      <c r="X14" s="300"/>
      <c r="Y14" s="319">
        <f>SUM(M14:X14)</f>
        <v>19177</v>
      </c>
      <c r="Z14" s="694">
        <f t="shared" si="1"/>
        <v>0</v>
      </c>
    </row>
    <row r="15" spans="2:26" ht="12.75">
      <c r="B15" s="315" t="s">
        <v>242</v>
      </c>
      <c r="C15" s="305">
        <v>7497</v>
      </c>
      <c r="D15" s="305">
        <v>2024</v>
      </c>
      <c r="E15" s="305">
        <v>584</v>
      </c>
      <c r="F15" s="213">
        <f>SUM(C15:E15)</f>
        <v>10105</v>
      </c>
      <c r="G15" s="213"/>
      <c r="H15" s="213"/>
      <c r="I15" s="213"/>
      <c r="J15" s="213"/>
      <c r="K15" s="319">
        <f t="shared" si="2"/>
        <v>10105</v>
      </c>
      <c r="L15" s="305">
        <v>100</v>
      </c>
      <c r="M15" s="299"/>
      <c r="N15" s="299"/>
      <c r="O15" s="307"/>
      <c r="P15" s="334">
        <v>5655</v>
      </c>
      <c r="Q15" s="299"/>
      <c r="R15" s="299">
        <v>4350</v>
      </c>
      <c r="S15" s="299"/>
      <c r="T15" s="299"/>
      <c r="U15" s="299"/>
      <c r="V15" s="299"/>
      <c r="W15" s="299"/>
      <c r="X15" s="300"/>
      <c r="Y15" s="319">
        <f aca="true" t="shared" si="4" ref="Y15:Y21">SUM(L15:X15)</f>
        <v>10105</v>
      </c>
      <c r="Z15" s="694">
        <f t="shared" si="1"/>
        <v>0</v>
      </c>
    </row>
    <row r="16" spans="2:26" ht="12.75">
      <c r="B16" s="315" t="s">
        <v>243</v>
      </c>
      <c r="C16" s="305">
        <v>8217</v>
      </c>
      <c r="D16" s="305">
        <v>2219</v>
      </c>
      <c r="E16" s="305">
        <v>6496</v>
      </c>
      <c r="F16" s="213">
        <f t="shared" si="3"/>
        <v>16932</v>
      </c>
      <c r="G16" s="213"/>
      <c r="H16" s="213"/>
      <c r="I16" s="213"/>
      <c r="J16" s="213">
        <f>+7_mell!D14</f>
        <v>2650</v>
      </c>
      <c r="K16" s="319">
        <f t="shared" si="2"/>
        <v>19582</v>
      </c>
      <c r="L16" s="299"/>
      <c r="M16" s="305">
        <v>9800</v>
      </c>
      <c r="N16" s="305"/>
      <c r="O16" s="307"/>
      <c r="P16" s="304"/>
      <c r="Q16" s="299"/>
      <c r="R16" s="299">
        <v>7132</v>
      </c>
      <c r="S16" s="299"/>
      <c r="T16" s="299"/>
      <c r="U16" s="299"/>
      <c r="V16" s="299">
        <v>2650</v>
      </c>
      <c r="W16" s="299"/>
      <c r="X16" s="300"/>
      <c r="Y16" s="319">
        <f t="shared" si="4"/>
        <v>19582</v>
      </c>
      <c r="Z16" s="694">
        <f t="shared" si="1"/>
        <v>0</v>
      </c>
    </row>
    <row r="17" spans="2:26" ht="12.75">
      <c r="B17" s="315" t="s">
        <v>244</v>
      </c>
      <c r="C17" s="305">
        <v>7797</v>
      </c>
      <c r="D17" s="305">
        <v>2105</v>
      </c>
      <c r="E17" s="305">
        <v>1113</v>
      </c>
      <c r="F17" s="213">
        <f t="shared" si="3"/>
        <v>11015</v>
      </c>
      <c r="G17" s="213"/>
      <c r="H17" s="213"/>
      <c r="I17" s="213"/>
      <c r="J17" s="213"/>
      <c r="K17" s="319">
        <f t="shared" si="2"/>
        <v>11015</v>
      </c>
      <c r="L17" s="299"/>
      <c r="M17" s="305">
        <v>10900</v>
      </c>
      <c r="N17" s="305"/>
      <c r="O17" s="307"/>
      <c r="P17" s="304"/>
      <c r="Q17" s="299"/>
      <c r="R17" s="299">
        <v>115</v>
      </c>
      <c r="S17" s="299"/>
      <c r="T17" s="299"/>
      <c r="U17" s="299"/>
      <c r="V17" s="299"/>
      <c r="W17" s="299"/>
      <c r="X17" s="300"/>
      <c r="Y17" s="319">
        <f t="shared" si="4"/>
        <v>11015</v>
      </c>
      <c r="Z17" s="694">
        <f t="shared" si="1"/>
        <v>0</v>
      </c>
    </row>
    <row r="18" spans="2:26" ht="12.75">
      <c r="B18" s="315" t="s">
        <v>245</v>
      </c>
      <c r="C18" s="305"/>
      <c r="D18" s="305"/>
      <c r="E18" s="305">
        <v>489</v>
      </c>
      <c r="F18" s="213">
        <f t="shared" si="3"/>
        <v>489</v>
      </c>
      <c r="G18" s="213"/>
      <c r="H18" s="213"/>
      <c r="I18" s="213"/>
      <c r="J18" s="213"/>
      <c r="K18" s="319">
        <f t="shared" si="2"/>
        <v>489</v>
      </c>
      <c r="L18" s="299"/>
      <c r="M18" s="305">
        <v>489</v>
      </c>
      <c r="N18" s="305"/>
      <c r="O18" s="307"/>
      <c r="P18" s="304"/>
      <c r="Q18" s="299"/>
      <c r="R18" s="299"/>
      <c r="S18" s="299"/>
      <c r="T18" s="299"/>
      <c r="U18" s="299"/>
      <c r="V18" s="299"/>
      <c r="W18" s="299"/>
      <c r="X18" s="300"/>
      <c r="Y18" s="319">
        <f t="shared" si="4"/>
        <v>489</v>
      </c>
      <c r="Z18" s="694">
        <f t="shared" si="1"/>
        <v>0</v>
      </c>
    </row>
    <row r="19" spans="2:26" ht="12.75">
      <c r="B19" s="315" t="s">
        <v>246</v>
      </c>
      <c r="C19" s="305">
        <v>1742</v>
      </c>
      <c r="D19" s="305">
        <v>470</v>
      </c>
      <c r="E19" s="305">
        <v>863</v>
      </c>
      <c r="F19" s="213">
        <f>SUM(C19:E19)</f>
        <v>3075</v>
      </c>
      <c r="G19" s="213"/>
      <c r="H19" s="213"/>
      <c r="I19" s="213"/>
      <c r="J19" s="213"/>
      <c r="K19" s="319">
        <f t="shared" si="2"/>
        <v>3075</v>
      </c>
      <c r="L19" s="299"/>
      <c r="M19" s="305">
        <v>2040</v>
      </c>
      <c r="N19" s="305"/>
      <c r="O19" s="307"/>
      <c r="P19" s="304"/>
      <c r="Q19" s="299"/>
      <c r="R19" s="299">
        <v>1035</v>
      </c>
      <c r="S19" s="299"/>
      <c r="T19" s="299"/>
      <c r="U19" s="299"/>
      <c r="V19" s="299"/>
      <c r="W19" s="299"/>
      <c r="X19" s="300"/>
      <c r="Y19" s="319">
        <f t="shared" si="4"/>
        <v>3075</v>
      </c>
      <c r="Z19" s="694">
        <f t="shared" si="1"/>
        <v>0</v>
      </c>
    </row>
    <row r="20" spans="2:26" ht="12.75">
      <c r="B20" s="315" t="s">
        <v>355</v>
      </c>
      <c r="C20" s="305">
        <v>2684</v>
      </c>
      <c r="D20" s="305">
        <v>725</v>
      </c>
      <c r="E20" s="305">
        <v>3512</v>
      </c>
      <c r="F20" s="213">
        <f t="shared" si="3"/>
        <v>6921</v>
      </c>
      <c r="G20" s="213"/>
      <c r="H20" s="213"/>
      <c r="I20" s="213"/>
      <c r="J20" s="213"/>
      <c r="K20" s="319">
        <f t="shared" si="2"/>
        <v>6921</v>
      </c>
      <c r="L20" s="299"/>
      <c r="M20" s="305">
        <v>1620</v>
      </c>
      <c r="N20" s="305"/>
      <c r="O20" s="307"/>
      <c r="P20" s="304"/>
      <c r="Q20" s="299"/>
      <c r="R20" s="299">
        <v>5301</v>
      </c>
      <c r="S20" s="299"/>
      <c r="T20" s="299"/>
      <c r="U20" s="299"/>
      <c r="V20" s="299"/>
      <c r="W20" s="299"/>
      <c r="X20" s="300"/>
      <c r="Y20" s="319">
        <f t="shared" si="4"/>
        <v>6921</v>
      </c>
      <c r="Z20" s="694">
        <f t="shared" si="1"/>
        <v>0</v>
      </c>
    </row>
    <row r="21" spans="2:26" ht="12.75">
      <c r="B21" s="315" t="s">
        <v>247</v>
      </c>
      <c r="C21" s="305">
        <v>5588</v>
      </c>
      <c r="D21" s="305">
        <v>1509</v>
      </c>
      <c r="E21" s="305">
        <v>1308</v>
      </c>
      <c r="F21" s="213">
        <f t="shared" si="3"/>
        <v>8405</v>
      </c>
      <c r="G21" s="213"/>
      <c r="H21" s="213"/>
      <c r="I21" s="213"/>
      <c r="J21" s="213"/>
      <c r="K21" s="319">
        <f t="shared" si="2"/>
        <v>8405</v>
      </c>
      <c r="L21" s="299"/>
      <c r="M21" s="305">
        <v>7651</v>
      </c>
      <c r="N21" s="305"/>
      <c r="O21" s="307"/>
      <c r="P21" s="304"/>
      <c r="Q21" s="299"/>
      <c r="R21" s="299">
        <v>754</v>
      </c>
      <c r="S21" s="299"/>
      <c r="T21" s="299"/>
      <c r="U21" s="299"/>
      <c r="V21" s="299"/>
      <c r="W21" s="299"/>
      <c r="X21" s="300"/>
      <c r="Y21" s="319">
        <f t="shared" si="4"/>
        <v>8405</v>
      </c>
      <c r="Z21" s="694">
        <f t="shared" si="1"/>
        <v>0</v>
      </c>
    </row>
    <row r="22" spans="2:26" s="244" customFormat="1" ht="12.75">
      <c r="B22" s="316" t="s">
        <v>272</v>
      </c>
      <c r="C22" s="308">
        <f>SUM(C7:C21)</f>
        <v>69308</v>
      </c>
      <c r="D22" s="308">
        <f>SUM(D7:D21)</f>
        <v>18550</v>
      </c>
      <c r="E22" s="308">
        <f>SUM(E8:E21)</f>
        <v>47580</v>
      </c>
      <c r="F22" s="308">
        <f>SUM(F7:F21)</f>
        <v>135438</v>
      </c>
      <c r="G22" s="308">
        <f>SUM(G8:G21)</f>
        <v>0</v>
      </c>
      <c r="H22" s="308">
        <f>SUM(H8:H21)</f>
        <v>0</v>
      </c>
      <c r="I22" s="308">
        <f>SUM(I8:I21)</f>
        <v>0</v>
      </c>
      <c r="J22" s="308">
        <f>SUM(J8:J21)</f>
        <v>2650</v>
      </c>
      <c r="K22" s="320">
        <f aca="true" t="shared" si="5" ref="K22:Y22">SUM(K7:K21)</f>
        <v>138088</v>
      </c>
      <c r="L22" s="308">
        <f t="shared" si="5"/>
        <v>8903</v>
      </c>
      <c r="M22" s="308">
        <f t="shared" si="5"/>
        <v>32500</v>
      </c>
      <c r="N22" s="308">
        <f t="shared" si="5"/>
        <v>0</v>
      </c>
      <c r="O22" s="308">
        <f t="shared" si="5"/>
        <v>4210</v>
      </c>
      <c r="P22" s="594">
        <f t="shared" si="5"/>
        <v>32456</v>
      </c>
      <c r="Q22" s="596">
        <f t="shared" si="5"/>
        <v>0</v>
      </c>
      <c r="R22" s="596">
        <f t="shared" si="5"/>
        <v>45817</v>
      </c>
      <c r="S22" s="596">
        <f t="shared" si="5"/>
        <v>0</v>
      </c>
      <c r="T22" s="596">
        <f t="shared" si="5"/>
        <v>9457</v>
      </c>
      <c r="U22" s="596">
        <f t="shared" si="5"/>
        <v>0</v>
      </c>
      <c r="V22" s="596">
        <f t="shared" si="5"/>
        <v>4129</v>
      </c>
      <c r="W22" s="596">
        <f t="shared" si="5"/>
        <v>616</v>
      </c>
      <c r="X22" s="596">
        <f t="shared" si="5"/>
        <v>0</v>
      </c>
      <c r="Y22" s="320">
        <f t="shared" si="5"/>
        <v>138088</v>
      </c>
      <c r="Z22" s="694">
        <f t="shared" si="1"/>
        <v>0</v>
      </c>
    </row>
    <row r="23" spans="2:25" ht="12.75">
      <c r="B23" s="315"/>
      <c r="C23" s="305">
        <f>+4_mell!D12</f>
        <v>69308</v>
      </c>
      <c r="D23" s="305">
        <f>+4_mell!E12</f>
        <v>18550</v>
      </c>
      <c r="E23" s="305">
        <f>+4_mell!F12</f>
        <v>47580</v>
      </c>
      <c r="F23" s="305"/>
      <c r="G23" s="305"/>
      <c r="H23" s="305"/>
      <c r="I23" s="305"/>
      <c r="J23" s="305"/>
      <c r="K23" s="321">
        <f>+4_mell!M12</f>
        <v>138088</v>
      </c>
      <c r="L23" s="305">
        <f>+3_mell!D13</f>
        <v>8903</v>
      </c>
      <c r="M23" s="305">
        <f>+1_mell!E41</f>
        <v>32500</v>
      </c>
      <c r="N23" s="305">
        <f>+3_mell!H13</f>
        <v>0</v>
      </c>
      <c r="O23" s="305"/>
      <c r="P23" s="304"/>
      <c r="Q23" s="307"/>
      <c r="R23" s="307"/>
      <c r="S23" s="307"/>
      <c r="T23" s="299"/>
      <c r="U23" s="299"/>
      <c r="V23" s="299"/>
      <c r="W23" s="299"/>
      <c r="X23" s="300"/>
      <c r="Y23" s="315"/>
    </row>
    <row r="24" spans="2:25" ht="12.75">
      <c r="B24" s="315"/>
      <c r="C24" s="305">
        <f>+C23-C22</f>
        <v>0</v>
      </c>
      <c r="D24" s="305">
        <f>+D23-D22</f>
        <v>0</v>
      </c>
      <c r="E24" s="305">
        <f>+E23-E22</f>
        <v>0</v>
      </c>
      <c r="F24" s="305"/>
      <c r="G24" s="305"/>
      <c r="H24" s="305"/>
      <c r="I24" s="305"/>
      <c r="J24" s="305"/>
      <c r="K24" s="321">
        <f>+K23-K22</f>
        <v>0</v>
      </c>
      <c r="L24" s="305"/>
      <c r="M24" s="305">
        <f>+M22+O22</f>
        <v>36710</v>
      </c>
      <c r="N24" s="305">
        <f>+3_mell!F13+3_mell!G13</f>
        <v>36710</v>
      </c>
      <c r="O24" s="305"/>
      <c r="P24" s="304"/>
      <c r="Q24" s="307"/>
      <c r="R24" s="307"/>
      <c r="S24" s="307"/>
      <c r="T24" s="299"/>
      <c r="U24" s="299"/>
      <c r="V24" s="299"/>
      <c r="W24" s="299"/>
      <c r="X24" s="300"/>
      <c r="Y24" s="315"/>
    </row>
    <row r="25" spans="2:25" ht="38.25" customHeight="1">
      <c r="B25" s="317" t="str">
        <f>+4_mell!B16</f>
        <v>Városi Művelődési Központ és Könyvtár</v>
      </c>
      <c r="C25" s="498"/>
      <c r="D25" s="498"/>
      <c r="E25" s="498"/>
      <c r="F25" s="498"/>
      <c r="G25" s="301"/>
      <c r="H25" s="301"/>
      <c r="I25" s="301"/>
      <c r="J25" s="301"/>
      <c r="K25" s="499"/>
      <c r="L25" s="498"/>
      <c r="M25" s="498"/>
      <c r="N25" s="498"/>
      <c r="O25" s="301"/>
      <c r="P25" s="500"/>
      <c r="Q25" s="302"/>
      <c r="R25" s="302"/>
      <c r="S25" s="302"/>
      <c r="T25" s="302"/>
      <c r="U25" s="302"/>
      <c r="V25" s="302"/>
      <c r="W25" s="302"/>
      <c r="X25" s="309"/>
      <c r="Y25" s="329"/>
    </row>
    <row r="26" spans="2:26" ht="12.75">
      <c r="B26" s="350" t="s">
        <v>374</v>
      </c>
      <c r="C26" s="498"/>
      <c r="D26" s="498"/>
      <c r="E26" s="608">
        <f>280+6</f>
        <v>286</v>
      </c>
      <c r="F26" s="310">
        <f aca="true" t="shared" si="6" ref="F26:F31">SUM(C26:E26)</f>
        <v>286</v>
      </c>
      <c r="G26" s="301">
        <v>454</v>
      </c>
      <c r="H26" s="301"/>
      <c r="I26" s="301"/>
      <c r="J26" s="301"/>
      <c r="K26" s="321">
        <f aca="true" t="shared" si="7" ref="K26:K31">SUM(F26:J26)</f>
        <v>740</v>
      </c>
      <c r="L26" s="498"/>
      <c r="M26" s="498"/>
      <c r="N26" s="498"/>
      <c r="O26" s="696">
        <f>460+280</f>
        <v>740</v>
      </c>
      <c r="P26" s="500"/>
      <c r="Q26" s="302"/>
      <c r="R26" s="302"/>
      <c r="S26" s="302"/>
      <c r="T26" s="302"/>
      <c r="U26" s="302"/>
      <c r="V26" s="302"/>
      <c r="W26" s="302"/>
      <c r="X26" s="309"/>
      <c r="Y26" s="319">
        <f aca="true" t="shared" si="8" ref="Y26:Y31">SUM(L26:X26)</f>
        <v>740</v>
      </c>
      <c r="Z26" s="209">
        <f aca="true" t="shared" si="9" ref="Z26:Z32">+K26-Y26</f>
        <v>0</v>
      </c>
    </row>
    <row r="27" spans="2:26" ht="12.75">
      <c r="B27" s="318" t="s">
        <v>284</v>
      </c>
      <c r="C27" s="299">
        <f>4033+46+594</f>
        <v>4673</v>
      </c>
      <c r="D27" s="299">
        <f>1089+13+124</f>
        <v>1226</v>
      </c>
      <c r="E27" s="299">
        <f>1990+281+1772</f>
        <v>4043</v>
      </c>
      <c r="F27" s="310">
        <f t="shared" si="6"/>
        <v>9942</v>
      </c>
      <c r="G27" s="305"/>
      <c r="H27" s="305"/>
      <c r="I27" s="305"/>
      <c r="J27" s="305"/>
      <c r="K27" s="321">
        <f t="shared" si="7"/>
        <v>9942</v>
      </c>
      <c r="L27" s="305">
        <v>1500</v>
      </c>
      <c r="M27" s="305"/>
      <c r="N27" s="305"/>
      <c r="O27" s="305">
        <v>305</v>
      </c>
      <c r="P27" s="334">
        <f>6853+340</f>
        <v>7193</v>
      </c>
      <c r="Q27" s="307"/>
      <c r="R27" s="307">
        <v>276</v>
      </c>
      <c r="S27" s="307"/>
      <c r="T27" s="299"/>
      <c r="U27" s="299"/>
      <c r="V27" s="299"/>
      <c r="W27" s="299">
        <v>268</v>
      </c>
      <c r="X27" s="300">
        <v>400</v>
      </c>
      <c r="Y27" s="319">
        <f t="shared" si="8"/>
        <v>9942</v>
      </c>
      <c r="Z27" s="209">
        <f t="shared" si="9"/>
        <v>0</v>
      </c>
    </row>
    <row r="28" spans="2:26" ht="12.75">
      <c r="B28" s="318" t="s">
        <v>285</v>
      </c>
      <c r="C28" s="299"/>
      <c r="D28" s="299"/>
      <c r="E28" s="299">
        <f>786+800</f>
        <v>1586</v>
      </c>
      <c r="F28" s="310">
        <f t="shared" si="6"/>
        <v>1586</v>
      </c>
      <c r="G28" s="305"/>
      <c r="H28" s="305"/>
      <c r="I28" s="305"/>
      <c r="J28" s="305">
        <f>+7_mell!D15</f>
        <v>1100</v>
      </c>
      <c r="K28" s="321">
        <f t="shared" si="7"/>
        <v>2686</v>
      </c>
      <c r="L28" s="305"/>
      <c r="M28" s="305"/>
      <c r="N28" s="305">
        <v>1100</v>
      </c>
      <c r="O28" s="305">
        <v>400</v>
      </c>
      <c r="P28" s="304">
        <v>800</v>
      </c>
      <c r="Q28" s="307"/>
      <c r="R28" s="307">
        <v>786</v>
      </c>
      <c r="S28" s="307"/>
      <c r="T28" s="299"/>
      <c r="U28" s="299"/>
      <c r="V28" s="299"/>
      <c r="W28" s="299"/>
      <c r="X28" s="300">
        <v>-400</v>
      </c>
      <c r="Y28" s="319">
        <f t="shared" si="8"/>
        <v>2686</v>
      </c>
      <c r="Z28" s="209">
        <f t="shared" si="9"/>
        <v>0</v>
      </c>
    </row>
    <row r="29" spans="2:26" ht="12.75">
      <c r="B29" s="318" t="s">
        <v>286</v>
      </c>
      <c r="C29" s="299">
        <v>5376</v>
      </c>
      <c r="D29" s="299">
        <v>1450</v>
      </c>
      <c r="E29" s="299">
        <f>1148+700+338</f>
        <v>2186</v>
      </c>
      <c r="F29" s="310">
        <f t="shared" si="6"/>
        <v>9012</v>
      </c>
      <c r="G29" s="305"/>
      <c r="H29" s="305"/>
      <c r="I29" s="305"/>
      <c r="J29" s="305">
        <f>+7_mell!D13</f>
        <v>1000</v>
      </c>
      <c r="K29" s="321">
        <f t="shared" si="7"/>
        <v>10012</v>
      </c>
      <c r="L29" s="305"/>
      <c r="M29" s="305"/>
      <c r="N29" s="305"/>
      <c r="O29" s="305">
        <v>1000</v>
      </c>
      <c r="P29" s="334">
        <v>338</v>
      </c>
      <c r="Q29" s="307"/>
      <c r="R29" s="307">
        <v>8674</v>
      </c>
      <c r="S29" s="307"/>
      <c r="T29" s="299"/>
      <c r="U29" s="299"/>
      <c r="V29" s="299"/>
      <c r="W29" s="299"/>
      <c r="X29" s="300"/>
      <c r="Y29" s="319">
        <f t="shared" si="8"/>
        <v>10012</v>
      </c>
      <c r="Z29" s="209">
        <f t="shared" si="9"/>
        <v>0</v>
      </c>
    </row>
    <row r="30" spans="2:26" ht="12.75">
      <c r="B30" s="318" t="s">
        <v>287</v>
      </c>
      <c r="C30" s="299">
        <v>31</v>
      </c>
      <c r="D30" s="299">
        <v>9</v>
      </c>
      <c r="E30" s="299">
        <v>1710</v>
      </c>
      <c r="F30" s="310">
        <f t="shared" si="6"/>
        <v>1750</v>
      </c>
      <c r="G30" s="305"/>
      <c r="H30" s="305"/>
      <c r="I30" s="305"/>
      <c r="J30" s="305"/>
      <c r="K30" s="321">
        <f t="shared" si="7"/>
        <v>1750</v>
      </c>
      <c r="L30" s="305"/>
      <c r="M30" s="305"/>
      <c r="N30" s="305"/>
      <c r="O30" s="305"/>
      <c r="P30" s="304">
        <f>31+9</f>
        <v>40</v>
      </c>
      <c r="Q30" s="307"/>
      <c r="R30" s="307">
        <v>1710</v>
      </c>
      <c r="S30" s="307"/>
      <c r="T30" s="299"/>
      <c r="U30" s="299"/>
      <c r="V30" s="299"/>
      <c r="W30" s="299"/>
      <c r="X30" s="300"/>
      <c r="Y30" s="319">
        <f t="shared" si="8"/>
        <v>1750</v>
      </c>
      <c r="Z30" s="209">
        <f t="shared" si="9"/>
        <v>0</v>
      </c>
    </row>
    <row r="31" spans="2:26" ht="13.5" thickBot="1">
      <c r="B31" s="318" t="s">
        <v>288</v>
      </c>
      <c r="C31" s="299"/>
      <c r="D31" s="299"/>
      <c r="E31" s="299">
        <v>3236</v>
      </c>
      <c r="F31" s="310">
        <f t="shared" si="6"/>
        <v>3236</v>
      </c>
      <c r="G31" s="305"/>
      <c r="H31" s="305"/>
      <c r="I31" s="305"/>
      <c r="J31" s="305"/>
      <c r="K31" s="321">
        <f t="shared" si="7"/>
        <v>3236</v>
      </c>
      <c r="L31" s="305">
        <v>700</v>
      </c>
      <c r="M31" s="305"/>
      <c r="N31" s="305"/>
      <c r="O31" s="305"/>
      <c r="P31" s="304"/>
      <c r="Q31" s="307"/>
      <c r="R31" s="307">
        <v>2536</v>
      </c>
      <c r="S31" s="307"/>
      <c r="T31" s="299"/>
      <c r="U31" s="299"/>
      <c r="V31" s="299"/>
      <c r="W31" s="299"/>
      <c r="X31" s="300"/>
      <c r="Y31" s="319">
        <f t="shared" si="8"/>
        <v>3236</v>
      </c>
      <c r="Z31" s="209">
        <f t="shared" si="9"/>
        <v>0</v>
      </c>
    </row>
    <row r="32" spans="2:26" s="245" customFormat="1" ht="13.5" thickBot="1">
      <c r="B32" s="330" t="s">
        <v>272</v>
      </c>
      <c r="C32" s="331">
        <f aca="true" t="shared" si="10" ref="C32:I32">SUM(C26:C31)</f>
        <v>10080</v>
      </c>
      <c r="D32" s="331">
        <f t="shared" si="10"/>
        <v>2685</v>
      </c>
      <c r="E32" s="331">
        <f t="shared" si="10"/>
        <v>13047</v>
      </c>
      <c r="F32" s="331">
        <f t="shared" si="10"/>
        <v>25812</v>
      </c>
      <c r="G32" s="331">
        <f t="shared" si="10"/>
        <v>454</v>
      </c>
      <c r="H32" s="331">
        <f t="shared" si="10"/>
        <v>0</v>
      </c>
      <c r="I32" s="331">
        <f t="shared" si="10"/>
        <v>0</v>
      </c>
      <c r="J32" s="331">
        <f aca="true" t="shared" si="11" ref="J32:Q32">SUM(J26:J31)</f>
        <v>2100</v>
      </c>
      <c r="K32" s="697">
        <f t="shared" si="11"/>
        <v>28366</v>
      </c>
      <c r="L32" s="332">
        <f t="shared" si="11"/>
        <v>2200</v>
      </c>
      <c r="M32" s="332">
        <f t="shared" si="11"/>
        <v>0</v>
      </c>
      <c r="N32" s="332">
        <f t="shared" si="11"/>
        <v>1100</v>
      </c>
      <c r="O32" s="332">
        <f t="shared" si="11"/>
        <v>2445</v>
      </c>
      <c r="P32" s="335">
        <f t="shared" si="11"/>
        <v>8371</v>
      </c>
      <c r="Q32" s="332">
        <f t="shared" si="11"/>
        <v>0</v>
      </c>
      <c r="R32" s="332">
        <f aca="true" t="shared" si="12" ref="R32:X32">SUM(R26:R31)</f>
        <v>13982</v>
      </c>
      <c r="S32" s="332">
        <f t="shared" si="12"/>
        <v>0</v>
      </c>
      <c r="T32" s="332">
        <f t="shared" si="12"/>
        <v>0</v>
      </c>
      <c r="U32" s="332">
        <f t="shared" si="12"/>
        <v>0</v>
      </c>
      <c r="V32" s="332">
        <f t="shared" si="12"/>
        <v>0</v>
      </c>
      <c r="W32" s="332">
        <f t="shared" si="12"/>
        <v>268</v>
      </c>
      <c r="X32" s="332">
        <f t="shared" si="12"/>
        <v>0</v>
      </c>
      <c r="Y32" s="697">
        <f>SUM(Y26:Y31)</f>
        <v>28366</v>
      </c>
      <c r="Z32" s="209">
        <f t="shared" si="9"/>
        <v>0</v>
      </c>
    </row>
    <row r="33" spans="3:26" ht="0.75" customHeight="1" thickBot="1">
      <c r="C33" s="208">
        <f>+4_mell!D17</f>
        <v>10080</v>
      </c>
      <c r="D33" s="208">
        <f>+4_mell!E17</f>
        <v>2685</v>
      </c>
      <c r="E33" s="208">
        <f>+4_mell!F17</f>
        <v>13047</v>
      </c>
      <c r="F33" s="209">
        <f>+4_mell!G17</f>
        <v>25812</v>
      </c>
      <c r="G33" s="209">
        <f>+4_mell!H17</f>
        <v>454</v>
      </c>
      <c r="H33" s="209"/>
      <c r="I33" s="209"/>
      <c r="J33" s="209">
        <f>+4_mell!L17</f>
        <v>2100</v>
      </c>
      <c r="K33" s="209">
        <f>+4_mell!M17</f>
        <v>28366</v>
      </c>
      <c r="L33" s="209">
        <f>+3_mell!D18</f>
        <v>2200</v>
      </c>
      <c r="M33" s="209"/>
      <c r="N33" s="209">
        <f>+3_mell!H18</f>
        <v>1100</v>
      </c>
      <c r="O33" s="209">
        <f>+3_mell!F18+3_mell!G18</f>
        <v>2445</v>
      </c>
      <c r="Q33" s="210"/>
      <c r="R33" s="210"/>
      <c r="S33" s="210"/>
      <c r="W33" s="208">
        <f>+3_mell!E18</f>
        <v>268</v>
      </c>
      <c r="Y33" s="319">
        <f>+3_mell!L18</f>
        <v>28366</v>
      </c>
      <c r="Z33" s="209"/>
    </row>
    <row r="34" spans="3:25" ht="13.5" hidden="1" thickBot="1">
      <c r="C34" s="208">
        <f>+C33-C32</f>
        <v>0</v>
      </c>
      <c r="D34" s="208">
        <f aca="true" t="shared" si="13" ref="D34:Y34">+D33-D32</f>
        <v>0</v>
      </c>
      <c r="E34" s="208">
        <f t="shared" si="13"/>
        <v>0</v>
      </c>
      <c r="F34" s="208">
        <f t="shared" si="13"/>
        <v>0</v>
      </c>
      <c r="G34" s="208">
        <f t="shared" si="13"/>
        <v>0</v>
      </c>
      <c r="H34" s="208">
        <f t="shared" si="13"/>
        <v>0</v>
      </c>
      <c r="I34" s="208">
        <f t="shared" si="13"/>
        <v>0</v>
      </c>
      <c r="J34" s="208">
        <f t="shared" si="13"/>
        <v>0</v>
      </c>
      <c r="K34" s="208">
        <f t="shared" si="13"/>
        <v>0</v>
      </c>
      <c r="L34" s="208">
        <f t="shared" si="13"/>
        <v>0</v>
      </c>
      <c r="M34" s="208">
        <f t="shared" si="13"/>
        <v>0</v>
      </c>
      <c r="N34" s="208">
        <f t="shared" si="13"/>
        <v>0</v>
      </c>
      <c r="O34" s="208">
        <f t="shared" si="13"/>
        <v>0</v>
      </c>
      <c r="P34" s="208">
        <f t="shared" si="13"/>
        <v>-8371</v>
      </c>
      <c r="Q34" s="208">
        <f t="shared" si="13"/>
        <v>0</v>
      </c>
      <c r="R34" s="208">
        <f t="shared" si="13"/>
        <v>-13982</v>
      </c>
      <c r="S34" s="208">
        <f t="shared" si="13"/>
        <v>0</v>
      </c>
      <c r="T34" s="208">
        <f t="shared" si="13"/>
        <v>0</v>
      </c>
      <c r="U34" s="208">
        <f t="shared" si="13"/>
        <v>0</v>
      </c>
      <c r="V34" s="208">
        <f t="shared" si="13"/>
        <v>0</v>
      </c>
      <c r="W34" s="208">
        <f t="shared" si="13"/>
        <v>0</v>
      </c>
      <c r="X34" s="208">
        <f t="shared" si="13"/>
        <v>0</v>
      </c>
      <c r="Y34" s="208">
        <f t="shared" si="13"/>
        <v>0</v>
      </c>
    </row>
    <row r="35" spans="2:25" ht="13.5" thickBot="1">
      <c r="B35" s="249" t="s">
        <v>296</v>
      </c>
      <c r="C35" s="735" t="s">
        <v>174</v>
      </c>
      <c r="D35" s="736"/>
      <c r="E35" s="736"/>
      <c r="F35" s="736"/>
      <c r="G35" s="736"/>
      <c r="H35" s="736"/>
      <c r="I35" s="736"/>
      <c r="J35" s="736"/>
      <c r="K35" s="737"/>
      <c r="L35" s="735" t="s">
        <v>297</v>
      </c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7"/>
    </row>
    <row r="36" spans="2:25" ht="13.5" thickBot="1">
      <c r="B36" s="313"/>
      <c r="C36" s="312"/>
      <c r="D36" s="312"/>
      <c r="E36" s="312"/>
      <c r="F36" s="312"/>
      <c r="G36" s="312"/>
      <c r="H36" s="312"/>
      <c r="I36" s="312"/>
      <c r="J36" s="312"/>
      <c r="K36" s="313"/>
      <c r="L36" s="311"/>
      <c r="M36" s="312"/>
      <c r="N36" s="312"/>
      <c r="O36" s="338"/>
      <c r="P36" s="732" t="s">
        <v>281</v>
      </c>
      <c r="Q36" s="733"/>
      <c r="R36" s="733"/>
      <c r="S36" s="733"/>
      <c r="T36" s="733"/>
      <c r="U36" s="733"/>
      <c r="V36" s="733"/>
      <c r="W36" s="733"/>
      <c r="X36" s="734"/>
      <c r="Y36" s="339"/>
    </row>
    <row r="37" spans="2:25" s="244" customFormat="1" ht="77.25" thickBot="1">
      <c r="B37" s="322" t="s">
        <v>273</v>
      </c>
      <c r="C37" s="502" t="s">
        <v>56</v>
      </c>
      <c r="D37" s="502" t="s">
        <v>234</v>
      </c>
      <c r="E37" s="502" t="s">
        <v>235</v>
      </c>
      <c r="F37" s="502" t="s">
        <v>61</v>
      </c>
      <c r="G37" s="340" t="s">
        <v>277</v>
      </c>
      <c r="H37" s="340" t="s">
        <v>278</v>
      </c>
      <c r="I37" s="340" t="s">
        <v>62</v>
      </c>
      <c r="J37" s="340" t="s">
        <v>9</v>
      </c>
      <c r="K37" s="503" t="s">
        <v>279</v>
      </c>
      <c r="L37" s="504" t="s">
        <v>250</v>
      </c>
      <c r="M37" s="502" t="s">
        <v>249</v>
      </c>
      <c r="N37" s="340" t="s">
        <v>480</v>
      </c>
      <c r="O37" s="340" t="s">
        <v>248</v>
      </c>
      <c r="P37" s="504" t="s">
        <v>265</v>
      </c>
      <c r="Q37" s="342" t="s">
        <v>289</v>
      </c>
      <c r="R37" s="341" t="s">
        <v>290</v>
      </c>
      <c r="S37" s="342" t="s">
        <v>291</v>
      </c>
      <c r="T37" s="341" t="s">
        <v>293</v>
      </c>
      <c r="U37" s="342" t="s">
        <v>294</v>
      </c>
      <c r="V37" s="326" t="s">
        <v>498</v>
      </c>
      <c r="W37" s="342" t="s">
        <v>8</v>
      </c>
      <c r="X37" s="343" t="s">
        <v>292</v>
      </c>
      <c r="Y37" s="344" t="s">
        <v>295</v>
      </c>
    </row>
    <row r="38" spans="2:26" s="244" customFormat="1" ht="12" customHeight="1">
      <c r="B38" s="329" t="s">
        <v>484</v>
      </c>
      <c r="C38" s="498">
        <v>1466</v>
      </c>
      <c r="D38" s="498">
        <v>396</v>
      </c>
      <c r="E38" s="498">
        <v>36179</v>
      </c>
      <c r="F38" s="506">
        <f>SUM(C38:E38)</f>
        <v>38041</v>
      </c>
      <c r="G38" s="301"/>
      <c r="H38" s="301"/>
      <c r="I38" s="301"/>
      <c r="J38" s="301"/>
      <c r="K38" s="598">
        <f>SUM(F38:J38)</f>
        <v>38041</v>
      </c>
      <c r="L38" s="500"/>
      <c r="M38" s="498"/>
      <c r="N38" s="498"/>
      <c r="O38" s="301">
        <f>+3_mell!G8</f>
        <v>27490</v>
      </c>
      <c r="P38" s="593">
        <v>291</v>
      </c>
      <c r="Q38" s="302"/>
      <c r="R38" s="302"/>
      <c r="S38" s="302"/>
      <c r="T38" s="302"/>
      <c r="U38" s="302"/>
      <c r="V38" s="302"/>
      <c r="W38" s="302">
        <f>+3_mell!E8</f>
        <v>1355</v>
      </c>
      <c r="X38" s="309">
        <v>8905</v>
      </c>
      <c r="Y38" s="306">
        <f>SUM(L38:X38)</f>
        <v>38041</v>
      </c>
      <c r="Z38" s="694">
        <f>+K38-Y38</f>
        <v>0</v>
      </c>
    </row>
    <row r="39" spans="2:26" ht="25.5">
      <c r="B39" s="505" t="s">
        <v>253</v>
      </c>
      <c r="C39" s="212"/>
      <c r="D39" s="212"/>
      <c r="E39" s="212">
        <v>898</v>
      </c>
      <c r="F39" s="506">
        <f>SUM(C39:E39)</f>
        <v>898</v>
      </c>
      <c r="G39" s="506"/>
      <c r="H39" s="506"/>
      <c r="I39" s="506"/>
      <c r="J39" s="506"/>
      <c r="K39" s="507">
        <f>SUM(F39:J39)</f>
        <v>898</v>
      </c>
      <c r="L39" s="304"/>
      <c r="M39" s="299"/>
      <c r="N39" s="299"/>
      <c r="O39" s="299"/>
      <c r="P39" s="304"/>
      <c r="Q39" s="299"/>
      <c r="R39" s="299">
        <v>898</v>
      </c>
      <c r="S39" s="299"/>
      <c r="T39" s="299"/>
      <c r="U39" s="299"/>
      <c r="V39" s="299"/>
      <c r="W39" s="299"/>
      <c r="X39" s="300">
        <v>0</v>
      </c>
      <c r="Y39" s="306">
        <f>SUM(L39:X39)</f>
        <v>898</v>
      </c>
      <c r="Z39" s="694">
        <f aca="true" t="shared" si="14" ref="Z39:Z50">+K39-Y39</f>
        <v>0</v>
      </c>
    </row>
    <row r="40" spans="2:26" ht="51">
      <c r="B40" s="508" t="s">
        <v>254</v>
      </c>
      <c r="C40" s="212"/>
      <c r="D40" s="212"/>
      <c r="E40" s="212">
        <f>28+900</f>
        <v>928</v>
      </c>
      <c r="F40" s="506">
        <f aca="true" t="shared" si="15" ref="F40:F50">SUM(C40:E40)</f>
        <v>928</v>
      </c>
      <c r="G40" s="506"/>
      <c r="H40" s="506"/>
      <c r="I40" s="506"/>
      <c r="J40" s="506"/>
      <c r="K40" s="507">
        <f aca="true" t="shared" si="16" ref="K40:K50">SUM(F40:J40)</f>
        <v>928</v>
      </c>
      <c r="L40" s="304"/>
      <c r="M40" s="299"/>
      <c r="N40" s="299"/>
      <c r="O40" s="299"/>
      <c r="P40" s="304">
        <v>13</v>
      </c>
      <c r="Q40" s="299">
        <v>900</v>
      </c>
      <c r="R40" s="299">
        <v>15</v>
      </c>
      <c r="S40" s="299"/>
      <c r="T40" s="299"/>
      <c r="U40" s="299"/>
      <c r="V40" s="299"/>
      <c r="W40" s="299"/>
      <c r="X40" s="300">
        <v>0</v>
      </c>
      <c r="Y40" s="306">
        <f aca="true" t="shared" si="17" ref="Y40:Y50">SUM(L40:X40)</f>
        <v>928</v>
      </c>
      <c r="Z40" s="694">
        <f t="shared" si="14"/>
        <v>0</v>
      </c>
    </row>
    <row r="41" spans="2:26" ht="51">
      <c r="B41" s="509" t="s">
        <v>255</v>
      </c>
      <c r="C41" s="212"/>
      <c r="D41" s="212"/>
      <c r="E41" s="212">
        <v>802</v>
      </c>
      <c r="F41" s="506">
        <f t="shared" si="15"/>
        <v>802</v>
      </c>
      <c r="G41" s="506"/>
      <c r="H41" s="506"/>
      <c r="I41" s="506"/>
      <c r="J41" s="506"/>
      <c r="K41" s="507">
        <f t="shared" si="16"/>
        <v>802</v>
      </c>
      <c r="L41" s="304"/>
      <c r="M41" s="299"/>
      <c r="N41" s="299"/>
      <c r="O41" s="299"/>
      <c r="P41" s="334">
        <v>15804</v>
      </c>
      <c r="Q41" s="299"/>
      <c r="R41" s="299"/>
      <c r="S41" s="299"/>
      <c r="T41" s="299"/>
      <c r="U41" s="299"/>
      <c r="V41" s="299"/>
      <c r="W41" s="299"/>
      <c r="X41" s="300">
        <v>-15002</v>
      </c>
      <c r="Y41" s="306">
        <f t="shared" si="17"/>
        <v>802</v>
      </c>
      <c r="Z41" s="694">
        <f t="shared" si="14"/>
        <v>0</v>
      </c>
    </row>
    <row r="42" spans="2:26" ht="19.5" customHeight="1">
      <c r="B42" s="336" t="s">
        <v>256</v>
      </c>
      <c r="C42" s="212">
        <v>16044</v>
      </c>
      <c r="D42" s="212">
        <v>4332</v>
      </c>
      <c r="E42" s="212">
        <f>64350+110</f>
        <v>64460</v>
      </c>
      <c r="F42" s="506">
        <f t="shared" si="15"/>
        <v>84836</v>
      </c>
      <c r="G42" s="506"/>
      <c r="H42" s="506"/>
      <c r="I42" s="506"/>
      <c r="J42" s="506">
        <v>519</v>
      </c>
      <c r="K42" s="507">
        <f t="shared" si="16"/>
        <v>85355</v>
      </c>
      <c r="L42" s="510">
        <v>68271</v>
      </c>
      <c r="M42" s="299"/>
      <c r="N42" s="299"/>
      <c r="O42" s="299"/>
      <c r="P42" s="304"/>
      <c r="Q42" s="299"/>
      <c r="R42" s="299">
        <f>16455-15002</f>
        <v>1453</v>
      </c>
      <c r="S42" s="299"/>
      <c r="T42" s="299"/>
      <c r="U42" s="299"/>
      <c r="V42" s="299"/>
      <c r="W42" s="299"/>
      <c r="X42" s="300">
        <f>15002+629</f>
        <v>15631</v>
      </c>
      <c r="Y42" s="306">
        <f t="shared" si="17"/>
        <v>85355</v>
      </c>
      <c r="Z42" s="694">
        <f t="shared" si="14"/>
        <v>0</v>
      </c>
    </row>
    <row r="43" spans="2:26" ht="38.25">
      <c r="B43" s="508" t="s">
        <v>257</v>
      </c>
      <c r="C43" s="212"/>
      <c r="D43" s="212"/>
      <c r="E43" s="212">
        <v>2807</v>
      </c>
      <c r="F43" s="506">
        <f t="shared" si="15"/>
        <v>2807</v>
      </c>
      <c r="G43" s="506"/>
      <c r="H43" s="506"/>
      <c r="I43" s="506"/>
      <c r="J43" s="506"/>
      <c r="K43" s="507">
        <f t="shared" si="16"/>
        <v>2807</v>
      </c>
      <c r="L43" s="304">
        <v>4210</v>
      </c>
      <c r="M43" s="299"/>
      <c r="N43" s="299"/>
      <c r="O43" s="299"/>
      <c r="P43" s="304"/>
      <c r="Q43" s="299"/>
      <c r="R43" s="299"/>
      <c r="S43" s="299"/>
      <c r="T43" s="299"/>
      <c r="U43" s="299"/>
      <c r="V43" s="299"/>
      <c r="W43" s="299"/>
      <c r="X43" s="300">
        <v>-1403</v>
      </c>
      <c r="Y43" s="306">
        <f t="shared" si="17"/>
        <v>2807</v>
      </c>
      <c r="Z43" s="694">
        <f t="shared" si="14"/>
        <v>0</v>
      </c>
    </row>
    <row r="44" spans="2:26" ht="38.25">
      <c r="B44" s="509" t="s">
        <v>258</v>
      </c>
      <c r="C44" s="212"/>
      <c r="D44" s="212"/>
      <c r="E44" s="212">
        <v>2713</v>
      </c>
      <c r="F44" s="506">
        <f t="shared" si="15"/>
        <v>2713</v>
      </c>
      <c r="G44" s="506"/>
      <c r="H44" s="506"/>
      <c r="I44" s="506"/>
      <c r="J44" s="506"/>
      <c r="K44" s="507">
        <f t="shared" si="16"/>
        <v>2713</v>
      </c>
      <c r="L44" s="304">
        <v>10747</v>
      </c>
      <c r="M44" s="299"/>
      <c r="N44" s="299"/>
      <c r="O44" s="299"/>
      <c r="P44" s="304"/>
      <c r="Q44" s="299"/>
      <c r="R44" s="299"/>
      <c r="S44" s="299"/>
      <c r="T44" s="299"/>
      <c r="U44" s="299"/>
      <c r="V44" s="299"/>
      <c r="W44" s="299"/>
      <c r="X44" s="300">
        <v>-8034</v>
      </c>
      <c r="Y44" s="306">
        <f t="shared" si="17"/>
        <v>2713</v>
      </c>
      <c r="Z44" s="694">
        <f t="shared" si="14"/>
        <v>0</v>
      </c>
    </row>
    <row r="45" spans="2:26" ht="25.5">
      <c r="B45" s="509" t="s">
        <v>259</v>
      </c>
      <c r="C45" s="212"/>
      <c r="D45" s="212"/>
      <c r="E45" s="212">
        <v>3048</v>
      </c>
      <c r="F45" s="506">
        <f t="shared" si="15"/>
        <v>3048</v>
      </c>
      <c r="G45" s="506"/>
      <c r="H45" s="506"/>
      <c r="I45" s="506"/>
      <c r="J45" s="506"/>
      <c r="K45" s="507">
        <f t="shared" si="16"/>
        <v>3048</v>
      </c>
      <c r="L45" s="304"/>
      <c r="M45" s="299"/>
      <c r="N45" s="299"/>
      <c r="O45" s="299"/>
      <c r="P45" s="304"/>
      <c r="Q45" s="299"/>
      <c r="R45" s="299">
        <f>3048-1403</f>
        <v>1645</v>
      </c>
      <c r="S45" s="299"/>
      <c r="T45" s="299"/>
      <c r="U45" s="299"/>
      <c r="V45" s="299"/>
      <c r="W45" s="299"/>
      <c r="X45" s="300">
        <v>1403</v>
      </c>
      <c r="Y45" s="306">
        <f t="shared" si="17"/>
        <v>3048</v>
      </c>
      <c r="Z45" s="694">
        <f t="shared" si="14"/>
        <v>0</v>
      </c>
    </row>
    <row r="46" spans="2:26" ht="38.25">
      <c r="B46" s="509" t="s">
        <v>260</v>
      </c>
      <c r="C46" s="212">
        <v>22976</v>
      </c>
      <c r="D46" s="212">
        <v>6219</v>
      </c>
      <c r="E46" s="212">
        <v>15794</v>
      </c>
      <c r="F46" s="506">
        <f t="shared" si="15"/>
        <v>44989</v>
      </c>
      <c r="G46" s="506"/>
      <c r="H46" s="506"/>
      <c r="I46" s="506"/>
      <c r="J46" s="506"/>
      <c r="K46" s="507">
        <f t="shared" si="16"/>
        <v>44989</v>
      </c>
      <c r="L46" s="304"/>
      <c r="M46" s="299"/>
      <c r="N46" s="299"/>
      <c r="O46" s="299"/>
      <c r="P46" s="334">
        <f>55854-36902+16243</f>
        <v>35195</v>
      </c>
      <c r="Q46" s="299"/>
      <c r="R46" s="299">
        <f>9794</f>
        <v>9794</v>
      </c>
      <c r="S46" s="299"/>
      <c r="T46" s="299"/>
      <c r="U46" s="299"/>
      <c r="V46" s="299"/>
      <c r="W46" s="299"/>
      <c r="X46" s="300"/>
      <c r="Y46" s="306">
        <f t="shared" si="17"/>
        <v>44989</v>
      </c>
      <c r="Z46" s="694">
        <f t="shared" si="14"/>
        <v>0</v>
      </c>
    </row>
    <row r="47" spans="2:26" ht="12.75">
      <c r="B47" s="336" t="s">
        <v>261</v>
      </c>
      <c r="C47" s="212"/>
      <c r="D47" s="212"/>
      <c r="E47" s="212">
        <v>31284</v>
      </c>
      <c r="F47" s="506">
        <f t="shared" si="15"/>
        <v>31284</v>
      </c>
      <c r="G47" s="506"/>
      <c r="H47" s="506"/>
      <c r="I47" s="506"/>
      <c r="J47" s="506"/>
      <c r="K47" s="507">
        <f t="shared" si="16"/>
        <v>31284</v>
      </c>
      <c r="L47" s="304"/>
      <c r="M47" s="299"/>
      <c r="N47" s="299"/>
      <c r="O47" s="299"/>
      <c r="P47" s="334">
        <v>20985</v>
      </c>
      <c r="Q47" s="299"/>
      <c r="R47" s="299">
        <f>10299-8033+7223</f>
        <v>9489</v>
      </c>
      <c r="S47" s="299"/>
      <c r="T47" s="299"/>
      <c r="U47" s="299"/>
      <c r="V47" s="299"/>
      <c r="W47" s="299"/>
      <c r="X47" s="300">
        <v>810</v>
      </c>
      <c r="Y47" s="306">
        <f t="shared" si="17"/>
        <v>31284</v>
      </c>
      <c r="Z47" s="694">
        <f t="shared" si="14"/>
        <v>0</v>
      </c>
    </row>
    <row r="48" spans="2:26" ht="38.25">
      <c r="B48" s="509" t="s">
        <v>262</v>
      </c>
      <c r="C48" s="212"/>
      <c r="D48" s="212"/>
      <c r="E48" s="212">
        <v>19</v>
      </c>
      <c r="F48" s="506">
        <f t="shared" si="15"/>
        <v>19</v>
      </c>
      <c r="G48" s="506"/>
      <c r="H48" s="506"/>
      <c r="I48" s="506"/>
      <c r="J48" s="506"/>
      <c r="K48" s="507">
        <f t="shared" si="16"/>
        <v>19</v>
      </c>
      <c r="L48" s="510">
        <v>2159</v>
      </c>
      <c r="M48" s="299"/>
      <c r="N48" s="299"/>
      <c r="O48" s="299"/>
      <c r="P48" s="304"/>
      <c r="Q48" s="299"/>
      <c r="R48" s="299"/>
      <c r="S48" s="299"/>
      <c r="T48" s="299"/>
      <c r="U48" s="299"/>
      <c r="V48" s="299"/>
      <c r="W48" s="299"/>
      <c r="X48" s="300">
        <v>-2140</v>
      </c>
      <c r="Y48" s="306">
        <f t="shared" si="17"/>
        <v>19</v>
      </c>
      <c r="Z48" s="694">
        <f t="shared" si="14"/>
        <v>0</v>
      </c>
    </row>
    <row r="49" spans="2:26" ht="38.25">
      <c r="B49" s="509" t="s">
        <v>263</v>
      </c>
      <c r="C49" s="212">
        <v>3077</v>
      </c>
      <c r="D49" s="212">
        <v>825</v>
      </c>
      <c r="E49" s="212">
        <v>4389</v>
      </c>
      <c r="F49" s="506">
        <f t="shared" si="15"/>
        <v>8291</v>
      </c>
      <c r="G49" s="506"/>
      <c r="H49" s="506"/>
      <c r="I49" s="506"/>
      <c r="J49" s="506"/>
      <c r="K49" s="507">
        <f t="shared" si="16"/>
        <v>8291</v>
      </c>
      <c r="L49" s="304"/>
      <c r="M49" s="299"/>
      <c r="N49" s="299"/>
      <c r="O49" s="299"/>
      <c r="P49" s="304"/>
      <c r="Q49" s="299"/>
      <c r="R49" s="299">
        <v>8291</v>
      </c>
      <c r="S49" s="299"/>
      <c r="T49" s="299"/>
      <c r="U49" s="299"/>
      <c r="V49" s="299"/>
      <c r="W49" s="299"/>
      <c r="X49" s="300"/>
      <c r="Y49" s="306">
        <f t="shared" si="17"/>
        <v>8291</v>
      </c>
      <c r="Z49" s="694">
        <f t="shared" si="14"/>
        <v>0</v>
      </c>
    </row>
    <row r="50" spans="2:26" ht="26.25" thickBot="1">
      <c r="B50" s="509" t="s">
        <v>264</v>
      </c>
      <c r="C50" s="212"/>
      <c r="D50" s="212"/>
      <c r="E50" s="212">
        <v>311</v>
      </c>
      <c r="F50" s="506">
        <f t="shared" si="15"/>
        <v>311</v>
      </c>
      <c r="G50" s="506"/>
      <c r="H50" s="506"/>
      <c r="I50" s="506"/>
      <c r="J50" s="506"/>
      <c r="K50" s="507">
        <f t="shared" si="16"/>
        <v>311</v>
      </c>
      <c r="L50" s="699">
        <v>381</v>
      </c>
      <c r="M50" s="299"/>
      <c r="N50" s="299"/>
      <c r="O50" s="299"/>
      <c r="P50" s="599">
        <v>100</v>
      </c>
      <c r="Q50" s="299"/>
      <c r="R50" s="299"/>
      <c r="S50" s="299"/>
      <c r="T50" s="299"/>
      <c r="U50" s="299"/>
      <c r="V50" s="299"/>
      <c r="W50" s="299"/>
      <c r="X50" s="600">
        <v>-170</v>
      </c>
      <c r="Y50" s="306">
        <f t="shared" si="17"/>
        <v>311</v>
      </c>
      <c r="Z50" s="694">
        <f t="shared" si="14"/>
        <v>0</v>
      </c>
    </row>
    <row r="51" spans="2:26" ht="13.5" thickBot="1">
      <c r="B51" s="511" t="s">
        <v>252</v>
      </c>
      <c r="C51" s="512">
        <f>SUM(C38:C50)</f>
        <v>43563</v>
      </c>
      <c r="D51" s="512">
        <f>SUM(D38:D50)</f>
        <v>11772</v>
      </c>
      <c r="E51" s="512">
        <f aca="true" t="shared" si="18" ref="E51:J51">SUM(E38:E50)</f>
        <v>163632</v>
      </c>
      <c r="F51" s="512">
        <f>SUM(F38:F50)</f>
        <v>218967</v>
      </c>
      <c r="G51" s="512">
        <f t="shared" si="18"/>
        <v>0</v>
      </c>
      <c r="H51" s="512">
        <f t="shared" si="18"/>
        <v>0</v>
      </c>
      <c r="I51" s="512">
        <f t="shared" si="18"/>
        <v>0</v>
      </c>
      <c r="J51" s="512">
        <f t="shared" si="18"/>
        <v>519</v>
      </c>
      <c r="K51" s="698">
        <f aca="true" t="shared" si="19" ref="K51:Q51">SUM(K38:K50)</f>
        <v>219486</v>
      </c>
      <c r="L51" s="601">
        <f t="shared" si="19"/>
        <v>85768</v>
      </c>
      <c r="M51" s="602">
        <f t="shared" si="19"/>
        <v>0</v>
      </c>
      <c r="N51" s="602">
        <f t="shared" si="19"/>
        <v>0</v>
      </c>
      <c r="O51" s="603">
        <f t="shared" si="19"/>
        <v>27490</v>
      </c>
      <c r="P51" s="602">
        <f t="shared" si="19"/>
        <v>72388</v>
      </c>
      <c r="Q51" s="602">
        <f t="shared" si="19"/>
        <v>900</v>
      </c>
      <c r="R51" s="602">
        <f aca="true" t="shared" si="20" ref="R51:W51">SUM(R38:R50)</f>
        <v>31585</v>
      </c>
      <c r="S51" s="602">
        <f t="shared" si="20"/>
        <v>0</v>
      </c>
      <c r="T51" s="602">
        <f t="shared" si="20"/>
        <v>0</v>
      </c>
      <c r="U51" s="602">
        <f t="shared" si="20"/>
        <v>0</v>
      </c>
      <c r="V51" s="602">
        <f t="shared" si="20"/>
        <v>0</v>
      </c>
      <c r="W51" s="602">
        <f t="shared" si="20"/>
        <v>1355</v>
      </c>
      <c r="X51" s="603">
        <f>SUM(X38:X50)</f>
        <v>0</v>
      </c>
      <c r="Y51" s="695">
        <f>SUM(Y38:Y50)</f>
        <v>219486</v>
      </c>
      <c r="Z51" s="694">
        <f>+K51-Y51</f>
        <v>0</v>
      </c>
    </row>
    <row r="52" spans="2:26" ht="0.75" customHeight="1" thickBot="1">
      <c r="B52" s="247"/>
      <c r="C52" s="247">
        <f>+4_mell!D7</f>
        <v>43563</v>
      </c>
      <c r="D52" s="247">
        <f>+4_mell!E7</f>
        <v>11772</v>
      </c>
      <c r="E52" s="211">
        <f>+4_mell!F7</f>
        <v>163632</v>
      </c>
      <c r="F52" s="247">
        <f>SUM(C51:E51)</f>
        <v>218967</v>
      </c>
      <c r="G52" s="247"/>
      <c r="H52" s="247"/>
      <c r="I52" s="247"/>
      <c r="J52" s="247"/>
      <c r="K52" s="247">
        <f>+4_mell!M7</f>
        <v>219486</v>
      </c>
      <c r="L52" s="208">
        <f>+3_mell!D8</f>
        <v>85768</v>
      </c>
      <c r="O52" s="208">
        <f>+3_mell!G8</f>
        <v>27490</v>
      </c>
      <c r="R52" s="211"/>
      <c r="Z52" s="211"/>
    </row>
    <row r="53" spans="2:15" ht="13.5" hidden="1" thickBot="1">
      <c r="B53" s="247"/>
      <c r="C53" s="247">
        <f>+C52-C51</f>
        <v>0</v>
      </c>
      <c r="D53" s="247">
        <f aca="true" t="shared" si="21" ref="D53:O53">+D52-D51</f>
        <v>0</v>
      </c>
      <c r="E53" s="247">
        <f t="shared" si="21"/>
        <v>0</v>
      </c>
      <c r="F53" s="247">
        <f t="shared" si="21"/>
        <v>0</v>
      </c>
      <c r="G53" s="247">
        <f t="shared" si="21"/>
        <v>0</v>
      </c>
      <c r="H53" s="247">
        <f t="shared" si="21"/>
        <v>0</v>
      </c>
      <c r="I53" s="247">
        <f t="shared" si="21"/>
        <v>0</v>
      </c>
      <c r="J53" s="247">
        <f t="shared" si="21"/>
        <v>-519</v>
      </c>
      <c r="K53" s="247">
        <f t="shared" si="21"/>
        <v>0</v>
      </c>
      <c r="L53" s="247">
        <f t="shared" si="21"/>
        <v>0</v>
      </c>
      <c r="M53" s="247">
        <f t="shared" si="21"/>
        <v>0</v>
      </c>
      <c r="N53" s="247">
        <f t="shared" si="21"/>
        <v>0</v>
      </c>
      <c r="O53" s="247">
        <f t="shared" si="21"/>
        <v>0</v>
      </c>
    </row>
    <row r="54" spans="2:25" ht="13.5" thickBot="1">
      <c r="B54" s="249" t="s">
        <v>296</v>
      </c>
      <c r="C54" s="735" t="s">
        <v>174</v>
      </c>
      <c r="D54" s="736"/>
      <c r="E54" s="736"/>
      <c r="F54" s="736"/>
      <c r="G54" s="736"/>
      <c r="H54" s="736"/>
      <c r="I54" s="736"/>
      <c r="J54" s="736"/>
      <c r="K54" s="737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7"/>
    </row>
    <row r="55" spans="2:25" ht="13.5" thickBot="1">
      <c r="B55" s="313"/>
      <c r="C55" s="687"/>
      <c r="D55" s="688"/>
      <c r="E55" s="688"/>
      <c r="F55" s="688"/>
      <c r="G55" s="688"/>
      <c r="H55" s="688"/>
      <c r="I55" s="688"/>
      <c r="J55" s="688"/>
      <c r="K55" s="689"/>
      <c r="L55" s="688"/>
      <c r="M55" s="688"/>
      <c r="N55" s="495"/>
      <c r="O55" s="299"/>
      <c r="P55" s="738" t="s">
        <v>281</v>
      </c>
      <c r="Q55" s="739"/>
      <c r="R55" s="739"/>
      <c r="S55" s="739"/>
      <c r="T55" s="739"/>
      <c r="U55" s="739"/>
      <c r="V55" s="739"/>
      <c r="W55" s="739"/>
      <c r="X55" s="740"/>
      <c r="Y55" s="327"/>
    </row>
    <row r="56" spans="2:25" s="244" customFormat="1" ht="77.25" thickBot="1">
      <c r="B56" s="692" t="s">
        <v>72</v>
      </c>
      <c r="C56" s="459" t="s">
        <v>56</v>
      </c>
      <c r="D56" s="496" t="s">
        <v>234</v>
      </c>
      <c r="E56" s="496" t="s">
        <v>235</v>
      </c>
      <c r="F56" s="496" t="s">
        <v>61</v>
      </c>
      <c r="G56" s="324" t="s">
        <v>277</v>
      </c>
      <c r="H56" s="324" t="s">
        <v>278</v>
      </c>
      <c r="I56" s="324" t="s">
        <v>62</v>
      </c>
      <c r="J56" s="324" t="s">
        <v>9</v>
      </c>
      <c r="K56" s="693" t="s">
        <v>279</v>
      </c>
      <c r="L56" s="496" t="s">
        <v>250</v>
      </c>
      <c r="M56" s="496" t="s">
        <v>249</v>
      </c>
      <c r="N56" s="324" t="s">
        <v>480</v>
      </c>
      <c r="O56" s="324" t="s">
        <v>248</v>
      </c>
      <c r="P56" s="459" t="s">
        <v>265</v>
      </c>
      <c r="Q56" s="326" t="s">
        <v>289</v>
      </c>
      <c r="R56" s="325" t="s">
        <v>290</v>
      </c>
      <c r="S56" s="326" t="s">
        <v>291</v>
      </c>
      <c r="T56" s="325" t="s">
        <v>293</v>
      </c>
      <c r="U56" s="326" t="s">
        <v>294</v>
      </c>
      <c r="V56" s="326" t="s">
        <v>498</v>
      </c>
      <c r="W56" s="326" t="s">
        <v>8</v>
      </c>
      <c r="X56" s="333" t="s">
        <v>292</v>
      </c>
      <c r="Y56" s="323" t="s">
        <v>295</v>
      </c>
    </row>
    <row r="57" spans="2:25" ht="12.75">
      <c r="B57" s="354"/>
      <c r="C57" s="351"/>
      <c r="D57" s="346"/>
      <c r="E57" s="515"/>
      <c r="F57" s="346"/>
      <c r="G57" s="346"/>
      <c r="H57" s="346"/>
      <c r="I57" s="346"/>
      <c r="J57" s="346"/>
      <c r="K57" s="690"/>
      <c r="L57" s="299"/>
      <c r="M57" s="299"/>
      <c r="N57" s="299"/>
      <c r="O57" s="299"/>
      <c r="P57" s="304"/>
      <c r="Q57" s="299"/>
      <c r="R57" s="299"/>
      <c r="S57" s="299"/>
      <c r="T57" s="299"/>
      <c r="U57" s="299"/>
      <c r="V57" s="299"/>
      <c r="W57" s="299"/>
      <c r="X57" s="691"/>
      <c r="Y57" s="352"/>
    </row>
    <row r="58" spans="2:25" ht="12.75">
      <c r="B58" s="315"/>
      <c r="C58" s="500"/>
      <c r="D58" s="498"/>
      <c r="E58" s="498"/>
      <c r="F58" s="498"/>
      <c r="G58" s="301"/>
      <c r="H58" s="301"/>
      <c r="I58" s="301"/>
      <c r="J58" s="301"/>
      <c r="K58" s="514"/>
      <c r="L58" s="498"/>
      <c r="M58" s="498"/>
      <c r="N58" s="498"/>
      <c r="O58" s="301"/>
      <c r="P58" s="500"/>
      <c r="Q58" s="302"/>
      <c r="R58" s="302"/>
      <c r="S58" s="302"/>
      <c r="T58" s="302"/>
      <c r="U58" s="302"/>
      <c r="V58" s="302"/>
      <c r="W58" s="302"/>
      <c r="X58" s="337"/>
      <c r="Y58" s="352"/>
    </row>
    <row r="59" spans="2:26" ht="25.5">
      <c r="B59" s="509" t="s">
        <v>274</v>
      </c>
      <c r="C59" s="516">
        <f>+4_mell!D31</f>
        <v>107459</v>
      </c>
      <c r="D59" s="515">
        <f>+4_mell!E31</f>
        <v>28787</v>
      </c>
      <c r="E59" s="515">
        <f>+4_mell!F31</f>
        <v>41226</v>
      </c>
      <c r="F59" s="515">
        <f>SUM(C59:E59)</f>
        <v>177472</v>
      </c>
      <c r="G59" s="515"/>
      <c r="H59" s="515"/>
      <c r="J59" s="515"/>
      <c r="K59" s="517">
        <f>SUM(F59:J59)</f>
        <v>177472</v>
      </c>
      <c r="L59" s="515">
        <f>+3_mell!D27</f>
        <v>2100</v>
      </c>
      <c r="M59" s="299"/>
      <c r="N59" s="299"/>
      <c r="O59" s="305">
        <f>+3_mell!F28+3_mell!G28</f>
        <v>7436</v>
      </c>
      <c r="P59" s="334">
        <f>93478+279+151+41</f>
        <v>93949</v>
      </c>
      <c r="Q59" s="305">
        <v>4272</v>
      </c>
      <c r="R59" s="305">
        <f>67857-279-1650-261+2137-13206</f>
        <v>54598</v>
      </c>
      <c r="S59" s="305"/>
      <c r="T59" s="299"/>
      <c r="U59" s="299"/>
      <c r="V59" s="299">
        <f>1650+13206</f>
        <v>14856</v>
      </c>
      <c r="W59" s="299">
        <v>261</v>
      </c>
      <c r="X59" s="355"/>
      <c r="Y59" s="353">
        <f>SUM(L59:X59)</f>
        <v>177472</v>
      </c>
      <c r="Z59" s="211">
        <f>+K59-Y59</f>
        <v>0</v>
      </c>
    </row>
    <row r="60" spans="2:26" ht="12.75">
      <c r="B60" s="509" t="s">
        <v>283</v>
      </c>
      <c r="C60" s="516"/>
      <c r="D60" s="515"/>
      <c r="E60" s="515"/>
      <c r="F60" s="515">
        <f>SUM(C60:E60)</f>
        <v>0</v>
      </c>
      <c r="G60" s="515"/>
      <c r="H60" s="515"/>
      <c r="I60" s="515">
        <f>+4_mell!I31</f>
        <v>113225</v>
      </c>
      <c r="J60" s="515"/>
      <c r="K60" s="517">
        <f>SUM(F60:J60)</f>
        <v>113225</v>
      </c>
      <c r="L60" s="515"/>
      <c r="M60" s="299"/>
      <c r="N60" s="299"/>
      <c r="O60" s="305">
        <v>0</v>
      </c>
      <c r="P60" s="334">
        <f>+1_mell!F36</f>
        <v>59008</v>
      </c>
      <c r="Q60" s="305"/>
      <c r="R60" s="305">
        <v>54217</v>
      </c>
      <c r="S60" s="305"/>
      <c r="T60" s="299"/>
      <c r="U60" s="299"/>
      <c r="V60" s="299"/>
      <c r="W60" s="299"/>
      <c r="X60" s="300"/>
      <c r="Y60" s="353">
        <f>SUM(L60:X60)</f>
        <v>113225</v>
      </c>
      <c r="Z60" s="211">
        <f>+K60-Y60</f>
        <v>0</v>
      </c>
    </row>
    <row r="61" spans="2:26" s="245" customFormat="1" ht="12.75">
      <c r="B61" s="354" t="s">
        <v>280</v>
      </c>
      <c r="C61" s="351">
        <f>SUM(C59:C60)</f>
        <v>107459</v>
      </c>
      <c r="D61" s="346">
        <f aca="true" t="shared" si="22" ref="D61:K61">SUM(D59:D60)</f>
        <v>28787</v>
      </c>
      <c r="E61" s="346">
        <f t="shared" si="22"/>
        <v>41226</v>
      </c>
      <c r="F61" s="346">
        <f t="shared" si="22"/>
        <v>177472</v>
      </c>
      <c r="G61" s="346">
        <f t="shared" si="22"/>
        <v>0</v>
      </c>
      <c r="H61" s="346">
        <f t="shared" si="22"/>
        <v>0</v>
      </c>
      <c r="I61" s="346">
        <f>SUM(I60:I60)</f>
        <v>113225</v>
      </c>
      <c r="J61" s="346">
        <f t="shared" si="22"/>
        <v>0</v>
      </c>
      <c r="K61" s="347">
        <f t="shared" si="22"/>
        <v>290697</v>
      </c>
      <c r="L61" s="346">
        <f>SUM(L59:L60)</f>
        <v>2100</v>
      </c>
      <c r="M61" s="346">
        <f aca="true" t="shared" si="23" ref="M61:U61">SUM(M59:M60)</f>
        <v>0</v>
      </c>
      <c r="N61" s="346"/>
      <c r="O61" s="346">
        <f t="shared" si="23"/>
        <v>7436</v>
      </c>
      <c r="P61" s="351">
        <f>SUM(P59:P60)</f>
        <v>152957</v>
      </c>
      <c r="Q61" s="346">
        <f t="shared" si="23"/>
        <v>4272</v>
      </c>
      <c r="R61" s="346">
        <f t="shared" si="23"/>
        <v>108815</v>
      </c>
      <c r="S61" s="346">
        <f t="shared" si="23"/>
        <v>0</v>
      </c>
      <c r="T61" s="346">
        <f t="shared" si="23"/>
        <v>0</v>
      </c>
      <c r="U61" s="346">
        <f t="shared" si="23"/>
        <v>0</v>
      </c>
      <c r="V61" s="346">
        <f>SUM(V59:V60)</f>
        <v>14856</v>
      </c>
      <c r="W61" s="346">
        <f>SUM(W59:W60)</f>
        <v>261</v>
      </c>
      <c r="X61" s="347">
        <f>SUM(X59:X60)</f>
        <v>0</v>
      </c>
      <c r="Y61" s="354">
        <f>SUM(Y59:Y60)</f>
        <v>290697</v>
      </c>
      <c r="Z61" s="211">
        <f>+K61-Y61</f>
        <v>0</v>
      </c>
    </row>
    <row r="62" spans="2:26" s="245" customFormat="1" ht="12.75">
      <c r="B62" s="354"/>
      <c r="C62" s="351">
        <f>+4_mell!D31</f>
        <v>107459</v>
      </c>
      <c r="D62" s="346">
        <f>+4_mell!E31</f>
        <v>28787</v>
      </c>
      <c r="E62" s="346">
        <f>+4_mell!F31</f>
        <v>41226</v>
      </c>
      <c r="F62" s="346">
        <f>SUM(C62:E62)</f>
        <v>177472</v>
      </c>
      <c r="G62" s="346"/>
      <c r="H62" s="346"/>
      <c r="I62" s="346">
        <f>+4_mell!I31</f>
        <v>113225</v>
      </c>
      <c r="J62" s="346"/>
      <c r="K62" s="347">
        <f>+4_mell!M31</f>
        <v>290697</v>
      </c>
      <c r="L62" s="346">
        <f>+3_mell!D27</f>
        <v>2100</v>
      </c>
      <c r="M62" s="346"/>
      <c r="N62" s="346"/>
      <c r="O62" s="346">
        <f>+3_mell!F28</f>
        <v>2093</v>
      </c>
      <c r="P62" s="351"/>
      <c r="Q62" s="346"/>
      <c r="R62" s="346"/>
      <c r="S62" s="346"/>
      <c r="T62" s="346"/>
      <c r="U62" s="346"/>
      <c r="V62" s="346"/>
      <c r="W62" s="346"/>
      <c r="X62" s="347"/>
      <c r="Y62" s="328"/>
      <c r="Z62" s="247"/>
    </row>
    <row r="63" spans="2:25" s="245" customFormat="1" ht="12.75">
      <c r="B63" s="328"/>
      <c r="C63" s="351"/>
      <c r="D63" s="346"/>
      <c r="E63" s="346"/>
      <c r="F63" s="346"/>
      <c r="G63" s="346"/>
      <c r="H63" s="346"/>
      <c r="I63" s="346"/>
      <c r="J63" s="346"/>
      <c r="K63" s="347"/>
      <c r="L63" s="346"/>
      <c r="M63" s="346"/>
      <c r="N63" s="346"/>
      <c r="O63" s="346"/>
      <c r="P63" s="351"/>
      <c r="Q63" s="346"/>
      <c r="R63" s="346"/>
      <c r="S63" s="346"/>
      <c r="T63" s="346"/>
      <c r="U63" s="346"/>
      <c r="V63" s="346"/>
      <c r="W63" s="346"/>
      <c r="X63" s="347"/>
      <c r="Y63" s="328"/>
    </row>
    <row r="64" spans="2:25" ht="25.5">
      <c r="B64" s="513" t="s">
        <v>41</v>
      </c>
      <c r="C64" s="500"/>
      <c r="D64" s="498"/>
      <c r="E64" s="498"/>
      <c r="F64" s="498"/>
      <c r="G64" s="301"/>
      <c r="H64" s="301"/>
      <c r="I64" s="301"/>
      <c r="J64" s="301"/>
      <c r="K64" s="514"/>
      <c r="L64" s="498"/>
      <c r="M64" s="498"/>
      <c r="N64" s="498"/>
      <c r="O64" s="301"/>
      <c r="P64" s="500"/>
      <c r="Q64" s="302"/>
      <c r="R64" s="302"/>
      <c r="S64" s="302"/>
      <c r="T64" s="302"/>
      <c r="U64" s="302"/>
      <c r="V64" s="302"/>
      <c r="W64" s="302"/>
      <c r="X64" s="337"/>
      <c r="Y64" s="352"/>
    </row>
    <row r="65" spans="2:26" ht="25.5">
      <c r="B65" s="350" t="s">
        <v>41</v>
      </c>
      <c r="C65" s="606">
        <f>+'11_mell'!C28-'11_mell'!C15-'11_mell'!C16-'11_mell'!C19</f>
        <v>1620</v>
      </c>
      <c r="D65" s="607">
        <f>+'11_mell'!D28-'11_mell'!D15-'11_mell'!D16-'11_mell'!D19</f>
        <v>394</v>
      </c>
      <c r="E65" s="607">
        <f>+'11_mell'!E28-'11_mell'!E15-'11_mell'!E16-'11_mell'!E19</f>
        <v>34956</v>
      </c>
      <c r="F65" s="348">
        <f>SUM(C65:E65)</f>
        <v>36970</v>
      </c>
      <c r="G65" s="213">
        <f>+'11_mell'!H28</f>
        <v>61638</v>
      </c>
      <c r="H65" s="213">
        <f>+'11_mell'!I18</f>
        <v>4000</v>
      </c>
      <c r="I65" s="213">
        <f>+'11_mell'!G28</f>
        <v>5114</v>
      </c>
      <c r="J65" s="213">
        <f>+'11_mell'!F24</f>
        <v>70513</v>
      </c>
      <c r="K65" s="345">
        <f>SUM(F65:J65)</f>
        <v>178235</v>
      </c>
      <c r="L65" s="299">
        <f>+3_mell!D22</f>
        <v>500</v>
      </c>
      <c r="M65" s="299"/>
      <c r="N65" s="305">
        <f>+3_mell!H23-1_mell!F73</f>
        <v>26212</v>
      </c>
      <c r="O65" s="305">
        <f>+3_mell!F23-1_mell!F48-1_mell!F43-1_mell!F44</f>
        <v>55477</v>
      </c>
      <c r="P65" s="334">
        <f>24129+7175+1010+15510</f>
        <v>47824</v>
      </c>
      <c r="Q65" s="305">
        <f>+8_mell!C18-8_mell!C7-4272-900</f>
        <v>46278</v>
      </c>
      <c r="R65" s="305">
        <f>-52905-2016</f>
        <v>-54921</v>
      </c>
      <c r="S65" s="305"/>
      <c r="T65" s="299"/>
      <c r="U65" s="299">
        <v>150</v>
      </c>
      <c r="V65" s="299">
        <f>-7468+1248</f>
        <v>-6220</v>
      </c>
      <c r="W65" s="299">
        <f>+3_mell!E23-12522</f>
        <v>62935</v>
      </c>
      <c r="X65" s="300"/>
      <c r="Y65" s="353">
        <f>SUM(L65:X65)</f>
        <v>178235</v>
      </c>
      <c r="Z65" s="211">
        <f>+Y65-K65</f>
        <v>0</v>
      </c>
    </row>
    <row r="66" spans="2:26" ht="12.75">
      <c r="B66" s="315" t="s">
        <v>275</v>
      </c>
      <c r="C66" s="606">
        <f>+'11_mell'!C15</f>
        <v>1463</v>
      </c>
      <c r="D66" s="607">
        <f>+'11_mell'!D15</f>
        <v>394</v>
      </c>
      <c r="E66" s="686">
        <f>+'11_mell'!E15</f>
        <v>2105</v>
      </c>
      <c r="F66" s="348">
        <f>SUM(C66:E66)</f>
        <v>3962</v>
      </c>
      <c r="G66" s="348"/>
      <c r="H66" s="348"/>
      <c r="I66" s="348"/>
      <c r="J66" s="348"/>
      <c r="K66" s="345">
        <f>SUM(F66:J66)</f>
        <v>3962</v>
      </c>
      <c r="L66" s="299"/>
      <c r="M66" s="299"/>
      <c r="N66" s="299"/>
      <c r="O66" s="305">
        <f>+1_mell!F43+1_mell!F44</f>
        <v>5100</v>
      </c>
      <c r="P66" s="304"/>
      <c r="Q66" s="299"/>
      <c r="R66" s="299"/>
      <c r="S66" s="299"/>
      <c r="T66" s="299"/>
      <c r="U66" s="299"/>
      <c r="V66" s="299">
        <v>-1138</v>
      </c>
      <c r="W66" s="299"/>
      <c r="X66" s="300"/>
      <c r="Y66" s="353">
        <f>SUM(L66:X66)</f>
        <v>3962</v>
      </c>
      <c r="Z66" s="211">
        <f>+Y66-K66</f>
        <v>0</v>
      </c>
    </row>
    <row r="67" spans="2:26" ht="25.5">
      <c r="B67" s="350" t="s">
        <v>276</v>
      </c>
      <c r="C67" s="304"/>
      <c r="D67" s="299"/>
      <c r="E67" s="299">
        <v>507</v>
      </c>
      <c r="F67" s="348">
        <f>SUM(C67:E67)</f>
        <v>507</v>
      </c>
      <c r="G67" s="348"/>
      <c r="H67" s="348"/>
      <c r="I67" s="348"/>
      <c r="J67" s="348"/>
      <c r="K67" s="345">
        <f>SUM(F67:J67)</f>
        <v>507</v>
      </c>
      <c r="L67" s="299"/>
      <c r="M67" s="299"/>
      <c r="N67" s="299"/>
      <c r="O67" s="299"/>
      <c r="P67" s="304"/>
      <c r="Q67" s="299"/>
      <c r="R67" s="299"/>
      <c r="S67" s="299"/>
      <c r="T67" s="299">
        <v>507</v>
      </c>
      <c r="U67" s="299"/>
      <c r="V67" s="299"/>
      <c r="W67" s="299"/>
      <c r="X67" s="300"/>
      <c r="Y67" s="353">
        <f>SUM(L67:X67)</f>
        <v>507</v>
      </c>
      <c r="Z67" s="211">
        <f>+Y67-K67</f>
        <v>0</v>
      </c>
    </row>
    <row r="68" spans="2:26" ht="12.75">
      <c r="B68" s="350" t="s">
        <v>485</v>
      </c>
      <c r="C68" s="334">
        <f>+'11_mell'!C16</f>
        <v>180598</v>
      </c>
      <c r="D68" s="305">
        <f>+'11_mell'!D16</f>
        <v>24377</v>
      </c>
      <c r="E68" s="305">
        <f>+'11_mell'!E16</f>
        <v>11748</v>
      </c>
      <c r="F68" s="348">
        <f>SUM(C68:E68)</f>
        <v>216723</v>
      </c>
      <c r="G68" s="348"/>
      <c r="H68" s="348"/>
      <c r="I68" s="348"/>
      <c r="J68" s="348">
        <v>6094</v>
      </c>
      <c r="K68" s="345">
        <f>SUM(F68:J68)</f>
        <v>222817</v>
      </c>
      <c r="L68" s="299"/>
      <c r="M68" s="299"/>
      <c r="N68" s="305">
        <f>+1_mell!F73</f>
        <v>6094</v>
      </c>
      <c r="O68" s="305">
        <f>+1_mell!F48</f>
        <v>202512</v>
      </c>
      <c r="P68" s="304"/>
      <c r="Q68" s="299"/>
      <c r="R68" s="299"/>
      <c r="S68" s="299"/>
      <c r="T68" s="299"/>
      <c r="U68" s="299"/>
      <c r="V68" s="299">
        <v>1689</v>
      </c>
      <c r="W68" s="299">
        <v>12522</v>
      </c>
      <c r="X68" s="300"/>
      <c r="Y68" s="353">
        <f>SUM(L68:X68)</f>
        <v>222817</v>
      </c>
      <c r="Z68" s="211">
        <f>+Y68-K68</f>
        <v>0</v>
      </c>
    </row>
    <row r="69" spans="2:26" s="245" customFormat="1" ht="12.75">
      <c r="B69" s="354" t="s">
        <v>280</v>
      </c>
      <c r="C69" s="604">
        <f aca="true" t="shared" si="24" ref="C69:L69">SUM(C65:C68)</f>
        <v>183681</v>
      </c>
      <c r="D69" s="605">
        <f t="shared" si="24"/>
        <v>25165</v>
      </c>
      <c r="E69" s="605">
        <f t="shared" si="24"/>
        <v>49316</v>
      </c>
      <c r="F69" s="605">
        <f t="shared" si="24"/>
        <v>258162</v>
      </c>
      <c r="G69" s="605">
        <f t="shared" si="24"/>
        <v>61638</v>
      </c>
      <c r="H69" s="605">
        <f t="shared" si="24"/>
        <v>4000</v>
      </c>
      <c r="I69" s="605">
        <f t="shared" si="24"/>
        <v>5114</v>
      </c>
      <c r="J69" s="595">
        <f t="shared" si="24"/>
        <v>76607</v>
      </c>
      <c r="K69" s="303">
        <f t="shared" si="24"/>
        <v>405521</v>
      </c>
      <c r="L69" s="349">
        <f t="shared" si="24"/>
        <v>500</v>
      </c>
      <c r="M69" s="349">
        <f>SUM(M65:M67)</f>
        <v>0</v>
      </c>
      <c r="N69" s="308">
        <f>SUM(N65:N68)</f>
        <v>32306</v>
      </c>
      <c r="O69" s="308">
        <f>SUM(O65:O68)</f>
        <v>263089</v>
      </c>
      <c r="P69" s="700">
        <f>SUM(P65:P68)</f>
        <v>47824</v>
      </c>
      <c r="Q69" s="308">
        <f>SUM(Q65:Q68)</f>
        <v>46278</v>
      </c>
      <c r="R69" s="308">
        <f aca="true" t="shared" si="25" ref="R69:W69">SUM(R65:R68)</f>
        <v>-54921</v>
      </c>
      <c r="S69" s="308">
        <f t="shared" si="25"/>
        <v>0</v>
      </c>
      <c r="T69" s="308">
        <f t="shared" si="25"/>
        <v>507</v>
      </c>
      <c r="U69" s="308">
        <f t="shared" si="25"/>
        <v>150</v>
      </c>
      <c r="V69" s="308">
        <f t="shared" si="25"/>
        <v>-5669</v>
      </c>
      <c r="W69" s="308">
        <f t="shared" si="25"/>
        <v>75457</v>
      </c>
      <c r="X69" s="308">
        <f>SUM(X65:X68)</f>
        <v>0</v>
      </c>
      <c r="Y69" s="320">
        <f>SUM(Y65:Y68)</f>
        <v>405521</v>
      </c>
      <c r="Z69" s="211">
        <f>+Y69-K69</f>
        <v>0</v>
      </c>
    </row>
    <row r="70" spans="2:26" ht="12.75">
      <c r="B70" s="315"/>
      <c r="C70" s="606">
        <f>+4_mell!D22</f>
        <v>183681</v>
      </c>
      <c r="D70" s="607">
        <f>+4_mell!E22</f>
        <v>25165</v>
      </c>
      <c r="E70" s="607">
        <f>+4_mell!F22</f>
        <v>49316</v>
      </c>
      <c r="F70" s="348">
        <f>SUM(C70:E70)</f>
        <v>258162</v>
      </c>
      <c r="G70" s="305">
        <f>+4_mell!H21</f>
        <v>0</v>
      </c>
      <c r="H70" s="305">
        <f>+4_mell!K21</f>
        <v>3000</v>
      </c>
      <c r="I70" s="305">
        <f>+4_mell!I21</f>
        <v>5114</v>
      </c>
      <c r="J70" s="305">
        <f>+4_mell!L22</f>
        <v>76607</v>
      </c>
      <c r="K70" s="300">
        <f>+4_mell!M22</f>
        <v>405521</v>
      </c>
      <c r="L70" s="299">
        <f>+3_mell!D23</f>
        <v>500</v>
      </c>
      <c r="M70" s="299"/>
      <c r="N70" s="305">
        <f>+3_mell!H23</f>
        <v>32306</v>
      </c>
      <c r="O70" s="305">
        <f>+3_mell!F23</f>
        <v>263089</v>
      </c>
      <c r="P70" s="304"/>
      <c r="Q70" s="299"/>
      <c r="R70" s="299"/>
      <c r="S70" s="299"/>
      <c r="T70" s="299"/>
      <c r="U70" s="299"/>
      <c r="V70" s="299"/>
      <c r="W70" s="299">
        <f>+3_mell!E23</f>
        <v>75457</v>
      </c>
      <c r="X70" s="300"/>
      <c r="Y70" s="352"/>
      <c r="Z70" s="211"/>
    </row>
    <row r="71" spans="2:25" ht="13.5" thickBot="1">
      <c r="B71" s="315"/>
      <c r="C71" s="304"/>
      <c r="D71" s="299"/>
      <c r="E71" s="299"/>
      <c r="F71" s="299"/>
      <c r="G71" s="299"/>
      <c r="H71" s="299"/>
      <c r="I71" s="299"/>
      <c r="J71" s="299"/>
      <c r="K71" s="300"/>
      <c r="L71" s="299"/>
      <c r="M71" s="299"/>
      <c r="N71" s="299"/>
      <c r="O71" s="305">
        <f>+O70-O69</f>
        <v>0</v>
      </c>
      <c r="P71" s="304"/>
      <c r="Q71" s="299"/>
      <c r="R71" s="299"/>
      <c r="S71" s="299"/>
      <c r="T71" s="299"/>
      <c r="U71" s="299"/>
      <c r="V71" s="299"/>
      <c r="W71" s="305">
        <f>+W70-W69</f>
        <v>0</v>
      </c>
      <c r="X71" s="300"/>
      <c r="Y71" s="352"/>
    </row>
    <row r="72" spans="2:25" s="246" customFormat="1" ht="13.5" thickBot="1">
      <c r="B72" s="519" t="s">
        <v>96</v>
      </c>
      <c r="C72" s="520">
        <f aca="true" t="shared" si="26" ref="C72:X72">+C69+C61+C51+C22+C32</f>
        <v>414091</v>
      </c>
      <c r="D72" s="521">
        <f t="shared" si="26"/>
        <v>86959</v>
      </c>
      <c r="E72" s="521">
        <f t="shared" si="26"/>
        <v>314801</v>
      </c>
      <c r="F72" s="521">
        <f t="shared" si="26"/>
        <v>815851</v>
      </c>
      <c r="G72" s="521">
        <f t="shared" si="26"/>
        <v>62092</v>
      </c>
      <c r="H72" s="521">
        <f t="shared" si="26"/>
        <v>4000</v>
      </c>
      <c r="I72" s="521">
        <f t="shared" si="26"/>
        <v>118339</v>
      </c>
      <c r="J72" s="521">
        <f t="shared" si="26"/>
        <v>81876</v>
      </c>
      <c r="K72" s="522">
        <f t="shared" si="26"/>
        <v>1082158</v>
      </c>
      <c r="L72" s="521">
        <f t="shared" si="26"/>
        <v>99471</v>
      </c>
      <c r="M72" s="521">
        <f t="shared" si="26"/>
        <v>32500</v>
      </c>
      <c r="N72" s="521">
        <f t="shared" si="26"/>
        <v>33406</v>
      </c>
      <c r="O72" s="521">
        <f t="shared" si="26"/>
        <v>304670</v>
      </c>
      <c r="P72" s="520">
        <f t="shared" si="26"/>
        <v>313996</v>
      </c>
      <c r="Q72" s="521">
        <f t="shared" si="26"/>
        <v>51450</v>
      </c>
      <c r="R72" s="521">
        <f t="shared" si="26"/>
        <v>145278</v>
      </c>
      <c r="S72" s="521">
        <f t="shared" si="26"/>
        <v>0</v>
      </c>
      <c r="T72" s="521">
        <f t="shared" si="26"/>
        <v>9964</v>
      </c>
      <c r="U72" s="521">
        <f t="shared" si="26"/>
        <v>150</v>
      </c>
      <c r="V72" s="521">
        <f t="shared" si="26"/>
        <v>13316</v>
      </c>
      <c r="W72" s="521">
        <f t="shared" si="26"/>
        <v>77957</v>
      </c>
      <c r="X72" s="522">
        <f t="shared" si="26"/>
        <v>0</v>
      </c>
      <c r="Y72" s="356">
        <f>SUM(L72:X72)</f>
        <v>1082158</v>
      </c>
    </row>
    <row r="73" spans="3:25" ht="12.75">
      <c r="C73" s="208">
        <f>+4_mell!D36</f>
        <v>414091</v>
      </c>
      <c r="D73" s="208">
        <f>+4_mell!E36</f>
        <v>86959</v>
      </c>
      <c r="E73" s="208">
        <f>+4_mell!F36</f>
        <v>314801</v>
      </c>
      <c r="F73" s="209">
        <f>+4_mell!G36</f>
        <v>815851</v>
      </c>
      <c r="G73" s="208">
        <f>+4_mell!H36</f>
        <v>62092</v>
      </c>
      <c r="H73" s="208">
        <f>+4_mell!K36</f>
        <v>4000</v>
      </c>
      <c r="I73" s="208">
        <f>+4_mell!I36</f>
        <v>118339</v>
      </c>
      <c r="J73" s="208">
        <f>+4_mell!L36</f>
        <v>81876</v>
      </c>
      <c r="K73" s="209">
        <f>+4_mell!M36</f>
        <v>1082158</v>
      </c>
      <c r="L73" s="208">
        <f>+3_mell!D33</f>
        <v>99471</v>
      </c>
      <c r="M73" s="209">
        <f>+1_mell!F41</f>
        <v>32500</v>
      </c>
      <c r="N73" s="209">
        <f>+1_mell!F71</f>
        <v>34406</v>
      </c>
      <c r="O73" s="209">
        <f>+1_mell!F40-1_mell!F41</f>
        <v>303670</v>
      </c>
      <c r="P73" s="209">
        <f>+1_mell!F23</f>
        <v>313996</v>
      </c>
      <c r="Q73" s="209">
        <f>+1_mell!F17</f>
        <v>51450</v>
      </c>
      <c r="R73" s="209">
        <f>+1_mell!F11+1_mell!F13+1_mell!F14+1_mell!F15+1_mell!F16</f>
        <v>145278</v>
      </c>
      <c r="T73" s="209">
        <f>+1_mell!F19</f>
        <v>9964</v>
      </c>
      <c r="U73" s="209">
        <f>+1_mell!F77</f>
        <v>150</v>
      </c>
      <c r="V73" s="209">
        <f>+1_mell!F80</f>
        <v>13316</v>
      </c>
      <c r="W73" s="209">
        <f>+1_mell!F82</f>
        <v>77957</v>
      </c>
      <c r="Y73" s="208">
        <f>SUM(L73:X73)</f>
        <v>1082158</v>
      </c>
    </row>
    <row r="75" spans="3:25" ht="12.75">
      <c r="C75" s="211">
        <f>+C73-C72</f>
        <v>0</v>
      </c>
      <c r="D75" s="211">
        <f aca="true" t="shared" si="27" ref="D75:Y75">+D73-D72</f>
        <v>0</v>
      </c>
      <c r="E75" s="211">
        <f t="shared" si="27"/>
        <v>0</v>
      </c>
      <c r="F75" s="211">
        <f t="shared" si="27"/>
        <v>0</v>
      </c>
      <c r="G75" s="211">
        <f t="shared" si="27"/>
        <v>0</v>
      </c>
      <c r="H75" s="211">
        <f t="shared" si="27"/>
        <v>0</v>
      </c>
      <c r="I75" s="211">
        <f t="shared" si="27"/>
        <v>0</v>
      </c>
      <c r="J75" s="211">
        <f t="shared" si="27"/>
        <v>0</v>
      </c>
      <c r="K75" s="211">
        <f t="shared" si="27"/>
        <v>0</v>
      </c>
      <c r="L75" s="211">
        <f t="shared" si="27"/>
        <v>0</v>
      </c>
      <c r="M75" s="211">
        <f t="shared" si="27"/>
        <v>0</v>
      </c>
      <c r="N75" s="211">
        <f t="shared" si="27"/>
        <v>1000</v>
      </c>
      <c r="O75" s="211">
        <f t="shared" si="27"/>
        <v>-1000</v>
      </c>
      <c r="P75" s="211">
        <f t="shared" si="27"/>
        <v>0</v>
      </c>
      <c r="Q75" s="211">
        <f t="shared" si="27"/>
        <v>0</v>
      </c>
      <c r="R75" s="211">
        <f t="shared" si="27"/>
        <v>0</v>
      </c>
      <c r="S75" s="211">
        <f t="shared" si="27"/>
        <v>0</v>
      </c>
      <c r="T75" s="211">
        <f t="shared" si="27"/>
        <v>0</v>
      </c>
      <c r="U75" s="211">
        <f t="shared" si="27"/>
        <v>0</v>
      </c>
      <c r="V75" s="211">
        <f t="shared" si="27"/>
        <v>0</v>
      </c>
      <c r="W75" s="211">
        <f t="shared" si="27"/>
        <v>0</v>
      </c>
      <c r="X75" s="211">
        <f t="shared" si="27"/>
        <v>0</v>
      </c>
      <c r="Y75" s="211">
        <f t="shared" si="27"/>
        <v>0</v>
      </c>
    </row>
  </sheetData>
  <sheetProtection/>
  <mergeCells count="9">
    <mergeCell ref="P5:X5"/>
    <mergeCell ref="C4:K4"/>
    <mergeCell ref="L4:Y4"/>
    <mergeCell ref="C35:K35"/>
    <mergeCell ref="L35:Y35"/>
    <mergeCell ref="P36:X36"/>
    <mergeCell ref="C54:K54"/>
    <mergeCell ref="L54:Y54"/>
    <mergeCell ref="P55:X5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4" r:id="rId1"/>
  <headerFooter alignWithMargins="0">
    <oddHeader>&amp;L12. melléklet a 2014. évi 10/2014.(VI.27.) Önkormányzati költségvetési rendelethez&amp;R&amp;D</oddHeader>
    <oddFooter>&amp;R&amp;F</oddFooter>
  </headerFooter>
  <rowBreaks count="2" manualBreakCount="2">
    <brk id="34" max="21" man="1"/>
    <brk id="5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40">
      <selection activeCell="N72" sqref="N72"/>
    </sheetView>
  </sheetViews>
  <sheetFormatPr defaultColWidth="9.140625" defaultRowHeight="12.75"/>
  <cols>
    <col min="1" max="1" width="3.57421875" style="49" customWidth="1"/>
    <col min="2" max="2" width="23.7109375" style="49" customWidth="1"/>
    <col min="3" max="3" width="9.140625" style="49" customWidth="1"/>
    <col min="4" max="4" width="11.28125" style="49" bestFit="1" customWidth="1"/>
    <col min="5" max="5" width="10.28125" style="49" bestFit="1" customWidth="1"/>
    <col min="6" max="6" width="10.8515625" style="49" customWidth="1"/>
    <col min="7" max="7" width="12.7109375" style="48" customWidth="1"/>
    <col min="8" max="8" width="10.57421875" style="48" customWidth="1"/>
    <col min="9" max="16384" width="9.140625" style="49" customWidth="1"/>
  </cols>
  <sheetData>
    <row r="1" spans="1:9" ht="12.75">
      <c r="A1" s="399" t="s">
        <v>233</v>
      </c>
      <c r="I1" s="518"/>
    </row>
    <row r="2" spans="1:9" ht="12.75">
      <c r="A2" s="399" t="s">
        <v>426</v>
      </c>
      <c r="I2" s="518"/>
    </row>
    <row r="3" ht="12.75">
      <c r="I3" s="518"/>
    </row>
    <row r="4" spans="1:12" ht="12.75">
      <c r="A4" s="117"/>
      <c r="B4" s="118"/>
      <c r="C4" s="119"/>
      <c r="D4" s="713" t="s">
        <v>427</v>
      </c>
      <c r="E4" s="713"/>
      <c r="F4" s="119"/>
      <c r="G4" s="153"/>
      <c r="H4" s="153"/>
      <c r="I4" s="518"/>
      <c r="J4" s="120"/>
      <c r="K4" s="120"/>
      <c r="L4" s="120"/>
    </row>
    <row r="5" spans="1:12" ht="12.75">
      <c r="A5" s="117"/>
      <c r="B5" s="118"/>
      <c r="C5" s="119"/>
      <c r="E5" s="119"/>
      <c r="F5" s="119"/>
      <c r="G5" s="153"/>
      <c r="H5" s="153"/>
      <c r="I5" s="518"/>
      <c r="J5" s="120"/>
      <c r="K5" s="120"/>
      <c r="L5" s="120"/>
    </row>
    <row r="6" spans="1:12" ht="15">
      <c r="A6" s="120"/>
      <c r="B6" s="120"/>
      <c r="C6" s="746" t="s">
        <v>175</v>
      </c>
      <c r="D6" s="746"/>
      <c r="E6" s="746"/>
      <c r="F6" s="746"/>
      <c r="G6" s="444"/>
      <c r="H6" s="445"/>
      <c r="I6" s="518"/>
      <c r="J6" s="120"/>
      <c r="K6" s="120"/>
      <c r="L6" s="120"/>
    </row>
    <row r="7" spans="1:12" ht="12.75">
      <c r="A7" s="121"/>
      <c r="B7" s="121"/>
      <c r="C7" s="121"/>
      <c r="D7" s="121"/>
      <c r="E7" s="121"/>
      <c r="F7" s="121"/>
      <c r="G7" s="445"/>
      <c r="H7" s="445"/>
      <c r="I7" s="518"/>
      <c r="J7" s="120"/>
      <c r="K7" s="120"/>
      <c r="L7" s="120"/>
    </row>
    <row r="8" spans="1:12" ht="15">
      <c r="A8" s="155" t="s">
        <v>176</v>
      </c>
      <c r="B8" s="121"/>
      <c r="C8" s="121"/>
      <c r="D8" s="121"/>
      <c r="E8" s="121"/>
      <c r="F8" s="121"/>
      <c r="G8" s="445"/>
      <c r="H8" s="445"/>
      <c r="I8" s="518"/>
      <c r="J8" s="120"/>
      <c r="K8" s="120"/>
      <c r="L8" s="120"/>
    </row>
    <row r="9" spans="1:12" ht="18.75" customHeight="1">
      <c r="A9" s="121"/>
      <c r="B9" s="121" t="s">
        <v>3</v>
      </c>
      <c r="C9" s="121"/>
      <c r="D9" s="121"/>
      <c r="E9" s="121"/>
      <c r="F9" s="121"/>
      <c r="G9" s="445">
        <v>8000000</v>
      </c>
      <c r="H9" s="445"/>
      <c r="I9" s="518"/>
      <c r="J9" s="120"/>
      <c r="K9" s="120"/>
      <c r="L9" s="120"/>
    </row>
    <row r="10" spans="1:14" ht="12" customHeight="1" thickBot="1">
      <c r="A10" s="121"/>
      <c r="B10" s="121"/>
      <c r="C10" s="121"/>
      <c r="D10" s="121"/>
      <c r="E10" s="121"/>
      <c r="F10" s="121"/>
      <c r="G10" s="445"/>
      <c r="H10" s="445"/>
      <c r="I10" s="518"/>
      <c r="J10" s="518"/>
      <c r="K10" s="518"/>
      <c r="L10" s="518"/>
      <c r="M10" s="357"/>
      <c r="N10" s="357"/>
    </row>
    <row r="11" spans="1:14" ht="15.75" thickBot="1">
      <c r="A11" s="142" t="s">
        <v>149</v>
      </c>
      <c r="B11" s="159"/>
      <c r="C11" s="159"/>
      <c r="D11" s="159"/>
      <c r="E11" s="159"/>
      <c r="F11" s="159"/>
      <c r="G11" s="446">
        <f>SUM(G8:G10)</f>
        <v>8000000</v>
      </c>
      <c r="H11" s="447">
        <f>G11/1000</f>
        <v>8000</v>
      </c>
      <c r="I11" s="518"/>
      <c r="J11" s="518"/>
      <c r="K11" s="518"/>
      <c r="L11" s="518"/>
      <c r="M11" s="357"/>
      <c r="N11" s="357"/>
    </row>
    <row r="12" spans="1:14" ht="12.75">
      <c r="A12" s="125"/>
      <c r="B12" s="125"/>
      <c r="C12" s="125"/>
      <c r="D12" s="125"/>
      <c r="E12" s="125"/>
      <c r="F12" s="125"/>
      <c r="G12" s="448"/>
      <c r="H12" s="448"/>
      <c r="I12" s="518"/>
      <c r="J12" s="518"/>
      <c r="K12" s="518"/>
      <c r="L12" s="518"/>
      <c r="M12" s="357"/>
      <c r="N12" s="357"/>
    </row>
    <row r="13" spans="1:14" ht="15">
      <c r="A13" s="449" t="s">
        <v>177</v>
      </c>
      <c r="B13" s="449"/>
      <c r="C13" s="126"/>
      <c r="D13" s="126"/>
      <c r="E13" s="126"/>
      <c r="F13" s="126"/>
      <c r="G13" s="129"/>
      <c r="H13" s="129"/>
      <c r="I13" s="518"/>
      <c r="J13" s="518"/>
      <c r="K13" s="518"/>
      <c r="L13" s="518"/>
      <c r="M13" s="357"/>
      <c r="N13" s="357"/>
    </row>
    <row r="14" spans="1:14" ht="14.25">
      <c r="A14" s="126"/>
      <c r="B14" s="126"/>
      <c r="C14" s="126"/>
      <c r="D14" s="126"/>
      <c r="E14" s="126"/>
      <c r="F14" s="126"/>
      <c r="G14" s="129"/>
      <c r="H14" s="129"/>
      <c r="I14" s="518"/>
      <c r="J14" s="518"/>
      <c r="K14" s="518"/>
      <c r="L14" s="518"/>
      <c r="M14" s="357"/>
      <c r="N14" s="357"/>
    </row>
    <row r="15" spans="2:14" ht="15">
      <c r="B15" s="127" t="s">
        <v>178</v>
      </c>
      <c r="C15" s="126"/>
      <c r="D15" s="126"/>
      <c r="E15" s="126"/>
      <c r="F15" s="126"/>
      <c r="G15" s="130">
        <f>SUM(F17:F19)</f>
        <v>3085200</v>
      </c>
      <c r="H15" s="130">
        <f>G15/1000</f>
        <v>3085.2</v>
      </c>
      <c r="I15" s="518"/>
      <c r="J15" s="518"/>
      <c r="K15" s="518"/>
      <c r="L15" s="518"/>
      <c r="M15" s="357"/>
      <c r="N15" s="357"/>
    </row>
    <row r="16" spans="1:14" ht="18" customHeight="1">
      <c r="A16" s="128"/>
      <c r="B16" s="126" t="s">
        <v>179</v>
      </c>
      <c r="C16" s="126"/>
      <c r="D16" s="126"/>
      <c r="E16" s="126"/>
      <c r="F16" s="129"/>
      <c r="I16" s="518"/>
      <c r="J16" s="518"/>
      <c r="K16" s="518"/>
      <c r="L16" s="518"/>
      <c r="M16" s="357"/>
      <c r="N16" s="357"/>
    </row>
    <row r="17" spans="1:14" ht="14.25">
      <c r="A17" s="126"/>
      <c r="B17" s="745" t="s">
        <v>428</v>
      </c>
      <c r="C17" s="745"/>
      <c r="D17" s="129">
        <f>97000+33800+93900+32400</f>
        <v>257100</v>
      </c>
      <c r="E17" s="126" t="s">
        <v>180</v>
      </c>
      <c r="F17" s="129">
        <f>D17*1</f>
        <v>257100</v>
      </c>
      <c r="G17" s="131"/>
      <c r="H17" s="129"/>
      <c r="I17" s="518"/>
      <c r="J17" s="518"/>
      <c r="K17" s="518"/>
      <c r="L17" s="518"/>
      <c r="M17" s="357"/>
      <c r="N17" s="357"/>
    </row>
    <row r="18" spans="1:14" ht="14.25">
      <c r="A18" s="126"/>
      <c r="B18" s="747" t="s">
        <v>429</v>
      </c>
      <c r="C18" s="748"/>
      <c r="D18" s="129">
        <f>+'[4]2014 bérek'!J48+'[4]2014 bérek'!J49</f>
        <v>257100</v>
      </c>
      <c r="E18" s="132" t="s">
        <v>181</v>
      </c>
      <c r="F18" s="129">
        <f>D18*11</f>
        <v>2828100</v>
      </c>
      <c r="G18" s="131"/>
      <c r="H18" s="129"/>
      <c r="I18" s="518"/>
      <c r="J18" s="518"/>
      <c r="K18" s="518"/>
      <c r="L18" s="518"/>
      <c r="M18" s="357"/>
      <c r="N18" s="357"/>
    </row>
    <row r="19" spans="1:14" ht="14.25">
      <c r="A19" s="126"/>
      <c r="B19" s="745"/>
      <c r="C19" s="745"/>
      <c r="D19" s="126"/>
      <c r="E19" s="126"/>
      <c r="F19" s="133"/>
      <c r="G19" s="129"/>
      <c r="H19" s="133"/>
      <c r="I19" s="518"/>
      <c r="J19" s="518"/>
      <c r="K19" s="518"/>
      <c r="L19" s="518"/>
      <c r="M19" s="357"/>
      <c r="N19" s="357"/>
    </row>
    <row r="20" spans="2:14" ht="15">
      <c r="B20" s="450" t="s">
        <v>182</v>
      </c>
      <c r="C20" s="450"/>
      <c r="D20" s="132"/>
      <c r="E20" s="132"/>
      <c r="F20" s="133"/>
      <c r="G20" s="134">
        <f>SUM(G21:G21)</f>
        <v>505536</v>
      </c>
      <c r="H20" s="135">
        <f>G20/1000</f>
        <v>505.536</v>
      </c>
      <c r="J20" s="518"/>
      <c r="K20" s="518"/>
      <c r="L20" s="518"/>
      <c r="M20" s="357"/>
      <c r="N20" s="357"/>
    </row>
    <row r="21" spans="1:14" ht="18.75" customHeight="1">
      <c r="A21" s="128"/>
      <c r="B21" s="132" t="s">
        <v>183</v>
      </c>
      <c r="C21" s="132"/>
      <c r="D21" s="132"/>
      <c r="E21" s="132"/>
      <c r="F21" s="133"/>
      <c r="G21" s="135">
        <f>SUM(F22:F23)</f>
        <v>505536</v>
      </c>
      <c r="H21" s="135"/>
      <c r="J21" s="518"/>
      <c r="K21" s="518"/>
      <c r="L21" s="518"/>
      <c r="M21" s="357"/>
      <c r="N21" s="357"/>
    </row>
    <row r="22" spans="1:14" ht="14.25">
      <c r="A22" s="137"/>
      <c r="B22" s="83" t="s">
        <v>430</v>
      </c>
      <c r="C22" s="83"/>
      <c r="D22" s="83"/>
      <c r="E22" s="83"/>
      <c r="F22" s="64">
        <f>22*36*9*12</f>
        <v>85536</v>
      </c>
      <c r="G22" s="131"/>
      <c r="H22" s="64"/>
      <c r="J22" s="518"/>
      <c r="K22" s="518"/>
      <c r="L22" s="518"/>
      <c r="M22" s="357"/>
      <c r="N22" s="357"/>
    </row>
    <row r="23" spans="1:14" ht="14.25">
      <c r="A23" s="126"/>
      <c r="B23" s="136" t="s">
        <v>184</v>
      </c>
      <c r="C23" s="136"/>
      <c r="D23" s="136"/>
      <c r="E23" s="132"/>
      <c r="F23" s="133">
        <v>420000</v>
      </c>
      <c r="G23" s="133"/>
      <c r="H23" s="133"/>
      <c r="J23" s="518"/>
      <c r="K23" s="518"/>
      <c r="L23" s="518"/>
      <c r="M23" s="357"/>
      <c r="N23" s="357"/>
    </row>
    <row r="24" spans="1:14" ht="14.25">
      <c r="A24" s="126"/>
      <c r="B24" s="136"/>
      <c r="C24" s="136"/>
      <c r="D24" s="136"/>
      <c r="E24" s="132"/>
      <c r="F24" s="133"/>
      <c r="G24" s="133"/>
      <c r="H24" s="133"/>
      <c r="J24" s="518"/>
      <c r="K24" s="518"/>
      <c r="L24" s="518"/>
      <c r="M24" s="357"/>
      <c r="N24" s="357"/>
    </row>
    <row r="25" spans="2:14" ht="15">
      <c r="B25" s="128" t="s">
        <v>431</v>
      </c>
      <c r="C25" s="138"/>
      <c r="D25" s="139"/>
      <c r="E25" s="126"/>
      <c r="F25" s="129"/>
      <c r="G25" s="135">
        <f>E27</f>
        <v>960000</v>
      </c>
      <c r="H25" s="140">
        <f>G25/1000</f>
        <v>960</v>
      </c>
      <c r="J25" s="518"/>
      <c r="K25" s="518"/>
      <c r="L25" s="518"/>
      <c r="M25" s="357"/>
      <c r="N25" s="357"/>
    </row>
    <row r="26" spans="1:14" ht="15">
      <c r="A26" s="136"/>
      <c r="B26" s="136" t="s">
        <v>185</v>
      </c>
      <c r="C26" s="136"/>
      <c r="D26" s="132"/>
      <c r="E26" s="141"/>
      <c r="F26" s="132"/>
      <c r="G26" s="134"/>
      <c r="H26" s="133"/>
      <c r="J26" s="518"/>
      <c r="K26" s="518"/>
      <c r="L26" s="518"/>
      <c r="M26" s="357"/>
      <c r="N26" s="357"/>
    </row>
    <row r="27" spans="1:14" ht="12.75" customHeight="1">
      <c r="A27" s="136"/>
      <c r="B27" s="136" t="s">
        <v>186</v>
      </c>
      <c r="C27" s="136"/>
      <c r="D27" s="132"/>
      <c r="E27" s="141">
        <f>80000*12</f>
        <v>960000</v>
      </c>
      <c r="F27" s="132"/>
      <c r="G27" s="131"/>
      <c r="H27" s="133"/>
      <c r="J27" s="518"/>
      <c r="K27" s="518"/>
      <c r="L27" s="518"/>
      <c r="M27" s="357"/>
      <c r="N27" s="357"/>
    </row>
    <row r="28" spans="1:14" ht="13.5" thickBot="1">
      <c r="A28" s="121"/>
      <c r="B28" s="119"/>
      <c r="C28" s="119"/>
      <c r="D28" s="119"/>
      <c r="E28" s="119"/>
      <c r="F28" s="119"/>
      <c r="G28" s="153"/>
      <c r="H28" s="153"/>
      <c r="J28" s="518"/>
      <c r="K28" s="518"/>
      <c r="L28" s="518"/>
      <c r="M28" s="357"/>
      <c r="N28" s="357"/>
    </row>
    <row r="29" spans="1:12" ht="15.75" thickBot="1">
      <c r="A29" s="142" t="s">
        <v>187</v>
      </c>
      <c r="B29" s="143"/>
      <c r="C29" s="143"/>
      <c r="D29" s="143"/>
      <c r="E29" s="143"/>
      <c r="F29" s="143"/>
      <c r="G29" s="144">
        <f>G15+G20+G25</f>
        <v>4550736</v>
      </c>
      <c r="H29" s="358">
        <f>ROUND(G29/1000,0)</f>
        <v>4551</v>
      </c>
      <c r="I29" s="120"/>
      <c r="J29" s="120"/>
      <c r="K29" s="120"/>
      <c r="L29" s="120"/>
    </row>
    <row r="30" spans="1:12" ht="12.75">
      <c r="A30" s="125"/>
      <c r="B30" s="119"/>
      <c r="C30" s="119"/>
      <c r="D30" s="119"/>
      <c r="E30" s="119"/>
      <c r="F30" s="119"/>
      <c r="G30" s="448"/>
      <c r="H30" s="448"/>
      <c r="I30" s="120"/>
      <c r="J30" s="120"/>
      <c r="K30" s="120"/>
      <c r="L30" s="120"/>
    </row>
    <row r="31" spans="1:12" ht="15">
      <c r="A31" s="451" t="s">
        <v>188</v>
      </c>
      <c r="B31" s="146"/>
      <c r="C31" s="146"/>
      <c r="D31" s="146"/>
      <c r="E31" s="146"/>
      <c r="F31" s="146"/>
      <c r="G31" s="148"/>
      <c r="H31" s="452"/>
      <c r="I31" s="120"/>
      <c r="J31" s="120"/>
      <c r="K31" s="120"/>
      <c r="L31" s="120"/>
    </row>
    <row r="32" spans="1:12" ht="15">
      <c r="A32" s="145"/>
      <c r="B32" s="147"/>
      <c r="C32" s="146"/>
      <c r="D32" s="146"/>
      <c r="E32" s="148"/>
      <c r="F32" s="148"/>
      <c r="G32" s="148"/>
      <c r="H32" s="452"/>
      <c r="I32" s="120"/>
      <c r="J32" s="120"/>
      <c r="K32" s="120"/>
      <c r="L32" s="120"/>
    </row>
    <row r="33" spans="1:12" ht="15">
      <c r="A33" s="149"/>
      <c r="B33" s="453" t="s">
        <v>211</v>
      </c>
      <c r="C33" s="151"/>
      <c r="F33" s="146"/>
      <c r="G33" s="31">
        <f>SUM(G34:G35)</f>
        <v>1066284</v>
      </c>
      <c r="H33" s="134">
        <f>ROUND(G33/1000,0)</f>
        <v>1066</v>
      </c>
      <c r="I33" s="120"/>
      <c r="J33" s="120"/>
      <c r="K33" s="120"/>
      <c r="L33" s="120"/>
    </row>
    <row r="34" spans="1:12" ht="14.25">
      <c r="A34" s="152"/>
      <c r="B34" s="151" t="s">
        <v>432</v>
      </c>
      <c r="C34" s="151"/>
      <c r="D34" s="151">
        <f>+G15</f>
        <v>3085200</v>
      </c>
      <c r="E34" s="151" t="s">
        <v>433</v>
      </c>
      <c r="F34" s="146"/>
      <c r="G34" s="148">
        <f>+D34*27%</f>
        <v>833004</v>
      </c>
      <c r="H34" s="454"/>
      <c r="I34" s="120"/>
      <c r="J34" s="120"/>
      <c r="K34" s="120"/>
      <c r="L34" s="120"/>
    </row>
    <row r="35" spans="1:12" ht="14.25">
      <c r="A35" s="150"/>
      <c r="B35" s="151" t="s">
        <v>434</v>
      </c>
      <c r="C35" s="151"/>
      <c r="D35" s="151">
        <f>+G25</f>
        <v>960000</v>
      </c>
      <c r="E35" s="151" t="s">
        <v>435</v>
      </c>
      <c r="F35" s="146"/>
      <c r="G35" s="148">
        <f>+D35*90%*27%</f>
        <v>233280.00000000003</v>
      </c>
      <c r="H35" s="454"/>
      <c r="I35" s="120"/>
      <c r="J35" s="120"/>
      <c r="K35" s="120"/>
      <c r="L35" s="120"/>
    </row>
    <row r="36" spans="1:12" ht="13.5" thickBot="1">
      <c r="A36" s="121"/>
      <c r="B36" s="119"/>
      <c r="C36" s="119"/>
      <c r="D36" s="119"/>
      <c r="E36" s="119"/>
      <c r="F36" s="119"/>
      <c r="G36" s="153"/>
      <c r="H36" s="153"/>
      <c r="I36" s="120"/>
      <c r="J36" s="120"/>
      <c r="K36" s="120"/>
      <c r="L36" s="120"/>
    </row>
    <row r="37" spans="1:12" ht="15.75" thickBot="1">
      <c r="A37" s="142" t="s">
        <v>436</v>
      </c>
      <c r="B37" s="143"/>
      <c r="C37" s="154"/>
      <c r="D37" s="154"/>
      <c r="E37" s="154"/>
      <c r="F37" s="154"/>
      <c r="G37" s="144">
        <f>+G33</f>
        <v>1066284</v>
      </c>
      <c r="H37" s="358">
        <f>ROUND(G37/1000,0)</f>
        <v>1066</v>
      </c>
      <c r="I37" s="120"/>
      <c r="J37" s="120"/>
      <c r="K37" s="120"/>
      <c r="L37" s="120"/>
    </row>
    <row r="38" spans="1:12" ht="12.75">
      <c r="A38" s="121"/>
      <c r="B38" s="121"/>
      <c r="C38" s="121"/>
      <c r="D38" s="121"/>
      <c r="E38" s="121"/>
      <c r="F38" s="121"/>
      <c r="G38" s="153"/>
      <c r="H38" s="153"/>
      <c r="I38" s="120"/>
      <c r="J38" s="120"/>
      <c r="K38" s="120"/>
      <c r="L38" s="120"/>
    </row>
    <row r="39" spans="1:12" ht="15">
      <c r="A39" s="155" t="s">
        <v>189</v>
      </c>
      <c r="B39" s="156"/>
      <c r="C39" s="126"/>
      <c r="D39" s="126"/>
      <c r="E39" s="126"/>
      <c r="F39" s="126"/>
      <c r="G39" s="129"/>
      <c r="H39" s="129"/>
      <c r="I39" s="120"/>
      <c r="J39" s="120"/>
      <c r="K39" s="120"/>
      <c r="L39" s="120"/>
    </row>
    <row r="40" spans="1:12" ht="14.25">
      <c r="A40" s="126"/>
      <c r="B40" s="132"/>
      <c r="C40" s="132"/>
      <c r="D40" s="132"/>
      <c r="E40" s="132"/>
      <c r="F40" s="132"/>
      <c r="G40" s="133"/>
      <c r="H40" s="133"/>
      <c r="I40" s="120"/>
      <c r="J40" s="120"/>
      <c r="K40" s="120"/>
      <c r="L40" s="120"/>
    </row>
    <row r="41" spans="1:12" ht="15">
      <c r="A41" s="128"/>
      <c r="B41" s="132" t="s">
        <v>190</v>
      </c>
      <c r="C41" s="132"/>
      <c r="D41" s="132"/>
      <c r="E41" s="132"/>
      <c r="F41" s="132"/>
      <c r="G41" s="133">
        <v>50000</v>
      </c>
      <c r="H41" s="133">
        <f>G41/1000</f>
        <v>50</v>
      </c>
      <c r="I41" s="120"/>
      <c r="J41" s="120"/>
      <c r="K41" s="120"/>
      <c r="L41" s="120"/>
    </row>
    <row r="42" spans="1:12" ht="15">
      <c r="A42" s="128"/>
      <c r="B42" s="132" t="s">
        <v>191</v>
      </c>
      <c r="C42" s="132"/>
      <c r="D42" s="132"/>
      <c r="E42" s="132"/>
      <c r="F42" s="132"/>
      <c r="G42" s="133">
        <v>20000</v>
      </c>
      <c r="H42" s="133">
        <f>G42/1000</f>
        <v>20</v>
      </c>
      <c r="I42" s="120"/>
      <c r="J42" s="120"/>
      <c r="K42" s="120"/>
      <c r="L42" s="120"/>
    </row>
    <row r="43" spans="1:12" ht="15">
      <c r="A43" s="128"/>
      <c r="B43" s="132" t="s">
        <v>192</v>
      </c>
      <c r="C43" s="132"/>
      <c r="D43" s="132"/>
      <c r="E43" s="132"/>
      <c r="F43" s="132"/>
      <c r="G43" s="133">
        <v>32000</v>
      </c>
      <c r="H43" s="133">
        <f>G43/1000</f>
        <v>32</v>
      </c>
      <c r="I43" s="120"/>
      <c r="J43" s="120"/>
      <c r="K43" s="120"/>
      <c r="L43" s="120"/>
    </row>
    <row r="44" spans="1:12" ht="15">
      <c r="A44" s="128"/>
      <c r="B44" s="132" t="s">
        <v>193</v>
      </c>
      <c r="C44" s="132"/>
      <c r="D44" s="132"/>
      <c r="E44" s="132"/>
      <c r="F44" s="132"/>
      <c r="G44" s="133">
        <f>SUM(E45:E46)</f>
        <v>288000</v>
      </c>
      <c r="H44" s="133">
        <f>G44/1000</f>
        <v>288</v>
      </c>
      <c r="I44" s="120"/>
      <c r="J44" s="120"/>
      <c r="K44" s="120"/>
      <c r="L44" s="120"/>
    </row>
    <row r="45" spans="1:12" ht="14.25">
      <c r="A45" s="126"/>
      <c r="B45" s="157" t="s">
        <v>194</v>
      </c>
      <c r="C45" s="132" t="s">
        <v>437</v>
      </c>
      <c r="D45" s="132"/>
      <c r="E45" s="132">
        <f>3*4000*12</f>
        <v>144000</v>
      </c>
      <c r="F45" s="132"/>
      <c r="G45" s="133"/>
      <c r="H45" s="133"/>
      <c r="I45" s="120"/>
      <c r="J45" s="120"/>
      <c r="K45" s="120"/>
      <c r="L45" s="120"/>
    </row>
    <row r="46" spans="1:12" ht="15">
      <c r="A46" s="127"/>
      <c r="B46" s="157" t="s">
        <v>195</v>
      </c>
      <c r="C46" s="132" t="s">
        <v>196</v>
      </c>
      <c r="D46" s="132"/>
      <c r="E46" s="132">
        <f>12*12000</f>
        <v>144000</v>
      </c>
      <c r="F46" s="132"/>
      <c r="G46" s="133"/>
      <c r="H46" s="133"/>
      <c r="I46" s="120"/>
      <c r="J46" s="120"/>
      <c r="K46" s="120"/>
      <c r="L46" s="120"/>
    </row>
    <row r="47" spans="1:12" ht="15">
      <c r="A47" s="127"/>
      <c r="B47" s="132" t="s">
        <v>197</v>
      </c>
      <c r="C47" s="132"/>
      <c r="D47" s="132"/>
      <c r="E47" s="132"/>
      <c r="F47" s="132"/>
      <c r="G47" s="133">
        <v>150000</v>
      </c>
      <c r="H47" s="133">
        <f aca="true" t="shared" si="0" ref="H47:H52">G47/1000</f>
        <v>150</v>
      </c>
      <c r="I47" s="120"/>
      <c r="J47" s="120"/>
      <c r="K47" s="120"/>
      <c r="L47" s="120"/>
    </row>
    <row r="48" spans="1:12" ht="15">
      <c r="A48" s="127"/>
      <c r="B48" s="132" t="s">
        <v>198</v>
      </c>
      <c r="C48" s="132"/>
      <c r="D48" s="132"/>
      <c r="E48" s="132"/>
      <c r="F48" s="132"/>
      <c r="G48" s="133">
        <v>80000</v>
      </c>
      <c r="H48" s="133">
        <f t="shared" si="0"/>
        <v>80</v>
      </c>
      <c r="I48" s="120"/>
      <c r="J48" s="120"/>
      <c r="K48" s="120"/>
      <c r="L48" s="120"/>
    </row>
    <row r="49" spans="1:12" ht="15">
      <c r="A49" s="127"/>
      <c r="B49" s="132" t="s">
        <v>199</v>
      </c>
      <c r="C49" s="132"/>
      <c r="D49" s="132"/>
      <c r="E49" s="132"/>
      <c r="F49" s="132"/>
      <c r="G49" s="133">
        <v>50000</v>
      </c>
      <c r="H49" s="133">
        <f t="shared" si="0"/>
        <v>50</v>
      </c>
      <c r="I49" s="120"/>
      <c r="J49" s="120"/>
      <c r="K49" s="120"/>
      <c r="L49" s="120"/>
    </row>
    <row r="50" spans="1:12" ht="15">
      <c r="A50" s="127"/>
      <c r="B50" s="132" t="s">
        <v>200</v>
      </c>
      <c r="C50" s="132"/>
      <c r="D50" s="132"/>
      <c r="E50" s="132"/>
      <c r="F50" s="132"/>
      <c r="G50" s="133">
        <f>298000-56693</f>
        <v>241307</v>
      </c>
      <c r="H50" s="133">
        <f t="shared" si="0"/>
        <v>241.307</v>
      </c>
      <c r="I50" s="120"/>
      <c r="J50" s="120"/>
      <c r="K50" s="120"/>
      <c r="L50" s="120"/>
    </row>
    <row r="51" spans="1:12" ht="15">
      <c r="A51" s="127"/>
      <c r="B51" s="132" t="s">
        <v>201</v>
      </c>
      <c r="C51" s="132"/>
      <c r="D51" s="132"/>
      <c r="E51" s="132"/>
      <c r="F51" s="132"/>
      <c r="G51" s="133">
        <v>60000</v>
      </c>
      <c r="H51" s="133">
        <f t="shared" si="0"/>
        <v>60</v>
      </c>
      <c r="I51" s="120"/>
      <c r="J51" s="120"/>
      <c r="K51" s="120"/>
      <c r="L51" s="120"/>
    </row>
    <row r="52" spans="1:12" ht="15">
      <c r="A52" s="127"/>
      <c r="B52" s="132" t="s">
        <v>202</v>
      </c>
      <c r="C52" s="132"/>
      <c r="D52" s="132"/>
      <c r="E52" s="132"/>
      <c r="F52" s="132"/>
      <c r="G52" s="133">
        <f>SUM(F53:F57)</f>
        <v>1064000</v>
      </c>
      <c r="H52" s="133">
        <f t="shared" si="0"/>
        <v>1064</v>
      </c>
      <c r="I52" s="120"/>
      <c r="J52" s="120"/>
      <c r="K52" s="120"/>
      <c r="L52" s="120"/>
    </row>
    <row r="53" spans="1:12" ht="14.25">
      <c r="A53" s="126"/>
      <c r="B53" s="455" t="s">
        <v>203</v>
      </c>
      <c r="C53" s="456">
        <v>50000</v>
      </c>
      <c r="D53" s="456" t="s">
        <v>438</v>
      </c>
      <c r="E53" s="132"/>
      <c r="F53" s="133">
        <f>50000*12</f>
        <v>600000</v>
      </c>
      <c r="H53" s="133"/>
      <c r="I53" s="120"/>
      <c r="J53" s="120"/>
      <c r="K53" s="120"/>
      <c r="L53" s="120"/>
    </row>
    <row r="54" spans="1:12" ht="14.25">
      <c r="A54" s="126"/>
      <c r="B54" s="455" t="s">
        <v>204</v>
      </c>
      <c r="C54" s="456">
        <v>40000</v>
      </c>
      <c r="D54" s="456" t="s">
        <v>439</v>
      </c>
      <c r="E54" s="132"/>
      <c r="F54" s="133">
        <f>40000*6</f>
        <v>240000</v>
      </c>
      <c r="H54" s="133"/>
      <c r="I54" s="120"/>
      <c r="J54" s="120"/>
      <c r="K54" s="120"/>
      <c r="L54" s="120"/>
    </row>
    <row r="55" spans="1:12" ht="14.25">
      <c r="A55" s="126"/>
      <c r="B55" s="455" t="s">
        <v>205</v>
      </c>
      <c r="C55" s="456"/>
      <c r="D55" s="456"/>
      <c r="E55" s="132"/>
      <c r="F55" s="133">
        <v>100000</v>
      </c>
      <c r="H55" s="133"/>
      <c r="I55" s="120"/>
      <c r="J55" s="120"/>
      <c r="K55" s="120"/>
      <c r="L55" s="120"/>
    </row>
    <row r="56" spans="1:12" ht="14.25">
      <c r="A56" s="126"/>
      <c r="B56" s="455" t="s">
        <v>206</v>
      </c>
      <c r="C56" s="456"/>
      <c r="D56" s="456"/>
      <c r="E56" s="132"/>
      <c r="F56" s="132">
        <v>100000</v>
      </c>
      <c r="G56" s="133"/>
      <c r="H56" s="133"/>
      <c r="I56" s="120"/>
      <c r="J56" s="120"/>
      <c r="K56" s="120"/>
      <c r="L56" s="120"/>
    </row>
    <row r="57" spans="1:12" ht="14.25">
      <c r="A57" s="126"/>
      <c r="B57" s="455" t="s">
        <v>440</v>
      </c>
      <c r="C57" s="456">
        <v>12000</v>
      </c>
      <c r="D57" s="456" t="s">
        <v>441</v>
      </c>
      <c r="E57" s="132"/>
      <c r="F57" s="132">
        <f>+C57*2</f>
        <v>24000</v>
      </c>
      <c r="G57" s="133"/>
      <c r="H57" s="133"/>
      <c r="I57" s="120"/>
      <c r="J57" s="120"/>
      <c r="K57" s="120"/>
      <c r="L57" s="120"/>
    </row>
    <row r="58" spans="1:12" ht="15">
      <c r="A58" s="128"/>
      <c r="B58" s="132" t="s">
        <v>207</v>
      </c>
      <c r="C58" s="132"/>
      <c r="D58" s="132"/>
      <c r="E58" s="132"/>
      <c r="F58" s="132"/>
      <c r="G58" s="133">
        <f>170000+36835-43655</f>
        <v>163180</v>
      </c>
      <c r="H58" s="133">
        <f>G58/1000</f>
        <v>163.18</v>
      </c>
      <c r="I58" s="120"/>
      <c r="J58" s="120"/>
      <c r="K58" s="120"/>
      <c r="L58" s="120"/>
    </row>
    <row r="59" spans="1:12" ht="16.5" customHeight="1">
      <c r="A59" s="128"/>
      <c r="B59" s="132" t="s">
        <v>208</v>
      </c>
      <c r="C59" s="132"/>
      <c r="D59" s="132"/>
      <c r="E59" s="132"/>
      <c r="F59" s="132"/>
      <c r="G59" s="133">
        <v>184493</v>
      </c>
      <c r="H59" s="133">
        <f>G59/1000</f>
        <v>184.493</v>
      </c>
      <c r="I59" s="120"/>
      <c r="J59" s="120"/>
      <c r="K59" s="120"/>
      <c r="L59" s="120"/>
    </row>
    <row r="60" spans="1:12" ht="15" thickBot="1">
      <c r="A60" s="126"/>
      <c r="B60" s="132"/>
      <c r="C60" s="132"/>
      <c r="D60" s="132"/>
      <c r="E60" s="132"/>
      <c r="F60" s="132"/>
      <c r="G60" s="133"/>
      <c r="H60" s="133"/>
      <c r="I60" s="120"/>
      <c r="J60" s="120"/>
      <c r="K60" s="120"/>
      <c r="L60" s="120"/>
    </row>
    <row r="61" spans="1:12" ht="15.75" thickBot="1">
      <c r="A61" s="142" t="s">
        <v>209</v>
      </c>
      <c r="B61" s="154"/>
      <c r="C61" s="154"/>
      <c r="D61" s="154"/>
      <c r="E61" s="154"/>
      <c r="F61" s="154"/>
      <c r="G61" s="144">
        <f>SUM(G41:G59)</f>
        <v>2382980</v>
      </c>
      <c r="H61" s="358">
        <f>ROUND(G61/1000,0)</f>
        <v>2383</v>
      </c>
      <c r="I61" s="120"/>
      <c r="J61" s="120"/>
      <c r="K61" s="120"/>
      <c r="L61" s="120"/>
    </row>
    <row r="62" spans="1:12" ht="15" thickBot="1">
      <c r="A62" s="126"/>
      <c r="B62" s="132"/>
      <c r="C62" s="132"/>
      <c r="D62" s="132"/>
      <c r="E62" s="132"/>
      <c r="F62" s="132"/>
      <c r="G62" s="133"/>
      <c r="H62" s="133"/>
      <c r="I62" s="120"/>
      <c r="J62" s="120"/>
      <c r="K62" s="120"/>
      <c r="L62" s="120"/>
    </row>
    <row r="63" spans="1:12" ht="28.5" customHeight="1" thickBot="1">
      <c r="A63" s="122" t="s">
        <v>210</v>
      </c>
      <c r="B63" s="123"/>
      <c r="C63" s="123"/>
      <c r="D63" s="123"/>
      <c r="E63" s="123"/>
      <c r="F63" s="123"/>
      <c r="G63" s="124">
        <f>G61+G37+G29</f>
        <v>8000000</v>
      </c>
      <c r="H63" s="359">
        <f>H61+H37+H29</f>
        <v>8000</v>
      </c>
      <c r="I63" s="120"/>
      <c r="J63" s="120"/>
      <c r="K63" s="120"/>
      <c r="L63" s="120"/>
    </row>
    <row r="64" spans="9:12" ht="12.75">
      <c r="I64" s="120"/>
      <c r="J64" s="120"/>
      <c r="K64" s="120"/>
      <c r="L64" s="120"/>
    </row>
    <row r="65" spans="9:12" ht="12.75">
      <c r="I65" s="120"/>
      <c r="J65" s="120"/>
      <c r="K65" s="120"/>
      <c r="L65" s="120"/>
    </row>
    <row r="66" spans="2:12" ht="12.75">
      <c r="B66" s="49" t="s">
        <v>212</v>
      </c>
      <c r="G66" s="48">
        <f>+G11-G63</f>
        <v>0</v>
      </c>
      <c r="H66" s="48">
        <f>+G66/1.27</f>
        <v>0</v>
      </c>
      <c r="I66" s="120"/>
      <c r="J66" s="120"/>
      <c r="K66" s="120"/>
      <c r="L66" s="120"/>
    </row>
    <row r="67" spans="9:12" ht="12.75">
      <c r="I67" s="120"/>
      <c r="J67" s="120"/>
      <c r="K67" s="120"/>
      <c r="L67" s="120"/>
    </row>
    <row r="68" spans="9:12" ht="12.75">
      <c r="I68" s="120"/>
      <c r="J68" s="120"/>
      <c r="K68" s="120"/>
      <c r="L68" s="120"/>
    </row>
    <row r="69" spans="9:12" ht="12.75">
      <c r="I69" s="120"/>
      <c r="J69" s="120"/>
      <c r="K69" s="120"/>
      <c r="L69" s="120"/>
    </row>
    <row r="70" spans="9:12" ht="12.75">
      <c r="I70" s="120"/>
      <c r="J70" s="120"/>
      <c r="K70" s="120"/>
      <c r="L70" s="120"/>
    </row>
    <row r="71" spans="9:12" ht="12.75">
      <c r="I71" s="120"/>
      <c r="J71" s="120"/>
      <c r="K71" s="120"/>
      <c r="L71" s="120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10/2014.(VI.27.) Önkormányzati költségvetési rendelethez&amp;R&amp;D</oddHeader>
    <oddFooter>&amp;R&amp;F</oddFooter>
  </headerFooter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32" sqref="C32"/>
    </sheetView>
  </sheetViews>
  <sheetFormatPr defaultColWidth="9.140625" defaultRowHeight="12.75"/>
  <cols>
    <col min="1" max="1" width="8.28125" style="85" bestFit="1" customWidth="1"/>
    <col min="2" max="2" width="13.8515625" style="85" bestFit="1" customWidth="1"/>
    <col min="3" max="4" width="11.7109375" style="85" bestFit="1" customWidth="1"/>
    <col min="5" max="5" width="12.140625" style="85" bestFit="1" customWidth="1"/>
    <col min="6" max="16384" width="9.140625" style="85" customWidth="1"/>
  </cols>
  <sheetData>
    <row r="1" spans="2:7" ht="12.75">
      <c r="B1" s="85" t="s">
        <v>566</v>
      </c>
      <c r="C1" s="85" t="s">
        <v>567</v>
      </c>
      <c r="D1" s="85" t="s">
        <v>568</v>
      </c>
      <c r="E1" s="85" t="s">
        <v>569</v>
      </c>
      <c r="F1" s="85" t="s">
        <v>570</v>
      </c>
      <c r="G1" s="85" t="s">
        <v>571</v>
      </c>
    </row>
    <row r="2" spans="1:10" ht="12.75">
      <c r="A2" s="85" t="s">
        <v>560</v>
      </c>
      <c r="B2" s="85">
        <v>13335</v>
      </c>
      <c r="D2" s="85">
        <f>SUM(B2:C2)</f>
        <v>13335</v>
      </c>
      <c r="E2" s="85">
        <f>+D2/1.27</f>
        <v>10500</v>
      </c>
      <c r="F2" s="85">
        <f>+E2*0.27</f>
        <v>2835</v>
      </c>
      <c r="G2" s="85">
        <f>SUM(E2:F2)</f>
        <v>13335</v>
      </c>
      <c r="H2" s="85">
        <v>11</v>
      </c>
      <c r="I2" s="85">
        <v>2</v>
      </c>
      <c r="J2" s="85">
        <f>SUM(H2:I2)</f>
        <v>13</v>
      </c>
    </row>
    <row r="3" spans="1:10" ht="12.75">
      <c r="A3" s="85" t="s">
        <v>561</v>
      </c>
      <c r="B3" s="85">
        <v>259842</v>
      </c>
      <c r="C3" s="85">
        <v>163576</v>
      </c>
      <c r="D3" s="85">
        <f>SUM(B3:C3)</f>
        <v>423418</v>
      </c>
      <c r="E3" s="85">
        <f>+D3/1.27</f>
        <v>333400</v>
      </c>
      <c r="F3" s="85">
        <f>+E3*0.27</f>
        <v>90018</v>
      </c>
      <c r="G3" s="85">
        <f>SUM(E3:F3)</f>
        <v>423418</v>
      </c>
      <c r="H3" s="85">
        <v>333</v>
      </c>
      <c r="I3" s="85">
        <v>90</v>
      </c>
      <c r="J3" s="85">
        <f>SUM(H3:I3)</f>
        <v>423</v>
      </c>
    </row>
    <row r="4" spans="1:10" ht="12.75">
      <c r="A4" s="85" t="s">
        <v>562</v>
      </c>
      <c r="B4" s="85">
        <v>133731</v>
      </c>
      <c r="C4" s="85">
        <v>156591</v>
      </c>
      <c r="D4" s="85">
        <f>SUM(B4:C4)</f>
        <v>290322</v>
      </c>
      <c r="E4" s="85">
        <f>+D4/1.27</f>
        <v>228600</v>
      </c>
      <c r="F4" s="85">
        <f>+E4*0.27</f>
        <v>61722.00000000001</v>
      </c>
      <c r="G4" s="85">
        <f>SUM(E4:F4)</f>
        <v>290322</v>
      </c>
      <c r="H4" s="85">
        <v>229</v>
      </c>
      <c r="I4" s="85">
        <v>62</v>
      </c>
      <c r="J4" s="85">
        <f>SUM(H4:I4)</f>
        <v>291</v>
      </c>
    </row>
    <row r="5" spans="1:10" ht="12.75">
      <c r="A5" s="85" t="s">
        <v>563</v>
      </c>
      <c r="B5" s="85">
        <v>95885</v>
      </c>
      <c r="C5" s="85">
        <v>95885</v>
      </c>
      <c r="D5" s="85">
        <f>SUM(B5:C5)</f>
        <v>191770</v>
      </c>
      <c r="E5" s="85">
        <f>+D5/1.27</f>
        <v>151000</v>
      </c>
      <c r="F5" s="85">
        <f>+E5*0.27</f>
        <v>40770</v>
      </c>
      <c r="G5" s="85">
        <f>SUM(E5:F5)</f>
        <v>191770</v>
      </c>
      <c r="H5" s="85">
        <v>151</v>
      </c>
      <c r="I5" s="85">
        <v>41</v>
      </c>
      <c r="J5" s="85">
        <f>SUM(H5:I5)</f>
        <v>192</v>
      </c>
    </row>
    <row r="6" spans="1:10" ht="12.75">
      <c r="A6" s="85" t="s">
        <v>572</v>
      </c>
      <c r="B6" s="85">
        <v>20066</v>
      </c>
      <c r="C6" s="85">
        <v>19685</v>
      </c>
      <c r="D6" s="85">
        <f>SUM(B6:C6)</f>
        <v>39751</v>
      </c>
      <c r="E6" s="85">
        <f>+D6/1.27</f>
        <v>31300</v>
      </c>
      <c r="F6" s="85">
        <f>+E6*0.27</f>
        <v>8451</v>
      </c>
      <c r="G6" s="85">
        <f>SUM(E6:F6)</f>
        <v>39751</v>
      </c>
      <c r="H6" s="85">
        <v>31</v>
      </c>
      <c r="I6" s="85">
        <v>9</v>
      </c>
      <c r="J6" s="85">
        <f>SUM(H6:I6)</f>
        <v>40</v>
      </c>
    </row>
    <row r="7" spans="2:10" ht="12.75">
      <c r="B7" s="85">
        <f aca="true" t="shared" si="0" ref="B7:J7">SUM(B2:B6)</f>
        <v>522859</v>
      </c>
      <c r="C7" s="85">
        <f t="shared" si="0"/>
        <v>435737</v>
      </c>
      <c r="D7" s="85">
        <f t="shared" si="0"/>
        <v>958596</v>
      </c>
      <c r="E7" s="85">
        <f t="shared" si="0"/>
        <v>754800</v>
      </c>
      <c r="F7" s="85">
        <f t="shared" si="0"/>
        <v>203796</v>
      </c>
      <c r="G7" s="85">
        <f t="shared" si="0"/>
        <v>958596</v>
      </c>
      <c r="H7" s="85">
        <f t="shared" si="0"/>
        <v>755</v>
      </c>
      <c r="I7" s="85">
        <f t="shared" si="0"/>
        <v>204</v>
      </c>
      <c r="J7" s="85">
        <f t="shared" si="0"/>
        <v>959</v>
      </c>
    </row>
    <row r="8" ht="12.75">
      <c r="D8" s="85">
        <f>SUM(B7:C7)</f>
        <v>958596</v>
      </c>
    </row>
    <row r="10" spans="2:11" ht="12.75">
      <c r="B10" s="85" t="s">
        <v>573</v>
      </c>
      <c r="C10" s="85" t="s">
        <v>574</v>
      </c>
      <c r="D10" s="85" t="s">
        <v>575</v>
      </c>
      <c r="E10" s="85" t="s">
        <v>576</v>
      </c>
      <c r="F10" s="85" t="s">
        <v>569</v>
      </c>
      <c r="G10" s="85" t="s">
        <v>570</v>
      </c>
      <c r="H10" s="85" t="s">
        <v>577</v>
      </c>
      <c r="I10" s="86" t="s">
        <v>578</v>
      </c>
      <c r="J10" s="86" t="s">
        <v>579</v>
      </c>
      <c r="K10" s="86" t="s">
        <v>580</v>
      </c>
    </row>
    <row r="11" spans="1:12" ht="12.75">
      <c r="A11" s="85" t="s">
        <v>560</v>
      </c>
      <c r="B11" s="85">
        <v>25146</v>
      </c>
      <c r="C11" s="85">
        <v>12573</v>
      </c>
      <c r="D11" s="85">
        <v>12573</v>
      </c>
      <c r="E11" s="85">
        <f>SUM(B11:D11)</f>
        <v>50292</v>
      </c>
      <c r="F11" s="85">
        <f>+E11/1.27</f>
        <v>39600</v>
      </c>
      <c r="G11" s="85">
        <f>+E11-F11</f>
        <v>10692</v>
      </c>
      <c r="H11" s="85">
        <f>SUM(F11:G11)</f>
        <v>50292</v>
      </c>
      <c r="I11" s="86">
        <v>40</v>
      </c>
      <c r="J11" s="86">
        <v>11</v>
      </c>
      <c r="K11" s="86">
        <f>SUM(I11:J11)</f>
        <v>51</v>
      </c>
      <c r="L11" s="85" t="s">
        <v>560</v>
      </c>
    </row>
    <row r="12" spans="1:12" ht="12.75">
      <c r="A12" s="85" t="s">
        <v>561</v>
      </c>
      <c r="B12" s="85">
        <v>198120</v>
      </c>
      <c r="C12" s="85">
        <v>198882</v>
      </c>
      <c r="D12" s="85">
        <v>198120</v>
      </c>
      <c r="E12" s="85">
        <f>SUM(B12:D12)</f>
        <v>595122</v>
      </c>
      <c r="F12" s="85">
        <f>+E12/1.27</f>
        <v>468600</v>
      </c>
      <c r="G12" s="85">
        <f>+E12-F12</f>
        <v>126522</v>
      </c>
      <c r="H12" s="85">
        <f>SUM(F12:G12)</f>
        <v>595122</v>
      </c>
      <c r="I12" s="86">
        <v>469</v>
      </c>
      <c r="J12" s="86">
        <v>126</v>
      </c>
      <c r="K12" s="86">
        <f>SUM(I12:J12)</f>
        <v>595</v>
      </c>
      <c r="L12" s="85" t="s">
        <v>561</v>
      </c>
    </row>
    <row r="13" spans="1:12" ht="12.75">
      <c r="A13" s="85" t="s">
        <v>562</v>
      </c>
      <c r="B13" s="85">
        <v>156591</v>
      </c>
      <c r="C13" s="85">
        <v>156591</v>
      </c>
      <c r="D13" s="85">
        <v>156591</v>
      </c>
      <c r="E13" s="85">
        <f>SUM(B13:D13)</f>
        <v>469773</v>
      </c>
      <c r="F13" s="85">
        <f>+E13/1.27</f>
        <v>369900</v>
      </c>
      <c r="G13" s="85">
        <f>+E13-F13</f>
        <v>99873</v>
      </c>
      <c r="H13" s="85">
        <f>SUM(F13:G13)</f>
        <v>469773</v>
      </c>
      <c r="I13" s="86">
        <v>370</v>
      </c>
      <c r="J13" s="86">
        <v>100</v>
      </c>
      <c r="K13" s="86">
        <f>SUM(I13:J13)</f>
        <v>470</v>
      </c>
      <c r="L13" s="85" t="s">
        <v>562</v>
      </c>
    </row>
    <row r="14" spans="1:12" ht="12.75">
      <c r="A14" s="85" t="s">
        <v>563</v>
      </c>
      <c r="B14" s="85">
        <v>72898</v>
      </c>
      <c r="C14" s="85">
        <v>76835</v>
      </c>
      <c r="D14" s="85">
        <v>76835</v>
      </c>
      <c r="E14" s="85">
        <f>SUM(B14:D14)</f>
        <v>226568</v>
      </c>
      <c r="F14" s="85">
        <f>+E14/1.27</f>
        <v>178400</v>
      </c>
      <c r="G14" s="85">
        <f>+E14-F14</f>
        <v>48168</v>
      </c>
      <c r="H14" s="85">
        <f>SUM(F14:G14)</f>
        <v>226568</v>
      </c>
      <c r="I14" s="86">
        <v>178</v>
      </c>
      <c r="J14" s="86">
        <v>48</v>
      </c>
      <c r="K14" s="86">
        <f>SUM(I14:J14)</f>
        <v>226</v>
      </c>
      <c r="L14" s="85" t="s">
        <v>563</v>
      </c>
    </row>
    <row r="15" spans="1:12" ht="12.75">
      <c r="A15" s="85" t="s">
        <v>572</v>
      </c>
      <c r="B15" s="85">
        <v>19685</v>
      </c>
      <c r="C15" s="85">
        <v>19685</v>
      </c>
      <c r="D15" s="85">
        <v>19685</v>
      </c>
      <c r="E15" s="85">
        <f>SUM(B15:D15)</f>
        <v>59055</v>
      </c>
      <c r="F15" s="85">
        <f>+E15/1.27</f>
        <v>46500</v>
      </c>
      <c r="G15" s="85">
        <f>+E15-F15</f>
        <v>12555</v>
      </c>
      <c r="H15" s="85">
        <f>SUM(F15:G15)</f>
        <v>59055</v>
      </c>
      <c r="I15" s="86">
        <v>46</v>
      </c>
      <c r="J15" s="86">
        <v>13</v>
      </c>
      <c r="K15" s="86">
        <f>SUM(I15:J15)</f>
        <v>59</v>
      </c>
      <c r="L15" s="85" t="s">
        <v>572</v>
      </c>
    </row>
    <row r="16" spans="2:11" ht="12.75">
      <c r="B16" s="85">
        <f>SUM(B11:B15)</f>
        <v>472440</v>
      </c>
      <c r="C16" s="85">
        <f aca="true" t="shared" si="1" ref="C16:K16">SUM(C11:C15)</f>
        <v>464566</v>
      </c>
      <c r="D16" s="85">
        <f t="shared" si="1"/>
        <v>463804</v>
      </c>
      <c r="E16" s="85">
        <f t="shared" si="1"/>
        <v>1400810</v>
      </c>
      <c r="F16" s="85">
        <f t="shared" si="1"/>
        <v>1103000</v>
      </c>
      <c r="G16" s="85">
        <f t="shared" si="1"/>
        <v>297810</v>
      </c>
      <c r="H16" s="85">
        <f t="shared" si="1"/>
        <v>1400810</v>
      </c>
      <c r="I16" s="86">
        <f t="shared" si="1"/>
        <v>1103</v>
      </c>
      <c r="J16" s="86">
        <f t="shared" si="1"/>
        <v>298</v>
      </c>
      <c r="K16" s="86">
        <f t="shared" si="1"/>
        <v>1401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7.57421875" style="366" customWidth="1"/>
    <col min="2" max="2" width="56.421875" style="366" customWidth="1"/>
    <col min="3" max="3" width="18.7109375" style="366" customWidth="1"/>
    <col min="4" max="16384" width="10.421875" style="366" customWidth="1"/>
  </cols>
  <sheetData>
    <row r="1" spans="1:3" ht="78.75" customHeight="1">
      <c r="A1" s="749" t="s">
        <v>343</v>
      </c>
      <c r="B1" s="749"/>
      <c r="C1" s="749"/>
    </row>
    <row r="2" spans="1:4" ht="15.75" thickBot="1">
      <c r="A2" s="367"/>
      <c r="B2" s="367"/>
      <c r="C2" s="368" t="s">
        <v>344</v>
      </c>
      <c r="D2" s="369"/>
    </row>
    <row r="3" spans="1:3" ht="32.25" thickBot="1">
      <c r="A3" s="370" t="s">
        <v>300</v>
      </c>
      <c r="B3" s="371" t="s">
        <v>345</v>
      </c>
      <c r="C3" s="372" t="s">
        <v>481</v>
      </c>
    </row>
    <row r="4" spans="1:3" ht="16.5" thickBot="1">
      <c r="A4" s="373" t="s">
        <v>11</v>
      </c>
      <c r="B4" s="374" t="s">
        <v>360</v>
      </c>
      <c r="C4" s="375" t="s">
        <v>13</v>
      </c>
    </row>
    <row r="5" spans="1:3" ht="15.75">
      <c r="A5" s="388" t="s">
        <v>20</v>
      </c>
      <c r="B5" s="376" t="s">
        <v>346</v>
      </c>
      <c r="C5" s="377">
        <f>+1_mell!E11+1_mell!E13+1_mell!E14+1_mell!E15</f>
        <v>142778</v>
      </c>
    </row>
    <row r="6" spans="1:3" ht="15.75">
      <c r="A6" s="389" t="s">
        <v>21</v>
      </c>
      <c r="B6" s="378" t="s">
        <v>347</v>
      </c>
      <c r="C6" s="379"/>
    </row>
    <row r="7" spans="1:3" ht="15.75">
      <c r="A7" s="389" t="s">
        <v>22</v>
      </c>
      <c r="B7" s="378" t="s">
        <v>348</v>
      </c>
      <c r="C7" s="379">
        <f>+1_mell!E16</f>
        <v>2500</v>
      </c>
    </row>
    <row r="8" spans="1:3" ht="31.5">
      <c r="A8" s="389" t="s">
        <v>23</v>
      </c>
      <c r="B8" s="380" t="s">
        <v>349</v>
      </c>
      <c r="C8" s="379"/>
    </row>
    <row r="9" spans="1:3" ht="15.75">
      <c r="A9" s="390" t="s">
        <v>24</v>
      </c>
      <c r="B9" s="381" t="s">
        <v>350</v>
      </c>
      <c r="C9" s="379"/>
    </row>
    <row r="10" spans="1:3" ht="15.75">
      <c r="A10" s="389" t="s">
        <v>25</v>
      </c>
      <c r="B10" s="378" t="s">
        <v>351</v>
      </c>
      <c r="C10" s="379"/>
    </row>
    <row r="11" spans="1:3" ht="16.5" thickBot="1">
      <c r="A11" s="390" t="s">
        <v>26</v>
      </c>
      <c r="B11" s="381" t="s">
        <v>352</v>
      </c>
      <c r="C11" s="387"/>
    </row>
    <row r="12" spans="1:3" ht="17.25" thickBot="1">
      <c r="A12" s="391" t="s">
        <v>27</v>
      </c>
      <c r="B12" s="386" t="s">
        <v>353</v>
      </c>
      <c r="C12" s="382">
        <f>SUM(C5:C11)</f>
        <v>145278</v>
      </c>
    </row>
    <row r="13" spans="1:3" ht="39" customHeight="1">
      <c r="A13" s="750" t="s">
        <v>354</v>
      </c>
      <c r="B13" s="750"/>
      <c r="C13" s="750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10/2014.(VI.27.) Önkormányzati költségvetési rendelethez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AT266"/>
  <sheetViews>
    <sheetView zoomScalePageLayoutView="0" workbookViewId="0" topLeftCell="B4">
      <selection activeCell="O28" sqref="O28"/>
    </sheetView>
  </sheetViews>
  <sheetFormatPr defaultColWidth="9.140625" defaultRowHeight="13.5" customHeight="1"/>
  <cols>
    <col min="1" max="1" width="4.00390625" style="660" customWidth="1"/>
    <col min="2" max="2" width="4.7109375" style="660" customWidth="1"/>
    <col min="3" max="3" width="23.7109375" style="660" customWidth="1"/>
    <col min="4" max="5" width="12.7109375" style="660" bestFit="1" customWidth="1"/>
    <col min="6" max="6" width="10.140625" style="660" bestFit="1" customWidth="1"/>
    <col min="7" max="7" width="8.28125" style="660" bestFit="1" customWidth="1"/>
    <col min="8" max="10" width="10.140625" style="660" bestFit="1" customWidth="1"/>
    <col min="11" max="11" width="9.8515625" style="660" bestFit="1" customWidth="1"/>
    <col min="12" max="12" width="11.00390625" style="660" bestFit="1" customWidth="1"/>
    <col min="13" max="13" width="10.140625" style="660" bestFit="1" customWidth="1"/>
    <col min="14" max="14" width="11.57421875" style="660" bestFit="1" customWidth="1"/>
    <col min="15" max="15" width="11.140625" style="660" bestFit="1" customWidth="1"/>
    <col min="16" max="16" width="11.140625" style="656" bestFit="1" customWidth="1"/>
    <col min="17" max="17" width="11.7109375" style="659" customWidth="1"/>
    <col min="18" max="19" width="9.7109375" style="659" customWidth="1"/>
    <col min="20" max="20" width="10.57421875" style="659" customWidth="1"/>
    <col min="21" max="21" width="13.00390625" style="659" customWidth="1"/>
    <col min="22" max="22" width="9.28125" style="659" customWidth="1"/>
    <col min="23" max="46" width="9.140625" style="659" customWidth="1"/>
    <col min="47" max="16384" width="9.140625" style="660" customWidth="1"/>
  </cols>
  <sheetData>
    <row r="3" spans="1:16" ht="32.25" customHeight="1">
      <c r="A3" s="658"/>
      <c r="B3" s="751" t="s">
        <v>425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</row>
    <row r="4" spans="1:16" ht="32.25" customHeight="1" thickBot="1">
      <c r="A4" s="660" t="s">
        <v>11</v>
      </c>
      <c r="B4" s="286" t="s">
        <v>360</v>
      </c>
      <c r="C4" s="286" t="s">
        <v>13</v>
      </c>
      <c r="D4" s="286" t="s">
        <v>14</v>
      </c>
      <c r="E4" s="286" t="s">
        <v>15</v>
      </c>
      <c r="F4" s="286" t="s">
        <v>16</v>
      </c>
      <c r="G4" s="286" t="s">
        <v>17</v>
      </c>
      <c r="H4" s="286" t="s">
        <v>18</v>
      </c>
      <c r="I4" s="286" t="s">
        <v>63</v>
      </c>
      <c r="J4" s="286" t="s">
        <v>367</v>
      </c>
      <c r="K4" s="286" t="s">
        <v>361</v>
      </c>
      <c r="L4" s="286" t="s">
        <v>362</v>
      </c>
      <c r="M4" s="286" t="s">
        <v>364</v>
      </c>
      <c r="N4" s="286" t="s">
        <v>368</v>
      </c>
      <c r="O4" s="286" t="s">
        <v>369</v>
      </c>
      <c r="P4" s="286" t="s">
        <v>370</v>
      </c>
    </row>
    <row r="5" spans="1:16" ht="18" customHeight="1" thickBot="1">
      <c r="A5" s="660" t="s">
        <v>20</v>
      </c>
      <c r="B5" s="254" t="s">
        <v>300</v>
      </c>
      <c r="C5" s="255" t="s">
        <v>67</v>
      </c>
      <c r="D5" s="255" t="s">
        <v>301</v>
      </c>
      <c r="E5" s="255" t="s">
        <v>302</v>
      </c>
      <c r="F5" s="255" t="s">
        <v>303</v>
      </c>
      <c r="G5" s="255" t="s">
        <v>304</v>
      </c>
      <c r="H5" s="255" t="s">
        <v>305</v>
      </c>
      <c r="I5" s="255" t="s">
        <v>306</v>
      </c>
      <c r="J5" s="255" t="s">
        <v>307</v>
      </c>
      <c r="K5" s="255" t="s">
        <v>308</v>
      </c>
      <c r="L5" s="255" t="s">
        <v>309</v>
      </c>
      <c r="M5" s="255" t="s">
        <v>310</v>
      </c>
      <c r="N5" s="255" t="s">
        <v>311</v>
      </c>
      <c r="O5" s="255" t="s">
        <v>312</v>
      </c>
      <c r="P5" s="256" t="s">
        <v>313</v>
      </c>
    </row>
    <row r="6" spans="1:16" ht="13.5" customHeight="1" thickBot="1">
      <c r="A6" s="660" t="s">
        <v>21</v>
      </c>
      <c r="B6" s="257" t="s">
        <v>20</v>
      </c>
      <c r="C6" s="258" t="s">
        <v>97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74"/>
    </row>
    <row r="7" spans="1:16" ht="13.5" customHeight="1">
      <c r="A7" s="660" t="s">
        <v>22</v>
      </c>
      <c r="B7" s="260" t="s">
        <v>21</v>
      </c>
      <c r="C7" s="261" t="s">
        <v>334</v>
      </c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 t="s">
        <v>335</v>
      </c>
    </row>
    <row r="8" spans="1:18" ht="13.5" customHeight="1">
      <c r="A8" s="660" t="s">
        <v>23</v>
      </c>
      <c r="B8" s="264" t="s">
        <v>22</v>
      </c>
      <c r="C8" s="265" t="s">
        <v>315</v>
      </c>
      <c r="D8" s="290">
        <v>42</v>
      </c>
      <c r="E8" s="290">
        <f>+D8</f>
        <v>42</v>
      </c>
      <c r="F8" s="290">
        <f aca="true" t="shared" si="0" ref="F8:N8">+E8</f>
        <v>42</v>
      </c>
      <c r="G8" s="290">
        <f t="shared" si="0"/>
        <v>42</v>
      </c>
      <c r="H8" s="290">
        <f t="shared" si="0"/>
        <v>42</v>
      </c>
      <c r="I8" s="290">
        <f t="shared" si="0"/>
        <v>42</v>
      </c>
      <c r="J8" s="290">
        <f t="shared" si="0"/>
        <v>42</v>
      </c>
      <c r="K8" s="290">
        <f t="shared" si="0"/>
        <v>42</v>
      </c>
      <c r="L8" s="290">
        <f t="shared" si="0"/>
        <v>42</v>
      </c>
      <c r="M8" s="290">
        <f t="shared" si="0"/>
        <v>42</v>
      </c>
      <c r="N8" s="290">
        <f t="shared" si="0"/>
        <v>42</v>
      </c>
      <c r="O8" s="290">
        <f>+N8-4</f>
        <v>38</v>
      </c>
      <c r="P8" s="291">
        <f>SUM(D8:O8)</f>
        <v>500</v>
      </c>
      <c r="Q8" s="659">
        <f>+3_mell!D23</f>
        <v>500</v>
      </c>
      <c r="R8" s="659">
        <f>+Q8-P8</f>
        <v>0</v>
      </c>
    </row>
    <row r="9" spans="1:18" ht="22.5" customHeight="1">
      <c r="A9" s="660" t="s">
        <v>24</v>
      </c>
      <c r="B9" s="264" t="s">
        <v>23</v>
      </c>
      <c r="C9" s="268" t="s">
        <v>359</v>
      </c>
      <c r="D9" s="292">
        <f>20064+8403+426-12207+5000+1322</f>
        <v>23008</v>
      </c>
      <c r="E9" s="292">
        <f>28467-12207+5000+1500</f>
        <v>22760</v>
      </c>
      <c r="F9" s="292">
        <f>28467+5000</f>
        <v>33467</v>
      </c>
      <c r="G9" s="292">
        <f>20064+6000</f>
        <v>26064</v>
      </c>
      <c r="H9" s="292">
        <f>+G9</f>
        <v>26064</v>
      </c>
      <c r="I9" s="292">
        <f aca="true" t="shared" si="1" ref="I9:N9">+H9</f>
        <v>26064</v>
      </c>
      <c r="J9" s="292">
        <f t="shared" si="1"/>
        <v>26064</v>
      </c>
      <c r="K9" s="292">
        <f t="shared" si="1"/>
        <v>26064</v>
      </c>
      <c r="L9" s="292">
        <f t="shared" si="1"/>
        <v>26064</v>
      </c>
      <c r="M9" s="292">
        <f t="shared" si="1"/>
        <v>26064</v>
      </c>
      <c r="N9" s="292">
        <f t="shared" si="1"/>
        <v>26064</v>
      </c>
      <c r="O9" s="292">
        <f>+N9+5+301-121</f>
        <v>26249</v>
      </c>
      <c r="P9" s="293">
        <f>SUM(D9:O9)</f>
        <v>313996</v>
      </c>
      <c r="Q9" s="659">
        <f>+1_mell!F23</f>
        <v>313996</v>
      </c>
      <c r="R9" s="659">
        <f aca="true" t="shared" si="2" ref="R9:R15">+Q9-P9</f>
        <v>0</v>
      </c>
    </row>
    <row r="10" spans="1:18" ht="13.5" customHeight="1">
      <c r="A10" s="660" t="s">
        <v>25</v>
      </c>
      <c r="B10" s="264" t="s">
        <v>24</v>
      </c>
      <c r="C10" s="265" t="s">
        <v>317</v>
      </c>
      <c r="D10" s="290">
        <f>12937</f>
        <v>12937</v>
      </c>
      <c r="E10" s="290">
        <f>+D10</f>
        <v>12937</v>
      </c>
      <c r="F10" s="290">
        <f aca="true" t="shared" si="3" ref="F10:N10">+E10</f>
        <v>12937</v>
      </c>
      <c r="G10" s="290">
        <f>12937+900</f>
        <v>13837</v>
      </c>
      <c r="H10" s="290">
        <f t="shared" si="3"/>
        <v>13837</v>
      </c>
      <c r="I10" s="290">
        <f t="shared" si="3"/>
        <v>13837</v>
      </c>
      <c r="J10" s="290">
        <f t="shared" si="3"/>
        <v>13837</v>
      </c>
      <c r="K10" s="290">
        <f t="shared" si="3"/>
        <v>13837</v>
      </c>
      <c r="L10" s="290">
        <f t="shared" si="3"/>
        <v>13837</v>
      </c>
      <c r="M10" s="290">
        <f t="shared" si="3"/>
        <v>13837</v>
      </c>
      <c r="N10" s="290">
        <f t="shared" si="3"/>
        <v>13837</v>
      </c>
      <c r="O10" s="290">
        <f>12936-1-7892+692</f>
        <v>5735</v>
      </c>
      <c r="P10" s="291">
        <f aca="true" t="shared" si="4" ref="P10:P28">SUM(D10:O10)</f>
        <v>155242</v>
      </c>
      <c r="Q10" s="659">
        <f>+1_mell!F19+1_mell!F16+1_mell!F15+1_mell!F14+1_mell!F13+1_mell!F11</f>
        <v>155242</v>
      </c>
      <c r="R10" s="659">
        <f t="shared" si="2"/>
        <v>0</v>
      </c>
    </row>
    <row r="11" spans="1:18" ht="13.5" customHeight="1">
      <c r="A11" s="660" t="s">
        <v>26</v>
      </c>
      <c r="B11" s="264" t="s">
        <v>25</v>
      </c>
      <c r="C11" s="265" t="s">
        <v>318</v>
      </c>
      <c r="D11" s="290">
        <v>5000</v>
      </c>
      <c r="E11" s="290">
        <v>10000</v>
      </c>
      <c r="F11" s="290">
        <v>6094</v>
      </c>
      <c r="G11" s="290"/>
      <c r="H11" s="290"/>
      <c r="I11" s="290"/>
      <c r="J11" s="290"/>
      <c r="K11" s="290"/>
      <c r="L11" s="290">
        <v>14137</v>
      </c>
      <c r="M11" s="290"/>
      <c r="N11" s="290">
        <f>22313+26212</f>
        <v>48525</v>
      </c>
      <c r="O11" s="290"/>
      <c r="P11" s="291">
        <f>SUM(D11:O11)</f>
        <v>83756</v>
      </c>
      <c r="Q11" s="659">
        <f>+3_mell!H23+1_mell!F17</f>
        <v>83756</v>
      </c>
      <c r="R11" s="659">
        <f t="shared" si="2"/>
        <v>0</v>
      </c>
    </row>
    <row r="12" spans="1:18" ht="13.5" customHeight="1">
      <c r="A12" s="660" t="s">
        <v>27</v>
      </c>
      <c r="B12" s="264" t="s">
        <v>26</v>
      </c>
      <c r="C12" s="265" t="s">
        <v>319</v>
      </c>
      <c r="D12" s="290">
        <f>9845-9092+15000</f>
        <v>15753</v>
      </c>
      <c r="E12" s="290">
        <f>+D12</f>
        <v>15753</v>
      </c>
      <c r="F12" s="290">
        <f>9845+3337+1248+8500</f>
        <v>22930</v>
      </c>
      <c r="G12" s="290">
        <f>13182+10000</f>
        <v>23182</v>
      </c>
      <c r="H12" s="290">
        <f aca="true" t="shared" si="5" ref="H12:N12">+G12</f>
        <v>23182</v>
      </c>
      <c r="I12" s="290">
        <f t="shared" si="5"/>
        <v>23182</v>
      </c>
      <c r="J12" s="290">
        <f t="shared" si="5"/>
        <v>23182</v>
      </c>
      <c r="K12" s="290">
        <f t="shared" si="5"/>
        <v>23182</v>
      </c>
      <c r="L12" s="290">
        <f t="shared" si="5"/>
        <v>23182</v>
      </c>
      <c r="M12" s="290">
        <f t="shared" si="5"/>
        <v>23182</v>
      </c>
      <c r="N12" s="290">
        <f t="shared" si="5"/>
        <v>23182</v>
      </c>
      <c r="O12" s="290">
        <f>+N12-5+10-301+1+310</f>
        <v>23197</v>
      </c>
      <c r="P12" s="291">
        <f t="shared" si="4"/>
        <v>263089</v>
      </c>
      <c r="Q12" s="659">
        <f>+3_mell!F23</f>
        <v>263089</v>
      </c>
      <c r="R12" s="659">
        <f t="shared" si="2"/>
        <v>0</v>
      </c>
    </row>
    <row r="13" spans="1:18" ht="13.5" customHeight="1">
      <c r="A13" s="660" t="s">
        <v>28</v>
      </c>
      <c r="B13" s="264" t="s">
        <v>27</v>
      </c>
      <c r="C13" s="265" t="s">
        <v>320</v>
      </c>
      <c r="D13" s="290">
        <v>13</v>
      </c>
      <c r="E13" s="290">
        <f>+D13</f>
        <v>13</v>
      </c>
      <c r="F13" s="290">
        <f aca="true" t="shared" si="6" ref="F13:N13">+E13</f>
        <v>13</v>
      </c>
      <c r="G13" s="290">
        <f t="shared" si="6"/>
        <v>13</v>
      </c>
      <c r="H13" s="290">
        <f t="shared" si="6"/>
        <v>13</v>
      </c>
      <c r="I13" s="290">
        <f t="shared" si="6"/>
        <v>13</v>
      </c>
      <c r="J13" s="290">
        <f t="shared" si="6"/>
        <v>13</v>
      </c>
      <c r="K13" s="290">
        <f t="shared" si="6"/>
        <v>13</v>
      </c>
      <c r="L13" s="290">
        <f t="shared" si="6"/>
        <v>13</v>
      </c>
      <c r="M13" s="290">
        <f t="shared" si="6"/>
        <v>13</v>
      </c>
      <c r="N13" s="290">
        <f t="shared" si="6"/>
        <v>13</v>
      </c>
      <c r="O13" s="290">
        <f>+N13-6</f>
        <v>7</v>
      </c>
      <c r="P13" s="291">
        <f>SUM(D13:O13)</f>
        <v>150</v>
      </c>
      <c r="Q13" s="659">
        <f>+1_mell!F77</f>
        <v>150</v>
      </c>
      <c r="R13" s="659">
        <f t="shared" si="2"/>
        <v>0</v>
      </c>
    </row>
    <row r="14" spans="1:18" ht="21" customHeight="1">
      <c r="A14" s="660" t="s">
        <v>29</v>
      </c>
      <c r="B14" s="264" t="s">
        <v>28</v>
      </c>
      <c r="C14" s="270" t="s">
        <v>321</v>
      </c>
      <c r="D14" s="290"/>
      <c r="E14" s="290"/>
      <c r="F14" s="290">
        <v>75457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1">
        <f t="shared" si="4"/>
        <v>75457</v>
      </c>
      <c r="Q14" s="659">
        <f>+3_mell!E23</f>
        <v>75457</v>
      </c>
      <c r="R14" s="659">
        <f t="shared" si="2"/>
        <v>0</v>
      </c>
    </row>
    <row r="15" spans="1:18" ht="13.5" customHeight="1" thickBot="1">
      <c r="A15" s="660" t="s">
        <v>30</v>
      </c>
      <c r="B15" s="264" t="s">
        <v>29</v>
      </c>
      <c r="C15" s="265" t="s">
        <v>336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>
        <v>13316</v>
      </c>
      <c r="P15" s="291">
        <f t="shared" si="4"/>
        <v>13316</v>
      </c>
      <c r="Q15" s="659">
        <f>+1_mell!F80</f>
        <v>13316</v>
      </c>
      <c r="R15" s="659">
        <f t="shared" si="2"/>
        <v>0</v>
      </c>
    </row>
    <row r="16" spans="1:46" s="656" customFormat="1" ht="13.5" customHeight="1" thickBot="1">
      <c r="A16" s="656" t="s">
        <v>31</v>
      </c>
      <c r="B16" s="257" t="s">
        <v>30</v>
      </c>
      <c r="C16" s="272" t="s">
        <v>322</v>
      </c>
      <c r="D16" s="294">
        <f>SUM(D8:D15)</f>
        <v>56753</v>
      </c>
      <c r="E16" s="294">
        <f aca="true" t="shared" si="7" ref="E16:N16">SUM(E8:E15)</f>
        <v>61505</v>
      </c>
      <c r="F16" s="294">
        <f t="shared" si="7"/>
        <v>150940</v>
      </c>
      <c r="G16" s="294">
        <f t="shared" si="7"/>
        <v>63138</v>
      </c>
      <c r="H16" s="294">
        <f t="shared" si="7"/>
        <v>63138</v>
      </c>
      <c r="I16" s="294">
        <f t="shared" si="7"/>
        <v>63138</v>
      </c>
      <c r="J16" s="294">
        <f t="shared" si="7"/>
        <v>63138</v>
      </c>
      <c r="K16" s="294">
        <f t="shared" si="7"/>
        <v>63138</v>
      </c>
      <c r="L16" s="294">
        <f t="shared" si="7"/>
        <v>77275</v>
      </c>
      <c r="M16" s="294">
        <f t="shared" si="7"/>
        <v>63138</v>
      </c>
      <c r="N16" s="294">
        <f t="shared" si="7"/>
        <v>111663</v>
      </c>
      <c r="O16" s="294">
        <f>SUM(O8:O15)</f>
        <v>68542</v>
      </c>
      <c r="P16" s="294">
        <f>SUM(P8:P15)</f>
        <v>905506</v>
      </c>
      <c r="Q16" s="703">
        <f>SUM(Q8:Q15)</f>
        <v>905506</v>
      </c>
      <c r="R16" s="657">
        <f>+3_mell!L23</f>
        <v>892190</v>
      </c>
      <c r="S16" s="657">
        <f>+R16-Q16</f>
        <v>-13316</v>
      </c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</row>
    <row r="17" spans="1:46" s="656" customFormat="1" ht="13.5" customHeight="1" thickBot="1">
      <c r="A17" s="656" t="s">
        <v>32</v>
      </c>
      <c r="B17" s="257" t="s">
        <v>31</v>
      </c>
      <c r="C17" s="258" t="s">
        <v>125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74"/>
      <c r="Q17" s="659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7"/>
      <c r="AT17" s="657"/>
    </row>
    <row r="18" spans="1:18" ht="13.5" customHeight="1">
      <c r="A18" s="660" t="s">
        <v>33</v>
      </c>
      <c r="B18" s="275" t="s">
        <v>32</v>
      </c>
      <c r="C18" s="276" t="s">
        <v>215</v>
      </c>
      <c r="D18" s="292">
        <f>253+2758+17876</f>
        <v>20887</v>
      </c>
      <c r="E18" s="292">
        <f>264+2758+21087</f>
        <v>24109</v>
      </c>
      <c r="F18" s="292">
        <f>3590+2758+20302</f>
        <v>26650</v>
      </c>
      <c r="G18" s="292">
        <f>+F18+1+18669</f>
        <v>45320</v>
      </c>
      <c r="H18" s="292">
        <f>3590+2914</f>
        <v>6504</v>
      </c>
      <c r="I18" s="292">
        <f>3590+5828</f>
        <v>9418</v>
      </c>
      <c r="J18" s="292">
        <f>3590+7599</f>
        <v>11189</v>
      </c>
      <c r="K18" s="292">
        <f>3590+7599</f>
        <v>11189</v>
      </c>
      <c r="L18" s="292">
        <f>3590+7599</f>
        <v>11189</v>
      </c>
      <c r="M18" s="292">
        <f>3590+4685</f>
        <v>8275</v>
      </c>
      <c r="N18" s="292">
        <f>3590+1774</f>
        <v>5364</v>
      </c>
      <c r="O18" s="292">
        <v>3587</v>
      </c>
      <c r="P18" s="293">
        <f>SUM(D18:O18)</f>
        <v>183681</v>
      </c>
      <c r="Q18" s="659">
        <f>+4_mell!D22</f>
        <v>183681</v>
      </c>
      <c r="R18" s="659">
        <f aca="true" t="shared" si="8" ref="R18:R25">+Q18-P18</f>
        <v>0</v>
      </c>
    </row>
    <row r="19" spans="1:18" ht="24.75" customHeight="1">
      <c r="A19" s="660" t="s">
        <v>34</v>
      </c>
      <c r="B19" s="264" t="s">
        <v>33</v>
      </c>
      <c r="C19" s="270" t="s">
        <v>323</v>
      </c>
      <c r="D19" s="290">
        <f>65+372+2409</f>
        <v>2846</v>
      </c>
      <c r="E19" s="290">
        <f>67+372+2846</f>
        <v>3285</v>
      </c>
      <c r="F19" s="290">
        <f>516+272+101+2741</f>
        <v>3630</v>
      </c>
      <c r="G19" s="290">
        <f>516+372+2693</f>
        <v>3581</v>
      </c>
      <c r="H19" s="290">
        <f>516+393+2579</f>
        <v>3488</v>
      </c>
      <c r="I19" s="290">
        <f>516+787</f>
        <v>1303</v>
      </c>
      <c r="J19" s="290">
        <f>516+1026</f>
        <v>1542</v>
      </c>
      <c r="K19" s="290">
        <f>516+1026</f>
        <v>1542</v>
      </c>
      <c r="L19" s="290">
        <f>516+1026</f>
        <v>1542</v>
      </c>
      <c r="M19" s="290">
        <f>516+632</f>
        <v>1148</v>
      </c>
      <c r="N19" s="290">
        <f>516+236</f>
        <v>752</v>
      </c>
      <c r="O19" s="290">
        <v>506</v>
      </c>
      <c r="P19" s="291">
        <f t="shared" si="4"/>
        <v>25165</v>
      </c>
      <c r="Q19" s="659">
        <f>+4_mell!E22</f>
        <v>25165</v>
      </c>
      <c r="R19" s="659">
        <f t="shared" si="8"/>
        <v>0</v>
      </c>
    </row>
    <row r="20" spans="1:18" ht="13.5" customHeight="1">
      <c r="A20" s="660" t="s">
        <v>35</v>
      </c>
      <c r="B20" s="264" t="s">
        <v>34</v>
      </c>
      <c r="C20" s="265" t="s">
        <v>251</v>
      </c>
      <c r="D20" s="290">
        <f>473+3500</f>
        <v>3973</v>
      </c>
      <c r="E20" s="290">
        <f>473+5600</f>
        <v>6073</v>
      </c>
      <c r="F20" s="290">
        <f>473+2650+1689</f>
        <v>4812</v>
      </c>
      <c r="G20" s="290">
        <f>1913+2504</f>
        <v>4417</v>
      </c>
      <c r="H20" s="290">
        <v>473</v>
      </c>
      <c r="I20" s="290">
        <f>473+3464+3500</f>
        <v>7437</v>
      </c>
      <c r="J20" s="290">
        <f>473+4650+3500</f>
        <v>8623</v>
      </c>
      <c r="K20" s="290">
        <f>473+505+1185</f>
        <v>2163</v>
      </c>
      <c r="L20" s="290">
        <v>473</v>
      </c>
      <c r="M20" s="290">
        <v>473</v>
      </c>
      <c r="N20" s="290">
        <v>473</v>
      </c>
      <c r="O20" s="290">
        <f>473+3+9450</f>
        <v>9926</v>
      </c>
      <c r="P20" s="291">
        <f t="shared" si="4"/>
        <v>49316</v>
      </c>
      <c r="Q20" s="659">
        <f>+4_mell!F22</f>
        <v>49316</v>
      </c>
      <c r="R20" s="659">
        <f t="shared" si="8"/>
        <v>0</v>
      </c>
    </row>
    <row r="21" spans="1:18" ht="13.5" customHeight="1">
      <c r="A21" s="660" t="s">
        <v>36</v>
      </c>
      <c r="B21" s="264" t="s">
        <v>35</v>
      </c>
      <c r="C21" s="265" t="s">
        <v>324</v>
      </c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1">
        <f t="shared" si="4"/>
        <v>0</v>
      </c>
      <c r="R21" s="659">
        <f t="shared" si="8"/>
        <v>0</v>
      </c>
    </row>
    <row r="22" spans="1:18" ht="13.5" customHeight="1">
      <c r="A22" s="660" t="s">
        <v>37</v>
      </c>
      <c r="B22" s="264" t="s">
        <v>36</v>
      </c>
      <c r="C22" s="265" t="s">
        <v>325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>
        <f t="shared" si="4"/>
        <v>0</v>
      </c>
      <c r="R22" s="659">
        <f t="shared" si="8"/>
        <v>0</v>
      </c>
    </row>
    <row r="23" spans="1:18" ht="13.5" customHeight="1">
      <c r="A23" s="660" t="s">
        <v>40</v>
      </c>
      <c r="B23" s="264" t="s">
        <v>37</v>
      </c>
      <c r="C23" s="265" t="s">
        <v>326</v>
      </c>
      <c r="D23" s="290">
        <v>2239</v>
      </c>
      <c r="E23" s="290">
        <f aca="true" t="shared" si="9" ref="E23:N23">+D23</f>
        <v>2239</v>
      </c>
      <c r="F23" s="290">
        <f t="shared" si="9"/>
        <v>2239</v>
      </c>
      <c r="G23" s="290">
        <f>2239+35189</f>
        <v>37428</v>
      </c>
      <c r="H23" s="290">
        <v>2239</v>
      </c>
      <c r="I23" s="290">
        <v>2239</v>
      </c>
      <c r="J23" s="290">
        <f t="shared" si="9"/>
        <v>2239</v>
      </c>
      <c r="K23" s="290">
        <f t="shared" si="9"/>
        <v>2239</v>
      </c>
      <c r="L23" s="290">
        <f t="shared" si="9"/>
        <v>2239</v>
      </c>
      <c r="M23" s="290">
        <f t="shared" si="9"/>
        <v>2239</v>
      </c>
      <c r="N23" s="290">
        <f t="shared" si="9"/>
        <v>2239</v>
      </c>
      <c r="O23" s="290">
        <f>+N23+1-700+280</f>
        <v>1820</v>
      </c>
      <c r="P23" s="291">
        <f t="shared" si="4"/>
        <v>61638</v>
      </c>
      <c r="Q23" s="659">
        <f>+4_mell!H22</f>
        <v>61638</v>
      </c>
      <c r="R23" s="659">
        <f t="shared" si="8"/>
        <v>0</v>
      </c>
    </row>
    <row r="24" spans="1:18" ht="21" customHeight="1">
      <c r="A24" s="660" t="s">
        <v>42</v>
      </c>
      <c r="B24" s="264" t="s">
        <v>40</v>
      </c>
      <c r="C24" s="270" t="s">
        <v>327</v>
      </c>
      <c r="D24" s="290">
        <v>426</v>
      </c>
      <c r="E24" s="290">
        <f>+D24</f>
        <v>426</v>
      </c>
      <c r="F24" s="290">
        <f aca="true" t="shared" si="10" ref="F24:N24">+E24</f>
        <v>426</v>
      </c>
      <c r="G24" s="290">
        <f t="shared" si="10"/>
        <v>426</v>
      </c>
      <c r="H24" s="290">
        <f t="shared" si="10"/>
        <v>426</v>
      </c>
      <c r="I24" s="290">
        <f t="shared" si="10"/>
        <v>426</v>
      </c>
      <c r="J24" s="290">
        <f t="shared" si="10"/>
        <v>426</v>
      </c>
      <c r="K24" s="290">
        <f t="shared" si="10"/>
        <v>426</v>
      </c>
      <c r="L24" s="290">
        <f t="shared" si="10"/>
        <v>426</v>
      </c>
      <c r="M24" s="290">
        <f t="shared" si="10"/>
        <v>426</v>
      </c>
      <c r="N24" s="290">
        <f t="shared" si="10"/>
        <v>426</v>
      </c>
      <c r="O24" s="290">
        <f>+N24+2</f>
        <v>428</v>
      </c>
      <c r="P24" s="291">
        <f t="shared" si="4"/>
        <v>5114</v>
      </c>
      <c r="Q24" s="659">
        <f>+4_mell!I22</f>
        <v>5114</v>
      </c>
      <c r="R24" s="659">
        <f t="shared" si="8"/>
        <v>0</v>
      </c>
    </row>
    <row r="25" spans="1:18" ht="13.5" customHeight="1">
      <c r="A25" s="660" t="s">
        <v>43</v>
      </c>
      <c r="B25" s="264" t="s">
        <v>42</v>
      </c>
      <c r="C25" s="265" t="s">
        <v>450</v>
      </c>
      <c r="D25" s="290"/>
      <c r="E25" s="290">
        <v>1000</v>
      </c>
      <c r="F25" s="290">
        <v>2000</v>
      </c>
      <c r="G25" s="290"/>
      <c r="H25" s="290"/>
      <c r="I25" s="290">
        <v>1000</v>
      </c>
      <c r="J25" s="290"/>
      <c r="K25" s="290"/>
      <c r="L25" s="290"/>
      <c r="M25" s="290"/>
      <c r="N25" s="290"/>
      <c r="O25" s="290"/>
      <c r="P25" s="291">
        <f t="shared" si="4"/>
        <v>4000</v>
      </c>
      <c r="Q25" s="659">
        <f>+4_mell!K22</f>
        <v>4000</v>
      </c>
      <c r="R25" s="659">
        <f t="shared" si="8"/>
        <v>0</v>
      </c>
    </row>
    <row r="26" spans="1:16" ht="13.5" customHeight="1">
      <c r="A26" s="660" t="s">
        <v>44</v>
      </c>
      <c r="B26" s="264" t="s">
        <v>43</v>
      </c>
      <c r="C26" s="265" t="s">
        <v>329</v>
      </c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>
        <f t="shared" si="4"/>
        <v>0</v>
      </c>
    </row>
    <row r="27" spans="1:19" ht="13.5" customHeight="1">
      <c r="A27" s="660" t="s">
        <v>45</v>
      </c>
      <c r="B27" s="264" t="s">
        <v>44</v>
      </c>
      <c r="C27" s="265" t="s">
        <v>330</v>
      </c>
      <c r="D27" s="290"/>
      <c r="E27" s="290"/>
      <c r="F27" s="290"/>
      <c r="G27" s="290">
        <v>6094</v>
      </c>
      <c r="H27" s="290"/>
      <c r="I27" s="290">
        <v>8101</v>
      </c>
      <c r="J27" s="290"/>
      <c r="K27" s="290"/>
      <c r="L27" s="290"/>
      <c r="M27" s="290"/>
      <c r="N27" s="290">
        <v>26212</v>
      </c>
      <c r="O27" s="290">
        <f>35878-8101-900+12492-3169</f>
        <v>36200</v>
      </c>
      <c r="P27" s="291">
        <f t="shared" si="4"/>
        <v>76607</v>
      </c>
      <c r="Q27" s="659">
        <f>+4_mell!L22</f>
        <v>76607</v>
      </c>
      <c r="R27" s="659">
        <f>+4_mell!M22</f>
        <v>405521</v>
      </c>
      <c r="S27" s="659">
        <f>+Q27-P27</f>
        <v>0</v>
      </c>
    </row>
    <row r="28" spans="1:46" s="656" customFormat="1" ht="13.5" customHeight="1" thickBot="1">
      <c r="A28" s="656" t="s">
        <v>46</v>
      </c>
      <c r="B28" s="264" t="s">
        <v>45</v>
      </c>
      <c r="C28" s="265" t="s">
        <v>331</v>
      </c>
      <c r="D28" s="290">
        <f>+'20_mell'!D16+'19_mell'!D16+'18_mell'!D16+'17_mell'!D18</f>
        <v>54243</v>
      </c>
      <c r="E28" s="290">
        <f>+'20_mell'!E16+'19_mell'!E16+'18_mell'!E16+'17_mell'!E18</f>
        <v>50669</v>
      </c>
      <c r="F28" s="290">
        <f>+'20_mell'!F16+'19_mell'!F16+'18_mell'!F16+'17_mell'!F18</f>
        <v>22443</v>
      </c>
      <c r="G28" s="290">
        <f>+'20_mell'!G16+'19_mell'!G16+'18_mell'!G16+'17_mell'!G18</f>
        <v>40640</v>
      </c>
      <c r="H28" s="290">
        <f>+'20_mell'!H16+'19_mell'!H16+'18_mell'!H16+'17_mell'!H18</f>
        <v>42678</v>
      </c>
      <c r="I28" s="290">
        <f>+'20_mell'!I16+'19_mell'!I16+'18_mell'!I16+'17_mell'!I18</f>
        <v>40452</v>
      </c>
      <c r="J28" s="290">
        <f>+'20_mell'!J16+'19_mell'!J16+'18_mell'!J16+'17_mell'!J18</f>
        <v>40732</v>
      </c>
      <c r="K28" s="290">
        <f>+'20_mell'!K16+'19_mell'!K16+'18_mell'!K16+'17_mell'!K18</f>
        <v>44168</v>
      </c>
      <c r="L28" s="290">
        <f>+'20_mell'!L16+'19_mell'!L16+'18_mell'!L16+'17_mell'!L18</f>
        <v>41368</v>
      </c>
      <c r="M28" s="290">
        <f>+'20_mell'!M16+'19_mell'!M16+'18_mell'!M16+'17_mell'!M18</f>
        <v>41151</v>
      </c>
      <c r="N28" s="290">
        <f>+'20_mell'!N16+'19_mell'!N16+'18_mell'!N16+'17_mell'!N18</f>
        <v>40805</v>
      </c>
      <c r="O28" s="290">
        <f>+'20_mell'!O16+'19_mell'!O16+'18_mell'!O16+'17_mell'!O18</f>
        <v>40636</v>
      </c>
      <c r="P28" s="291">
        <f t="shared" si="4"/>
        <v>499985</v>
      </c>
      <c r="Q28" s="659">
        <f>+3_mell!J33</f>
        <v>499985</v>
      </c>
      <c r="R28" s="657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  <c r="AT28" s="657"/>
    </row>
    <row r="29" spans="1:46" s="656" customFormat="1" ht="13.5" customHeight="1" thickBot="1">
      <c r="A29" s="656" t="s">
        <v>47</v>
      </c>
      <c r="B29" s="278" t="s">
        <v>46</v>
      </c>
      <c r="C29" s="272" t="s">
        <v>332</v>
      </c>
      <c r="D29" s="294">
        <f>SUM(D18:D28)</f>
        <v>84614</v>
      </c>
      <c r="E29" s="294">
        <f aca="true" t="shared" si="11" ref="E29:O29">SUM(E18:E28)</f>
        <v>87801</v>
      </c>
      <c r="F29" s="294">
        <f t="shared" si="11"/>
        <v>62200</v>
      </c>
      <c r="G29" s="294">
        <f t="shared" si="11"/>
        <v>137906</v>
      </c>
      <c r="H29" s="294">
        <f t="shared" si="11"/>
        <v>55808</v>
      </c>
      <c r="I29" s="294">
        <f t="shared" si="11"/>
        <v>70376</v>
      </c>
      <c r="J29" s="294">
        <f t="shared" si="11"/>
        <v>64751</v>
      </c>
      <c r="K29" s="294">
        <f t="shared" si="11"/>
        <v>61727</v>
      </c>
      <c r="L29" s="294">
        <f t="shared" si="11"/>
        <v>57237</v>
      </c>
      <c r="M29" s="294">
        <f t="shared" si="11"/>
        <v>53712</v>
      </c>
      <c r="N29" s="294">
        <f t="shared" si="11"/>
        <v>76271</v>
      </c>
      <c r="O29" s="294">
        <f t="shared" si="11"/>
        <v>93103</v>
      </c>
      <c r="P29" s="295">
        <f>SUM(D29:O29)</f>
        <v>905506</v>
      </c>
      <c r="Q29" s="659"/>
      <c r="R29" s="704">
        <f>+Q28+R27</f>
        <v>905506</v>
      </c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7"/>
    </row>
    <row r="30" spans="1:46" s="44" customFormat="1" ht="28.5" customHeight="1" thickBot="1">
      <c r="A30" s="44" t="s">
        <v>48</v>
      </c>
      <c r="B30" s="278" t="s">
        <v>47</v>
      </c>
      <c r="C30" s="280" t="s">
        <v>337</v>
      </c>
      <c r="D30" s="296">
        <f>D16-D29</f>
        <v>-27861</v>
      </c>
      <c r="E30" s="296">
        <f aca="true" t="shared" si="12" ref="E30:N30">E16-E29</f>
        <v>-26296</v>
      </c>
      <c r="F30" s="296">
        <f t="shared" si="12"/>
        <v>88740</v>
      </c>
      <c r="G30" s="296">
        <f t="shared" si="12"/>
        <v>-74768</v>
      </c>
      <c r="H30" s="296">
        <f t="shared" si="12"/>
        <v>7330</v>
      </c>
      <c r="I30" s="296">
        <f t="shared" si="12"/>
        <v>-7238</v>
      </c>
      <c r="J30" s="296">
        <f t="shared" si="12"/>
        <v>-1613</v>
      </c>
      <c r="K30" s="296">
        <f t="shared" si="12"/>
        <v>1411</v>
      </c>
      <c r="L30" s="296">
        <f t="shared" si="12"/>
        <v>20038</v>
      </c>
      <c r="M30" s="296">
        <f t="shared" si="12"/>
        <v>9426</v>
      </c>
      <c r="N30" s="296">
        <f t="shared" si="12"/>
        <v>35392</v>
      </c>
      <c r="O30" s="296">
        <f>O16-O29</f>
        <v>-24561</v>
      </c>
      <c r="P30" s="297" t="s">
        <v>335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16" ht="13.5" customHeight="1"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7"/>
    </row>
    <row r="32" spans="2:16" ht="13.5" customHeight="1"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7"/>
    </row>
    <row r="33" spans="2:16" ht="13.5" customHeight="1">
      <c r="B33" s="659"/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7"/>
    </row>
    <row r="34" spans="2:16" ht="13.5" customHeight="1">
      <c r="B34" s="659"/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7"/>
    </row>
    <row r="35" spans="2:16" ht="13.5" customHeight="1">
      <c r="B35" s="659"/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7"/>
    </row>
    <row r="36" spans="2:16" ht="13.5" customHeight="1">
      <c r="B36" s="659"/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7"/>
    </row>
    <row r="37" spans="2:16" ht="13.5" customHeight="1"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7"/>
    </row>
    <row r="38" spans="2:16" ht="13.5" customHeight="1"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7"/>
    </row>
    <row r="39" spans="2:16" ht="13.5" customHeight="1"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7"/>
    </row>
    <row r="40" spans="2:16" ht="13.5" customHeight="1"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7"/>
    </row>
    <row r="41" spans="2:16" ht="13.5" customHeight="1"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7"/>
    </row>
    <row r="42" spans="2:16" ht="13.5" customHeight="1">
      <c r="B42" s="659"/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7"/>
    </row>
    <row r="43" spans="2:16" ht="13.5" customHeight="1"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7"/>
    </row>
    <row r="44" spans="2:16" ht="13.5" customHeight="1"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7"/>
    </row>
    <row r="45" spans="2:16" ht="13.5" customHeight="1"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7"/>
    </row>
    <row r="46" spans="2:16" ht="13.5" customHeight="1">
      <c r="B46" s="659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7"/>
    </row>
    <row r="47" spans="2:16" ht="13.5" customHeight="1"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7"/>
    </row>
    <row r="48" spans="2:16" ht="13.5" customHeight="1">
      <c r="B48" s="659"/>
      <c r="C48" s="659"/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7"/>
    </row>
    <row r="49" spans="2:16" ht="13.5" customHeight="1">
      <c r="B49" s="659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7"/>
    </row>
    <row r="50" spans="2:16" ht="13.5" customHeight="1"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7"/>
    </row>
    <row r="51" spans="2:16" ht="13.5" customHeight="1"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7"/>
    </row>
    <row r="52" spans="2:16" ht="13.5" customHeight="1"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659"/>
      <c r="P52" s="657"/>
    </row>
    <row r="53" spans="2:16" ht="13.5" customHeight="1">
      <c r="B53" s="659"/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57"/>
    </row>
    <row r="54" spans="2:16" ht="13.5" customHeight="1">
      <c r="B54" s="659"/>
      <c r="C54" s="659"/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7"/>
    </row>
    <row r="55" spans="2:16" ht="13.5" customHeight="1">
      <c r="B55" s="659"/>
      <c r="C55" s="659"/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7"/>
    </row>
    <row r="56" spans="2:16" ht="13.5" customHeight="1"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7"/>
    </row>
    <row r="57" spans="2:16" ht="13.5" customHeight="1">
      <c r="B57" s="659"/>
      <c r="C57" s="659"/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O57" s="659"/>
      <c r="P57" s="657"/>
    </row>
    <row r="58" spans="2:16" ht="13.5" customHeight="1">
      <c r="B58" s="659"/>
      <c r="C58" s="659"/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7"/>
    </row>
    <row r="59" spans="2:16" ht="13.5" customHeight="1">
      <c r="B59" s="659"/>
      <c r="C59" s="659"/>
      <c r="D59" s="659"/>
      <c r="E59" s="659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7"/>
    </row>
    <row r="60" spans="2:16" ht="13.5" customHeight="1">
      <c r="B60" s="659"/>
      <c r="C60" s="659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7"/>
    </row>
    <row r="61" spans="2:16" ht="13.5" customHeight="1"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7"/>
    </row>
    <row r="62" spans="2:16" ht="13.5" customHeight="1">
      <c r="B62" s="659"/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  <c r="P62" s="657"/>
    </row>
    <row r="63" spans="2:16" ht="13.5" customHeight="1">
      <c r="B63" s="659"/>
      <c r="C63" s="659"/>
      <c r="D63" s="659"/>
      <c r="E63" s="659"/>
      <c r="F63" s="659"/>
      <c r="G63" s="659"/>
      <c r="H63" s="659"/>
      <c r="I63" s="659"/>
      <c r="J63" s="659"/>
      <c r="K63" s="659"/>
      <c r="L63" s="659"/>
      <c r="M63" s="659"/>
      <c r="N63" s="659"/>
      <c r="O63" s="659"/>
      <c r="P63" s="657"/>
    </row>
    <row r="64" spans="2:16" ht="13.5" customHeight="1">
      <c r="B64" s="659"/>
      <c r="C64" s="659"/>
      <c r="D64" s="659"/>
      <c r="E64" s="659"/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7"/>
    </row>
    <row r="65" spans="2:16" ht="13.5" customHeight="1">
      <c r="B65" s="659"/>
      <c r="C65" s="659"/>
      <c r="D65" s="659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7"/>
    </row>
    <row r="66" spans="2:16" ht="13.5" customHeight="1">
      <c r="B66" s="659"/>
      <c r="C66" s="659"/>
      <c r="D66" s="659"/>
      <c r="E66" s="659"/>
      <c r="F66" s="659"/>
      <c r="G66" s="659"/>
      <c r="H66" s="659"/>
      <c r="I66" s="659"/>
      <c r="J66" s="659"/>
      <c r="K66" s="659"/>
      <c r="L66" s="659"/>
      <c r="M66" s="659"/>
      <c r="N66" s="659"/>
      <c r="O66" s="659"/>
      <c r="P66" s="657"/>
    </row>
    <row r="67" spans="2:16" ht="13.5" customHeight="1">
      <c r="B67" s="659"/>
      <c r="C67" s="659"/>
      <c r="D67" s="659"/>
      <c r="E67" s="659"/>
      <c r="F67" s="659"/>
      <c r="G67" s="659"/>
      <c r="H67" s="659"/>
      <c r="I67" s="659"/>
      <c r="J67" s="659"/>
      <c r="K67" s="659"/>
      <c r="L67" s="659"/>
      <c r="M67" s="659"/>
      <c r="N67" s="659"/>
      <c r="O67" s="659"/>
      <c r="P67" s="657"/>
    </row>
    <row r="68" spans="2:16" ht="13.5" customHeight="1">
      <c r="B68" s="659"/>
      <c r="C68" s="659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659"/>
      <c r="O68" s="659"/>
      <c r="P68" s="657"/>
    </row>
    <row r="69" spans="2:16" ht="13.5" customHeight="1"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659"/>
      <c r="N69" s="659"/>
      <c r="O69" s="659"/>
      <c r="P69" s="657"/>
    </row>
    <row r="70" spans="2:16" ht="13.5" customHeight="1">
      <c r="B70" s="659"/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7"/>
    </row>
    <row r="71" spans="2:16" ht="13.5" customHeight="1">
      <c r="B71" s="659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7"/>
    </row>
    <row r="72" spans="2:16" ht="13.5" customHeight="1">
      <c r="B72" s="659"/>
      <c r="C72" s="659"/>
      <c r="D72" s="659"/>
      <c r="E72" s="659"/>
      <c r="F72" s="659"/>
      <c r="G72" s="659"/>
      <c r="H72" s="659"/>
      <c r="I72" s="659"/>
      <c r="J72" s="659"/>
      <c r="K72" s="659"/>
      <c r="L72" s="659"/>
      <c r="M72" s="659"/>
      <c r="N72" s="659"/>
      <c r="O72" s="659"/>
      <c r="P72" s="657"/>
    </row>
    <row r="73" spans="2:16" ht="13.5" customHeight="1"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59"/>
      <c r="O73" s="659"/>
      <c r="P73" s="657"/>
    </row>
    <row r="74" spans="2:16" ht="13.5" customHeight="1">
      <c r="B74" s="659"/>
      <c r="C74" s="659"/>
      <c r="D74" s="659"/>
      <c r="E74" s="659"/>
      <c r="F74" s="659"/>
      <c r="G74" s="659"/>
      <c r="H74" s="659"/>
      <c r="I74" s="659"/>
      <c r="J74" s="659"/>
      <c r="K74" s="659"/>
      <c r="L74" s="659"/>
      <c r="M74" s="659"/>
      <c r="N74" s="659"/>
      <c r="O74" s="659"/>
      <c r="P74" s="657"/>
    </row>
    <row r="75" spans="2:16" ht="13.5" customHeight="1">
      <c r="B75" s="659"/>
      <c r="C75" s="659"/>
      <c r="D75" s="659"/>
      <c r="E75" s="659"/>
      <c r="F75" s="659"/>
      <c r="G75" s="659"/>
      <c r="H75" s="659"/>
      <c r="I75" s="659"/>
      <c r="J75" s="659"/>
      <c r="K75" s="659"/>
      <c r="L75" s="659"/>
      <c r="M75" s="659"/>
      <c r="N75" s="659"/>
      <c r="O75" s="659"/>
      <c r="P75" s="657"/>
    </row>
    <row r="76" spans="2:16" ht="13.5" customHeight="1">
      <c r="B76" s="659"/>
      <c r="C76" s="659"/>
      <c r="D76" s="659"/>
      <c r="E76" s="659"/>
      <c r="F76" s="659"/>
      <c r="G76" s="659"/>
      <c r="H76" s="659"/>
      <c r="I76" s="659"/>
      <c r="J76" s="659"/>
      <c r="K76" s="659"/>
      <c r="L76" s="659"/>
      <c r="M76" s="659"/>
      <c r="N76" s="659"/>
      <c r="O76" s="659"/>
      <c r="P76" s="657"/>
    </row>
    <row r="77" spans="2:16" ht="13.5" customHeight="1">
      <c r="B77" s="659"/>
      <c r="C77" s="659"/>
      <c r="D77" s="659"/>
      <c r="E77" s="659"/>
      <c r="F77" s="659"/>
      <c r="G77" s="659"/>
      <c r="H77" s="659"/>
      <c r="I77" s="659"/>
      <c r="J77" s="659"/>
      <c r="K77" s="659"/>
      <c r="L77" s="659"/>
      <c r="M77" s="659"/>
      <c r="N77" s="659"/>
      <c r="O77" s="659"/>
      <c r="P77" s="657"/>
    </row>
    <row r="78" spans="2:16" ht="13.5" customHeight="1">
      <c r="B78" s="659"/>
      <c r="C78" s="659"/>
      <c r="D78" s="659"/>
      <c r="E78" s="659"/>
      <c r="F78" s="659"/>
      <c r="G78" s="659"/>
      <c r="H78" s="659"/>
      <c r="I78" s="659"/>
      <c r="J78" s="659"/>
      <c r="K78" s="659"/>
      <c r="L78" s="659"/>
      <c r="M78" s="659"/>
      <c r="N78" s="659"/>
      <c r="O78" s="659"/>
      <c r="P78" s="657"/>
    </row>
    <row r="79" spans="2:16" ht="13.5" customHeight="1">
      <c r="B79" s="659"/>
      <c r="C79" s="659"/>
      <c r="D79" s="659"/>
      <c r="E79" s="659"/>
      <c r="F79" s="659"/>
      <c r="G79" s="659"/>
      <c r="H79" s="659"/>
      <c r="I79" s="659"/>
      <c r="J79" s="659"/>
      <c r="K79" s="659"/>
      <c r="L79" s="659"/>
      <c r="M79" s="659"/>
      <c r="N79" s="659"/>
      <c r="O79" s="659"/>
      <c r="P79" s="657"/>
    </row>
    <row r="80" spans="2:16" ht="13.5" customHeight="1">
      <c r="B80" s="659"/>
      <c r="C80" s="659"/>
      <c r="D80" s="659"/>
      <c r="E80" s="659"/>
      <c r="F80" s="659"/>
      <c r="G80" s="659"/>
      <c r="H80" s="659"/>
      <c r="I80" s="659"/>
      <c r="J80" s="659"/>
      <c r="K80" s="659"/>
      <c r="L80" s="659"/>
      <c r="M80" s="659"/>
      <c r="N80" s="659"/>
      <c r="O80" s="659"/>
      <c r="P80" s="657"/>
    </row>
    <row r="81" spans="2:16" ht="13.5" customHeight="1"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7"/>
    </row>
    <row r="82" spans="2:16" ht="13.5" customHeight="1"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7"/>
    </row>
    <row r="83" spans="2:16" ht="13.5" customHeight="1"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659"/>
      <c r="P83" s="657"/>
    </row>
    <row r="84" spans="2:16" ht="13.5" customHeight="1">
      <c r="B84" s="659"/>
      <c r="C84" s="659"/>
      <c r="D84" s="659"/>
      <c r="E84" s="659"/>
      <c r="F84" s="659"/>
      <c r="G84" s="659"/>
      <c r="H84" s="659"/>
      <c r="I84" s="659"/>
      <c r="J84" s="659"/>
      <c r="K84" s="659"/>
      <c r="L84" s="659"/>
      <c r="M84" s="659"/>
      <c r="N84" s="659"/>
      <c r="O84" s="659"/>
      <c r="P84" s="657"/>
    </row>
    <row r="85" spans="2:16" ht="13.5" customHeight="1">
      <c r="B85" s="659"/>
      <c r="C85" s="659"/>
      <c r="D85" s="659"/>
      <c r="E85" s="659"/>
      <c r="F85" s="659"/>
      <c r="G85" s="659"/>
      <c r="H85" s="659"/>
      <c r="I85" s="659"/>
      <c r="J85" s="659"/>
      <c r="K85" s="659"/>
      <c r="L85" s="659"/>
      <c r="M85" s="659"/>
      <c r="N85" s="659"/>
      <c r="O85" s="659"/>
      <c r="P85" s="657"/>
    </row>
    <row r="86" spans="2:16" ht="13.5" customHeight="1">
      <c r="B86" s="659"/>
      <c r="C86" s="659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59"/>
      <c r="O86" s="659"/>
      <c r="P86" s="657"/>
    </row>
    <row r="87" spans="2:16" ht="13.5" customHeight="1">
      <c r="B87" s="659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7"/>
    </row>
    <row r="88" spans="2:16" ht="13.5" customHeight="1">
      <c r="B88" s="659"/>
      <c r="C88" s="659"/>
      <c r="D88" s="659"/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7"/>
    </row>
    <row r="89" spans="2:16" ht="13.5" customHeight="1">
      <c r="B89" s="659"/>
      <c r="C89" s="659"/>
      <c r="D89" s="659"/>
      <c r="E89" s="659"/>
      <c r="F89" s="659"/>
      <c r="G89" s="659"/>
      <c r="H89" s="659"/>
      <c r="I89" s="659"/>
      <c r="J89" s="659"/>
      <c r="K89" s="659"/>
      <c r="L89" s="659"/>
      <c r="M89" s="659"/>
      <c r="N89" s="659"/>
      <c r="O89" s="659"/>
      <c r="P89" s="657"/>
    </row>
    <row r="90" spans="2:16" ht="13.5" customHeight="1">
      <c r="B90" s="659"/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7"/>
    </row>
    <row r="91" spans="2:16" ht="13.5" customHeight="1">
      <c r="B91" s="659"/>
      <c r="C91" s="659"/>
      <c r="D91" s="659"/>
      <c r="E91" s="659"/>
      <c r="F91" s="659"/>
      <c r="G91" s="659"/>
      <c r="H91" s="659"/>
      <c r="I91" s="659"/>
      <c r="J91" s="659"/>
      <c r="K91" s="659"/>
      <c r="L91" s="659"/>
      <c r="M91" s="659"/>
      <c r="N91" s="659"/>
      <c r="O91" s="659"/>
      <c r="P91" s="657"/>
    </row>
    <row r="92" spans="2:16" ht="13.5" customHeight="1">
      <c r="B92" s="659"/>
      <c r="C92" s="659"/>
      <c r="D92" s="659"/>
      <c r="E92" s="659"/>
      <c r="F92" s="659"/>
      <c r="G92" s="659"/>
      <c r="H92" s="659"/>
      <c r="I92" s="659"/>
      <c r="J92" s="659"/>
      <c r="K92" s="659"/>
      <c r="L92" s="659"/>
      <c r="M92" s="659"/>
      <c r="N92" s="659"/>
      <c r="O92" s="659"/>
      <c r="P92" s="657"/>
    </row>
    <row r="93" spans="2:16" ht="13.5" customHeight="1"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659"/>
      <c r="P93" s="657"/>
    </row>
    <row r="94" spans="2:16" ht="13.5" customHeight="1">
      <c r="B94" s="659"/>
      <c r="C94" s="659"/>
      <c r="D94" s="659"/>
      <c r="E94" s="659"/>
      <c r="F94" s="659"/>
      <c r="G94" s="659"/>
      <c r="H94" s="659"/>
      <c r="I94" s="659"/>
      <c r="J94" s="659"/>
      <c r="K94" s="659"/>
      <c r="L94" s="659"/>
      <c r="M94" s="659"/>
      <c r="N94" s="659"/>
      <c r="O94" s="659"/>
      <c r="P94" s="657"/>
    </row>
    <row r="95" spans="2:16" ht="13.5" customHeight="1">
      <c r="B95" s="659"/>
      <c r="C95" s="659"/>
      <c r="D95" s="659"/>
      <c r="E95" s="659"/>
      <c r="F95" s="659"/>
      <c r="G95" s="659"/>
      <c r="H95" s="659"/>
      <c r="I95" s="659"/>
      <c r="J95" s="659"/>
      <c r="K95" s="659"/>
      <c r="L95" s="659"/>
      <c r="M95" s="659"/>
      <c r="N95" s="659"/>
      <c r="O95" s="659"/>
      <c r="P95" s="657"/>
    </row>
    <row r="96" spans="2:16" ht="13.5" customHeight="1">
      <c r="B96" s="659"/>
      <c r="C96" s="659"/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59"/>
      <c r="P96" s="657"/>
    </row>
    <row r="97" spans="2:16" ht="13.5" customHeight="1">
      <c r="B97" s="659"/>
      <c r="C97" s="659"/>
      <c r="D97" s="659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7"/>
    </row>
    <row r="98" spans="2:16" ht="13.5" customHeight="1">
      <c r="B98" s="659"/>
      <c r="C98" s="659"/>
      <c r="D98" s="659"/>
      <c r="E98" s="659"/>
      <c r="F98" s="659"/>
      <c r="G98" s="659"/>
      <c r="H98" s="659"/>
      <c r="I98" s="659"/>
      <c r="J98" s="659"/>
      <c r="K98" s="659"/>
      <c r="L98" s="659"/>
      <c r="M98" s="659"/>
      <c r="N98" s="659"/>
      <c r="O98" s="659"/>
      <c r="P98" s="657"/>
    </row>
    <row r="99" spans="2:16" ht="13.5" customHeight="1">
      <c r="B99" s="659"/>
      <c r="C99" s="659"/>
      <c r="D99" s="659"/>
      <c r="E99" s="659"/>
      <c r="F99" s="659"/>
      <c r="G99" s="659"/>
      <c r="H99" s="659"/>
      <c r="I99" s="659"/>
      <c r="J99" s="659"/>
      <c r="K99" s="659"/>
      <c r="L99" s="659"/>
      <c r="M99" s="659"/>
      <c r="N99" s="659"/>
      <c r="O99" s="659"/>
      <c r="P99" s="657"/>
    </row>
    <row r="100" spans="2:16" ht="13.5" customHeight="1">
      <c r="B100" s="659"/>
      <c r="C100" s="659"/>
      <c r="D100" s="659"/>
      <c r="E100" s="659"/>
      <c r="F100" s="659"/>
      <c r="G100" s="659"/>
      <c r="H100" s="659"/>
      <c r="I100" s="659"/>
      <c r="J100" s="659"/>
      <c r="K100" s="659"/>
      <c r="L100" s="659"/>
      <c r="M100" s="659"/>
      <c r="N100" s="659"/>
      <c r="O100" s="659"/>
      <c r="P100" s="657"/>
    </row>
    <row r="101" spans="2:16" ht="13.5" customHeight="1">
      <c r="B101" s="659"/>
      <c r="C101" s="659"/>
      <c r="D101" s="659"/>
      <c r="E101" s="659"/>
      <c r="F101" s="659"/>
      <c r="G101" s="659"/>
      <c r="H101" s="659"/>
      <c r="I101" s="659"/>
      <c r="J101" s="659"/>
      <c r="K101" s="659"/>
      <c r="L101" s="659"/>
      <c r="M101" s="659"/>
      <c r="N101" s="659"/>
      <c r="O101" s="659"/>
      <c r="P101" s="657"/>
    </row>
    <row r="102" spans="2:16" ht="13.5" customHeight="1">
      <c r="B102" s="659"/>
      <c r="C102" s="659"/>
      <c r="D102" s="659"/>
      <c r="E102" s="659"/>
      <c r="F102" s="659"/>
      <c r="G102" s="659"/>
      <c r="H102" s="659"/>
      <c r="I102" s="659"/>
      <c r="J102" s="659"/>
      <c r="K102" s="659"/>
      <c r="L102" s="659"/>
      <c r="M102" s="659"/>
      <c r="N102" s="659"/>
      <c r="O102" s="659"/>
      <c r="P102" s="657"/>
    </row>
    <row r="103" spans="2:16" ht="13.5" customHeight="1">
      <c r="B103" s="659"/>
      <c r="C103" s="659"/>
      <c r="D103" s="659"/>
      <c r="E103" s="659"/>
      <c r="F103" s="659"/>
      <c r="G103" s="659"/>
      <c r="H103" s="659"/>
      <c r="I103" s="659"/>
      <c r="J103" s="659"/>
      <c r="K103" s="659"/>
      <c r="L103" s="659"/>
      <c r="M103" s="659"/>
      <c r="N103" s="659"/>
      <c r="O103" s="659"/>
      <c r="P103" s="657"/>
    </row>
    <row r="104" spans="2:16" ht="13.5" customHeight="1"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9"/>
      <c r="O104" s="659"/>
      <c r="P104" s="657"/>
    </row>
    <row r="105" spans="2:16" ht="13.5" customHeight="1">
      <c r="B105" s="659"/>
      <c r="C105" s="659"/>
      <c r="D105" s="659"/>
      <c r="E105" s="659"/>
      <c r="F105" s="659"/>
      <c r="G105" s="659"/>
      <c r="H105" s="659"/>
      <c r="I105" s="659"/>
      <c r="J105" s="659"/>
      <c r="K105" s="659"/>
      <c r="L105" s="659"/>
      <c r="M105" s="659"/>
      <c r="N105" s="659"/>
      <c r="O105" s="659"/>
      <c r="P105" s="657"/>
    </row>
    <row r="106" spans="2:16" ht="13.5" customHeight="1">
      <c r="B106" s="659"/>
      <c r="C106" s="659"/>
      <c r="D106" s="659"/>
      <c r="E106" s="659"/>
      <c r="F106" s="659"/>
      <c r="G106" s="659"/>
      <c r="H106" s="659"/>
      <c r="I106" s="659"/>
      <c r="J106" s="659"/>
      <c r="K106" s="659"/>
      <c r="L106" s="659"/>
      <c r="M106" s="659"/>
      <c r="N106" s="659"/>
      <c r="O106" s="659"/>
      <c r="P106" s="657"/>
    </row>
    <row r="107" spans="2:16" ht="13.5" customHeight="1">
      <c r="B107" s="659"/>
      <c r="C107" s="659"/>
      <c r="D107" s="659"/>
      <c r="E107" s="659"/>
      <c r="F107" s="659"/>
      <c r="G107" s="659"/>
      <c r="H107" s="659"/>
      <c r="I107" s="659"/>
      <c r="J107" s="659"/>
      <c r="K107" s="659"/>
      <c r="L107" s="659"/>
      <c r="M107" s="659"/>
      <c r="N107" s="659"/>
      <c r="O107" s="659"/>
      <c r="P107" s="657"/>
    </row>
    <row r="108" spans="2:16" ht="13.5" customHeight="1">
      <c r="B108" s="659"/>
      <c r="C108" s="659"/>
      <c r="D108" s="659"/>
      <c r="E108" s="659"/>
      <c r="F108" s="659"/>
      <c r="G108" s="659"/>
      <c r="H108" s="659"/>
      <c r="I108" s="659"/>
      <c r="J108" s="659"/>
      <c r="K108" s="659"/>
      <c r="L108" s="659"/>
      <c r="M108" s="659"/>
      <c r="N108" s="659"/>
      <c r="O108" s="659"/>
      <c r="P108" s="657"/>
    </row>
    <row r="109" spans="2:16" ht="13.5" customHeight="1">
      <c r="B109" s="659"/>
      <c r="C109" s="659"/>
      <c r="D109" s="659"/>
      <c r="E109" s="659"/>
      <c r="F109" s="659"/>
      <c r="G109" s="659"/>
      <c r="H109" s="659"/>
      <c r="I109" s="659"/>
      <c r="J109" s="659"/>
      <c r="K109" s="659"/>
      <c r="L109" s="659"/>
      <c r="M109" s="659"/>
      <c r="N109" s="659"/>
      <c r="O109" s="659"/>
      <c r="P109" s="657"/>
    </row>
    <row r="110" spans="2:16" ht="13.5" customHeight="1">
      <c r="B110" s="659"/>
      <c r="C110" s="659"/>
      <c r="D110" s="659"/>
      <c r="E110" s="659"/>
      <c r="F110" s="659"/>
      <c r="G110" s="659"/>
      <c r="H110" s="659"/>
      <c r="I110" s="659"/>
      <c r="J110" s="659"/>
      <c r="K110" s="659"/>
      <c r="L110" s="659"/>
      <c r="M110" s="659"/>
      <c r="N110" s="659"/>
      <c r="O110" s="659"/>
      <c r="P110" s="657"/>
    </row>
    <row r="111" spans="2:16" ht="13.5" customHeight="1"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7"/>
    </row>
    <row r="112" spans="2:16" ht="13.5" customHeight="1">
      <c r="B112" s="659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7"/>
    </row>
    <row r="113" spans="2:16" ht="13.5" customHeight="1">
      <c r="B113" s="659"/>
      <c r="C113" s="659"/>
      <c r="D113" s="659"/>
      <c r="E113" s="659"/>
      <c r="F113" s="659"/>
      <c r="G113" s="659"/>
      <c r="H113" s="659"/>
      <c r="I113" s="659"/>
      <c r="J113" s="659"/>
      <c r="K113" s="659"/>
      <c r="L113" s="659"/>
      <c r="M113" s="659"/>
      <c r="N113" s="659"/>
      <c r="O113" s="659"/>
      <c r="P113" s="657"/>
    </row>
    <row r="114" spans="2:16" ht="13.5" customHeight="1">
      <c r="B114" s="659"/>
      <c r="C114" s="659"/>
      <c r="D114" s="659"/>
      <c r="E114" s="659"/>
      <c r="F114" s="659"/>
      <c r="G114" s="659"/>
      <c r="H114" s="659"/>
      <c r="I114" s="659"/>
      <c r="J114" s="659"/>
      <c r="K114" s="659"/>
      <c r="L114" s="659"/>
      <c r="M114" s="659"/>
      <c r="N114" s="659"/>
      <c r="O114" s="659"/>
      <c r="P114" s="657"/>
    </row>
    <row r="115" spans="2:16" ht="13.5" customHeight="1">
      <c r="B115" s="659"/>
      <c r="C115" s="659"/>
      <c r="D115" s="659"/>
      <c r="E115" s="659"/>
      <c r="F115" s="659"/>
      <c r="G115" s="659"/>
      <c r="H115" s="659"/>
      <c r="I115" s="659"/>
      <c r="J115" s="659"/>
      <c r="K115" s="659"/>
      <c r="L115" s="659"/>
      <c r="M115" s="659"/>
      <c r="N115" s="659"/>
      <c r="O115" s="659"/>
      <c r="P115" s="657"/>
    </row>
    <row r="116" spans="2:16" ht="13.5" customHeight="1">
      <c r="B116" s="659"/>
      <c r="C116" s="659"/>
      <c r="D116" s="659"/>
      <c r="E116" s="659"/>
      <c r="F116" s="659"/>
      <c r="G116" s="659"/>
      <c r="H116" s="659"/>
      <c r="I116" s="659"/>
      <c r="J116" s="659"/>
      <c r="K116" s="659"/>
      <c r="L116" s="659"/>
      <c r="M116" s="659"/>
      <c r="N116" s="659"/>
      <c r="O116" s="659"/>
      <c r="P116" s="657"/>
    </row>
    <row r="117" spans="2:16" ht="13.5" customHeight="1">
      <c r="B117" s="659"/>
      <c r="C117" s="659"/>
      <c r="D117" s="659"/>
      <c r="E117" s="659"/>
      <c r="F117" s="659"/>
      <c r="G117" s="659"/>
      <c r="H117" s="659"/>
      <c r="I117" s="659"/>
      <c r="J117" s="659"/>
      <c r="K117" s="659"/>
      <c r="L117" s="659"/>
      <c r="M117" s="659"/>
      <c r="N117" s="659"/>
      <c r="O117" s="659"/>
      <c r="P117" s="657"/>
    </row>
    <row r="118" spans="2:16" ht="13.5" customHeight="1">
      <c r="B118" s="659"/>
      <c r="C118" s="659"/>
      <c r="D118" s="659"/>
      <c r="E118" s="659"/>
      <c r="F118" s="659"/>
      <c r="G118" s="659"/>
      <c r="H118" s="659"/>
      <c r="I118" s="659"/>
      <c r="J118" s="659"/>
      <c r="K118" s="659"/>
      <c r="L118" s="659"/>
      <c r="M118" s="659"/>
      <c r="N118" s="659"/>
      <c r="O118" s="659"/>
      <c r="P118" s="657"/>
    </row>
    <row r="119" spans="2:16" ht="13.5" customHeight="1">
      <c r="B119" s="659"/>
      <c r="C119" s="659"/>
      <c r="D119" s="659"/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7"/>
    </row>
    <row r="120" spans="2:16" ht="13.5" customHeight="1">
      <c r="B120" s="659"/>
      <c r="C120" s="659"/>
      <c r="D120" s="659"/>
      <c r="E120" s="659"/>
      <c r="F120" s="659"/>
      <c r="G120" s="659"/>
      <c r="H120" s="659"/>
      <c r="I120" s="659"/>
      <c r="J120" s="659"/>
      <c r="K120" s="659"/>
      <c r="L120" s="659"/>
      <c r="M120" s="659"/>
      <c r="N120" s="659"/>
      <c r="O120" s="659"/>
      <c r="P120" s="657"/>
    </row>
    <row r="121" spans="2:16" ht="13.5" customHeight="1">
      <c r="B121" s="659"/>
      <c r="C121" s="659"/>
      <c r="D121" s="659"/>
      <c r="E121" s="659"/>
      <c r="F121" s="659"/>
      <c r="G121" s="659"/>
      <c r="H121" s="659"/>
      <c r="I121" s="659"/>
      <c r="J121" s="659"/>
      <c r="K121" s="659"/>
      <c r="L121" s="659"/>
      <c r="M121" s="659"/>
      <c r="N121" s="659"/>
      <c r="O121" s="659"/>
      <c r="P121" s="657"/>
    </row>
    <row r="122" spans="2:16" ht="13.5" customHeight="1">
      <c r="B122" s="659"/>
      <c r="C122" s="659"/>
      <c r="D122" s="659"/>
      <c r="E122" s="659"/>
      <c r="F122" s="659"/>
      <c r="G122" s="659"/>
      <c r="H122" s="659"/>
      <c r="I122" s="659"/>
      <c r="J122" s="659"/>
      <c r="K122" s="659"/>
      <c r="L122" s="659"/>
      <c r="M122" s="659"/>
      <c r="N122" s="659"/>
      <c r="O122" s="659"/>
      <c r="P122" s="657"/>
    </row>
    <row r="123" spans="2:16" ht="13.5" customHeight="1">
      <c r="B123" s="659"/>
      <c r="C123" s="659"/>
      <c r="D123" s="659"/>
      <c r="E123" s="659"/>
      <c r="F123" s="659"/>
      <c r="G123" s="659"/>
      <c r="H123" s="659"/>
      <c r="I123" s="659"/>
      <c r="J123" s="659"/>
      <c r="K123" s="659"/>
      <c r="L123" s="659"/>
      <c r="M123" s="659"/>
      <c r="N123" s="659"/>
      <c r="O123" s="659"/>
      <c r="P123" s="657"/>
    </row>
    <row r="124" spans="2:16" ht="13.5" customHeight="1">
      <c r="B124" s="659"/>
      <c r="C124" s="659"/>
      <c r="D124" s="659"/>
      <c r="E124" s="659"/>
      <c r="F124" s="659"/>
      <c r="G124" s="659"/>
      <c r="H124" s="659"/>
      <c r="I124" s="659"/>
      <c r="J124" s="659"/>
      <c r="K124" s="659"/>
      <c r="L124" s="659"/>
      <c r="M124" s="659"/>
      <c r="N124" s="659"/>
      <c r="O124" s="659"/>
      <c r="P124" s="657"/>
    </row>
    <row r="125" spans="2:16" ht="13.5" customHeight="1">
      <c r="B125" s="659"/>
      <c r="C125" s="659"/>
      <c r="D125" s="659"/>
      <c r="E125" s="659"/>
      <c r="F125" s="659"/>
      <c r="G125" s="659"/>
      <c r="H125" s="659"/>
      <c r="I125" s="659"/>
      <c r="J125" s="659"/>
      <c r="K125" s="659"/>
      <c r="L125" s="659"/>
      <c r="M125" s="659"/>
      <c r="N125" s="659"/>
      <c r="O125" s="659"/>
      <c r="P125" s="657"/>
    </row>
    <row r="126" spans="2:16" ht="13.5" customHeight="1">
      <c r="B126" s="659"/>
      <c r="C126" s="659"/>
      <c r="D126" s="659"/>
      <c r="E126" s="659"/>
      <c r="F126" s="659"/>
      <c r="G126" s="659"/>
      <c r="H126" s="659"/>
      <c r="I126" s="659"/>
      <c r="J126" s="659"/>
      <c r="K126" s="659"/>
      <c r="L126" s="659"/>
      <c r="M126" s="659"/>
      <c r="N126" s="659"/>
      <c r="O126" s="659"/>
      <c r="P126" s="657"/>
    </row>
    <row r="127" spans="2:16" ht="13.5" customHeight="1">
      <c r="B127" s="659"/>
      <c r="C127" s="659"/>
      <c r="D127" s="659"/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7"/>
    </row>
    <row r="128" spans="2:16" ht="13.5" customHeight="1">
      <c r="B128" s="659"/>
      <c r="C128" s="659"/>
      <c r="D128" s="659"/>
      <c r="E128" s="659"/>
      <c r="F128" s="659"/>
      <c r="G128" s="659"/>
      <c r="H128" s="659"/>
      <c r="I128" s="659"/>
      <c r="J128" s="659"/>
      <c r="K128" s="659"/>
      <c r="L128" s="659"/>
      <c r="M128" s="659"/>
      <c r="N128" s="659"/>
      <c r="O128" s="659"/>
      <c r="P128" s="657"/>
    </row>
    <row r="129" spans="2:16" ht="13.5" customHeight="1">
      <c r="B129" s="659"/>
      <c r="C129" s="659"/>
      <c r="D129" s="659"/>
      <c r="E129" s="659"/>
      <c r="F129" s="659"/>
      <c r="G129" s="659"/>
      <c r="H129" s="659"/>
      <c r="I129" s="659"/>
      <c r="J129" s="659"/>
      <c r="K129" s="659"/>
      <c r="L129" s="659"/>
      <c r="M129" s="659"/>
      <c r="N129" s="659"/>
      <c r="O129" s="659"/>
      <c r="P129" s="657"/>
    </row>
    <row r="130" spans="2:16" ht="13.5" customHeight="1">
      <c r="B130" s="659"/>
      <c r="C130" s="659"/>
      <c r="D130" s="659"/>
      <c r="E130" s="659"/>
      <c r="F130" s="659"/>
      <c r="G130" s="659"/>
      <c r="H130" s="659"/>
      <c r="I130" s="659"/>
      <c r="J130" s="659"/>
      <c r="K130" s="659"/>
      <c r="L130" s="659"/>
      <c r="M130" s="659"/>
      <c r="N130" s="659"/>
      <c r="O130" s="659"/>
      <c r="P130" s="657"/>
    </row>
    <row r="131" spans="2:16" ht="13.5" customHeight="1">
      <c r="B131" s="659"/>
      <c r="C131" s="659"/>
      <c r="D131" s="659"/>
      <c r="E131" s="659"/>
      <c r="F131" s="659"/>
      <c r="G131" s="659"/>
      <c r="H131" s="659"/>
      <c r="I131" s="659"/>
      <c r="J131" s="659"/>
      <c r="K131" s="659"/>
      <c r="L131" s="659"/>
      <c r="M131" s="659"/>
      <c r="N131" s="659"/>
      <c r="O131" s="659"/>
      <c r="P131" s="657"/>
    </row>
    <row r="132" spans="2:16" ht="13.5" customHeight="1">
      <c r="B132" s="659"/>
      <c r="C132" s="659"/>
      <c r="D132" s="659"/>
      <c r="E132" s="659"/>
      <c r="F132" s="659"/>
      <c r="G132" s="659"/>
      <c r="H132" s="659"/>
      <c r="I132" s="659"/>
      <c r="J132" s="659"/>
      <c r="K132" s="659"/>
      <c r="L132" s="659"/>
      <c r="M132" s="659"/>
      <c r="N132" s="659"/>
      <c r="O132" s="659"/>
      <c r="P132" s="657"/>
    </row>
    <row r="133" spans="2:16" ht="13.5" customHeight="1">
      <c r="B133" s="659"/>
      <c r="C133" s="659"/>
      <c r="D133" s="659"/>
      <c r="E133" s="659"/>
      <c r="F133" s="659"/>
      <c r="G133" s="659"/>
      <c r="H133" s="659"/>
      <c r="I133" s="659"/>
      <c r="J133" s="659"/>
      <c r="K133" s="659"/>
      <c r="L133" s="659"/>
      <c r="M133" s="659"/>
      <c r="N133" s="659"/>
      <c r="O133" s="659"/>
      <c r="P133" s="657"/>
    </row>
    <row r="134" spans="2:16" ht="13.5" customHeight="1"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7"/>
    </row>
    <row r="135" spans="2:16" ht="13.5" customHeight="1">
      <c r="B135" s="659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59"/>
      <c r="N135" s="659"/>
      <c r="O135" s="659"/>
      <c r="P135" s="657"/>
    </row>
    <row r="136" spans="2:16" ht="13.5" customHeight="1"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7"/>
    </row>
    <row r="137" spans="2:16" ht="13.5" customHeight="1">
      <c r="B137" s="659"/>
      <c r="C137" s="659"/>
      <c r="D137" s="659"/>
      <c r="E137" s="659"/>
      <c r="F137" s="659"/>
      <c r="G137" s="659"/>
      <c r="H137" s="659"/>
      <c r="I137" s="659"/>
      <c r="J137" s="659"/>
      <c r="K137" s="659"/>
      <c r="L137" s="659"/>
      <c r="M137" s="659"/>
      <c r="N137" s="659"/>
      <c r="O137" s="659"/>
      <c r="P137" s="657"/>
    </row>
    <row r="138" spans="2:16" ht="13.5" customHeight="1">
      <c r="B138" s="659"/>
      <c r="C138" s="659"/>
      <c r="D138" s="659"/>
      <c r="E138" s="659"/>
      <c r="F138" s="659"/>
      <c r="G138" s="659"/>
      <c r="H138" s="659"/>
      <c r="I138" s="659"/>
      <c r="J138" s="659"/>
      <c r="K138" s="659"/>
      <c r="L138" s="659"/>
      <c r="M138" s="659"/>
      <c r="N138" s="659"/>
      <c r="O138" s="659"/>
      <c r="P138" s="657"/>
    </row>
    <row r="139" spans="2:16" ht="13.5" customHeight="1">
      <c r="B139" s="659"/>
      <c r="C139" s="659"/>
      <c r="D139" s="659"/>
      <c r="E139" s="659"/>
      <c r="F139" s="659"/>
      <c r="G139" s="659"/>
      <c r="H139" s="659"/>
      <c r="I139" s="659"/>
      <c r="J139" s="659"/>
      <c r="K139" s="659"/>
      <c r="L139" s="659"/>
      <c r="M139" s="659"/>
      <c r="N139" s="659"/>
      <c r="O139" s="659"/>
      <c r="P139" s="657"/>
    </row>
    <row r="140" spans="2:16" ht="13.5" customHeight="1">
      <c r="B140" s="659"/>
      <c r="C140" s="659"/>
      <c r="D140" s="659"/>
      <c r="E140" s="659"/>
      <c r="F140" s="659"/>
      <c r="G140" s="659"/>
      <c r="H140" s="659"/>
      <c r="I140" s="659"/>
      <c r="J140" s="659"/>
      <c r="K140" s="659"/>
      <c r="L140" s="659"/>
      <c r="M140" s="659"/>
      <c r="N140" s="659"/>
      <c r="O140" s="659"/>
      <c r="P140" s="657"/>
    </row>
    <row r="141" spans="2:16" ht="13.5" customHeight="1">
      <c r="B141" s="659"/>
      <c r="C141" s="659"/>
      <c r="D141" s="659"/>
      <c r="E141" s="659"/>
      <c r="F141" s="659"/>
      <c r="G141" s="659"/>
      <c r="H141" s="659"/>
      <c r="I141" s="659"/>
      <c r="J141" s="659"/>
      <c r="K141" s="659"/>
      <c r="L141" s="659"/>
      <c r="M141" s="659"/>
      <c r="N141" s="659"/>
      <c r="O141" s="659"/>
      <c r="P141" s="657"/>
    </row>
    <row r="142" spans="2:16" ht="13.5" customHeight="1">
      <c r="B142" s="659"/>
      <c r="C142" s="659"/>
      <c r="D142" s="659"/>
      <c r="E142" s="659"/>
      <c r="F142" s="659"/>
      <c r="G142" s="659"/>
      <c r="H142" s="659"/>
      <c r="I142" s="659"/>
      <c r="J142" s="659"/>
      <c r="K142" s="659"/>
      <c r="L142" s="659"/>
      <c r="M142" s="659"/>
      <c r="N142" s="659"/>
      <c r="O142" s="659"/>
      <c r="P142" s="657"/>
    </row>
    <row r="143" spans="2:16" ht="13.5" customHeight="1">
      <c r="B143" s="659"/>
      <c r="C143" s="659"/>
      <c r="D143" s="659"/>
      <c r="E143" s="659"/>
      <c r="F143" s="659"/>
      <c r="G143" s="659"/>
      <c r="H143" s="659"/>
      <c r="I143" s="659"/>
      <c r="J143" s="659"/>
      <c r="K143" s="659"/>
      <c r="L143" s="659"/>
      <c r="M143" s="659"/>
      <c r="N143" s="659"/>
      <c r="O143" s="659"/>
      <c r="P143" s="657"/>
    </row>
    <row r="144" spans="2:16" ht="13.5" customHeight="1">
      <c r="B144" s="659"/>
      <c r="C144" s="659"/>
      <c r="D144" s="659"/>
      <c r="E144" s="659"/>
      <c r="F144" s="659"/>
      <c r="G144" s="659"/>
      <c r="H144" s="659"/>
      <c r="I144" s="659"/>
      <c r="J144" s="659"/>
      <c r="K144" s="659"/>
      <c r="L144" s="659"/>
      <c r="M144" s="659"/>
      <c r="N144" s="659"/>
      <c r="O144" s="659"/>
      <c r="P144" s="657"/>
    </row>
    <row r="145" spans="2:16" ht="13.5" customHeight="1">
      <c r="B145" s="659"/>
      <c r="C145" s="659"/>
      <c r="D145" s="659"/>
      <c r="E145" s="659"/>
      <c r="F145" s="659"/>
      <c r="G145" s="659"/>
      <c r="H145" s="659"/>
      <c r="I145" s="659"/>
      <c r="J145" s="659"/>
      <c r="K145" s="659"/>
      <c r="L145" s="659"/>
      <c r="M145" s="659"/>
      <c r="N145" s="659"/>
      <c r="O145" s="659"/>
      <c r="P145" s="657"/>
    </row>
    <row r="146" spans="2:16" ht="13.5" customHeight="1">
      <c r="B146" s="659"/>
      <c r="C146" s="659"/>
      <c r="D146" s="659"/>
      <c r="E146" s="659"/>
      <c r="F146" s="659"/>
      <c r="G146" s="659"/>
      <c r="H146" s="659"/>
      <c r="I146" s="659"/>
      <c r="J146" s="659"/>
      <c r="K146" s="659"/>
      <c r="L146" s="659"/>
      <c r="M146" s="659"/>
      <c r="N146" s="659"/>
      <c r="O146" s="659"/>
      <c r="P146" s="657"/>
    </row>
    <row r="147" spans="2:16" ht="13.5" customHeight="1">
      <c r="B147" s="659"/>
      <c r="C147" s="659"/>
      <c r="D147" s="659"/>
      <c r="E147" s="659"/>
      <c r="F147" s="659"/>
      <c r="G147" s="659"/>
      <c r="H147" s="659"/>
      <c r="I147" s="659"/>
      <c r="J147" s="659"/>
      <c r="K147" s="659"/>
      <c r="L147" s="659"/>
      <c r="M147" s="659"/>
      <c r="N147" s="659"/>
      <c r="O147" s="659"/>
      <c r="P147" s="657"/>
    </row>
    <row r="148" spans="2:16" ht="13.5" customHeight="1">
      <c r="B148" s="659"/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7"/>
    </row>
    <row r="149" spans="2:16" ht="13.5" customHeight="1">
      <c r="B149" s="659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N149" s="659"/>
      <c r="O149" s="659"/>
      <c r="P149" s="657"/>
    </row>
    <row r="150" spans="2:16" ht="13.5" customHeight="1">
      <c r="B150" s="659"/>
      <c r="C150" s="659"/>
      <c r="D150" s="659"/>
      <c r="E150" s="659"/>
      <c r="F150" s="659"/>
      <c r="G150" s="659"/>
      <c r="H150" s="659"/>
      <c r="I150" s="659"/>
      <c r="J150" s="659"/>
      <c r="K150" s="659"/>
      <c r="L150" s="659"/>
      <c r="M150" s="659"/>
      <c r="N150" s="659"/>
      <c r="O150" s="659"/>
      <c r="P150" s="657"/>
    </row>
    <row r="151" spans="2:16" ht="13.5" customHeight="1">
      <c r="B151" s="659"/>
      <c r="C151" s="659"/>
      <c r="D151" s="659"/>
      <c r="E151" s="659"/>
      <c r="F151" s="659"/>
      <c r="G151" s="659"/>
      <c r="H151" s="659"/>
      <c r="I151" s="659"/>
      <c r="J151" s="659"/>
      <c r="K151" s="659"/>
      <c r="L151" s="659"/>
      <c r="M151" s="659"/>
      <c r="N151" s="659"/>
      <c r="O151" s="659"/>
      <c r="P151" s="657"/>
    </row>
    <row r="152" spans="2:16" ht="13.5" customHeight="1">
      <c r="B152" s="659"/>
      <c r="C152" s="659"/>
      <c r="D152" s="659"/>
      <c r="E152" s="659"/>
      <c r="F152" s="659"/>
      <c r="G152" s="659"/>
      <c r="H152" s="659"/>
      <c r="I152" s="659"/>
      <c r="J152" s="659"/>
      <c r="K152" s="659"/>
      <c r="L152" s="659"/>
      <c r="M152" s="659"/>
      <c r="N152" s="659"/>
      <c r="O152" s="659"/>
      <c r="P152" s="657"/>
    </row>
    <row r="153" spans="2:16" ht="13.5" customHeight="1">
      <c r="B153" s="659"/>
      <c r="C153" s="659"/>
      <c r="D153" s="659"/>
      <c r="E153" s="659"/>
      <c r="F153" s="659"/>
      <c r="G153" s="659"/>
      <c r="H153" s="659"/>
      <c r="I153" s="659"/>
      <c r="J153" s="659"/>
      <c r="K153" s="659"/>
      <c r="L153" s="659"/>
      <c r="M153" s="659"/>
      <c r="N153" s="659"/>
      <c r="O153" s="659"/>
      <c r="P153" s="657"/>
    </row>
    <row r="154" spans="2:16" ht="13.5" customHeight="1">
      <c r="B154" s="659"/>
      <c r="C154" s="659"/>
      <c r="D154" s="659"/>
      <c r="E154" s="659"/>
      <c r="F154" s="659"/>
      <c r="G154" s="659"/>
      <c r="H154" s="659"/>
      <c r="I154" s="659"/>
      <c r="J154" s="659"/>
      <c r="K154" s="659"/>
      <c r="L154" s="659"/>
      <c r="M154" s="659"/>
      <c r="N154" s="659"/>
      <c r="O154" s="659"/>
      <c r="P154" s="657"/>
    </row>
    <row r="155" spans="2:16" ht="13.5" customHeight="1">
      <c r="B155" s="659"/>
      <c r="C155" s="659"/>
      <c r="D155" s="659"/>
      <c r="E155" s="659"/>
      <c r="F155" s="659"/>
      <c r="G155" s="659"/>
      <c r="H155" s="659"/>
      <c r="I155" s="659"/>
      <c r="J155" s="659"/>
      <c r="K155" s="659"/>
      <c r="L155" s="659"/>
      <c r="M155" s="659"/>
      <c r="N155" s="659"/>
      <c r="O155" s="659"/>
      <c r="P155" s="657"/>
    </row>
    <row r="156" spans="2:16" ht="13.5" customHeight="1">
      <c r="B156" s="659"/>
      <c r="C156" s="659"/>
      <c r="D156" s="659"/>
      <c r="E156" s="659"/>
      <c r="F156" s="659"/>
      <c r="G156" s="659"/>
      <c r="H156" s="659"/>
      <c r="I156" s="659"/>
      <c r="J156" s="659"/>
      <c r="K156" s="659"/>
      <c r="L156" s="659"/>
      <c r="M156" s="659"/>
      <c r="N156" s="659"/>
      <c r="O156" s="659"/>
      <c r="P156" s="657"/>
    </row>
    <row r="157" spans="2:16" ht="13.5" customHeight="1">
      <c r="B157" s="659"/>
      <c r="C157" s="659"/>
      <c r="D157" s="659"/>
      <c r="E157" s="659"/>
      <c r="F157" s="659"/>
      <c r="G157" s="659"/>
      <c r="H157" s="659"/>
      <c r="I157" s="659"/>
      <c r="J157" s="659"/>
      <c r="K157" s="659"/>
      <c r="L157" s="659"/>
      <c r="M157" s="659"/>
      <c r="N157" s="659"/>
      <c r="O157" s="659"/>
      <c r="P157" s="657"/>
    </row>
    <row r="158" spans="2:16" ht="13.5" customHeight="1">
      <c r="B158" s="659"/>
      <c r="C158" s="659"/>
      <c r="D158" s="659"/>
      <c r="E158" s="659"/>
      <c r="F158" s="659"/>
      <c r="G158" s="659"/>
      <c r="H158" s="659"/>
      <c r="I158" s="659"/>
      <c r="J158" s="659"/>
      <c r="K158" s="659"/>
      <c r="L158" s="659"/>
      <c r="M158" s="659"/>
      <c r="N158" s="659"/>
      <c r="O158" s="659"/>
      <c r="P158" s="657"/>
    </row>
    <row r="159" spans="2:16" ht="13.5" customHeight="1">
      <c r="B159" s="659"/>
      <c r="C159" s="659"/>
      <c r="D159" s="659"/>
      <c r="E159" s="659"/>
      <c r="F159" s="659"/>
      <c r="G159" s="659"/>
      <c r="H159" s="659"/>
      <c r="I159" s="659"/>
      <c r="J159" s="659"/>
      <c r="K159" s="659"/>
      <c r="L159" s="659"/>
      <c r="M159" s="659"/>
      <c r="N159" s="659"/>
      <c r="O159" s="659"/>
      <c r="P159" s="657"/>
    </row>
    <row r="160" spans="2:16" ht="13.5" customHeight="1">
      <c r="B160" s="659"/>
      <c r="C160" s="659"/>
      <c r="D160" s="659"/>
      <c r="E160" s="659"/>
      <c r="F160" s="659"/>
      <c r="G160" s="659"/>
      <c r="H160" s="659"/>
      <c r="I160" s="659"/>
      <c r="J160" s="659"/>
      <c r="K160" s="659"/>
      <c r="L160" s="659"/>
      <c r="M160" s="659"/>
      <c r="N160" s="659"/>
      <c r="O160" s="659"/>
      <c r="P160" s="657"/>
    </row>
    <row r="161" spans="2:16" ht="13.5" customHeight="1">
      <c r="B161" s="65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659"/>
      <c r="P161" s="657"/>
    </row>
    <row r="162" spans="2:16" ht="13.5" customHeight="1">
      <c r="B162" s="659"/>
      <c r="C162" s="659"/>
      <c r="D162" s="659"/>
      <c r="E162" s="659"/>
      <c r="F162" s="659"/>
      <c r="G162" s="659"/>
      <c r="H162" s="659"/>
      <c r="I162" s="659"/>
      <c r="J162" s="659"/>
      <c r="K162" s="659"/>
      <c r="L162" s="659"/>
      <c r="M162" s="659"/>
      <c r="N162" s="659"/>
      <c r="O162" s="659"/>
      <c r="P162" s="657"/>
    </row>
    <row r="163" spans="2:16" ht="13.5" customHeight="1">
      <c r="B163" s="659"/>
      <c r="C163" s="659"/>
      <c r="D163" s="659"/>
      <c r="E163" s="659"/>
      <c r="F163" s="659"/>
      <c r="G163" s="659"/>
      <c r="H163" s="659"/>
      <c r="I163" s="659"/>
      <c r="J163" s="659"/>
      <c r="K163" s="659"/>
      <c r="L163" s="659"/>
      <c r="M163" s="659"/>
      <c r="N163" s="659"/>
      <c r="O163" s="659"/>
      <c r="P163" s="657"/>
    </row>
    <row r="164" spans="2:16" ht="13.5" customHeight="1">
      <c r="B164" s="659"/>
      <c r="C164" s="659"/>
      <c r="D164" s="659"/>
      <c r="E164" s="659"/>
      <c r="F164" s="659"/>
      <c r="G164" s="659"/>
      <c r="H164" s="659"/>
      <c r="I164" s="659"/>
      <c r="J164" s="659"/>
      <c r="K164" s="659"/>
      <c r="L164" s="659"/>
      <c r="M164" s="659"/>
      <c r="N164" s="659"/>
      <c r="O164" s="659"/>
      <c r="P164" s="657"/>
    </row>
    <row r="165" spans="2:16" ht="13.5" customHeight="1">
      <c r="B165" s="659"/>
      <c r="C165" s="659"/>
      <c r="D165" s="659"/>
      <c r="E165" s="659"/>
      <c r="F165" s="659"/>
      <c r="G165" s="659"/>
      <c r="H165" s="659"/>
      <c r="I165" s="659"/>
      <c r="J165" s="659"/>
      <c r="K165" s="659"/>
      <c r="L165" s="659"/>
      <c r="M165" s="659"/>
      <c r="N165" s="659"/>
      <c r="O165" s="659"/>
      <c r="P165" s="657"/>
    </row>
    <row r="166" spans="2:16" ht="13.5" customHeight="1">
      <c r="B166" s="659"/>
      <c r="C166" s="659"/>
      <c r="D166" s="659"/>
      <c r="E166" s="659"/>
      <c r="F166" s="659"/>
      <c r="G166" s="659"/>
      <c r="H166" s="659"/>
      <c r="I166" s="659"/>
      <c r="J166" s="659"/>
      <c r="K166" s="659"/>
      <c r="L166" s="659"/>
      <c r="M166" s="659"/>
      <c r="N166" s="659"/>
      <c r="O166" s="659"/>
      <c r="P166" s="657"/>
    </row>
    <row r="167" spans="2:16" ht="13.5" customHeight="1">
      <c r="B167" s="659"/>
      <c r="C167" s="659"/>
      <c r="D167" s="659"/>
      <c r="E167" s="659"/>
      <c r="F167" s="659"/>
      <c r="G167" s="659"/>
      <c r="H167" s="659"/>
      <c r="I167" s="659"/>
      <c r="J167" s="659"/>
      <c r="K167" s="659"/>
      <c r="L167" s="659"/>
      <c r="M167" s="659"/>
      <c r="N167" s="659"/>
      <c r="O167" s="659"/>
      <c r="P167" s="657"/>
    </row>
    <row r="168" spans="2:16" ht="13.5" customHeight="1">
      <c r="B168" s="659"/>
      <c r="C168" s="659"/>
      <c r="D168" s="659"/>
      <c r="E168" s="659"/>
      <c r="F168" s="659"/>
      <c r="G168" s="659"/>
      <c r="H168" s="659"/>
      <c r="I168" s="659"/>
      <c r="J168" s="659"/>
      <c r="K168" s="659"/>
      <c r="L168" s="659"/>
      <c r="M168" s="659"/>
      <c r="N168" s="659"/>
      <c r="O168" s="659"/>
      <c r="P168" s="657"/>
    </row>
    <row r="169" spans="2:16" ht="13.5" customHeight="1">
      <c r="B169" s="659"/>
      <c r="C169" s="659"/>
      <c r="D169" s="659"/>
      <c r="E169" s="659"/>
      <c r="F169" s="659"/>
      <c r="G169" s="659"/>
      <c r="H169" s="659"/>
      <c r="I169" s="659"/>
      <c r="J169" s="659"/>
      <c r="K169" s="659"/>
      <c r="L169" s="659"/>
      <c r="M169" s="659"/>
      <c r="N169" s="659"/>
      <c r="O169" s="659"/>
      <c r="P169" s="657"/>
    </row>
    <row r="170" spans="2:16" ht="13.5" customHeight="1">
      <c r="B170" s="659"/>
      <c r="C170" s="659"/>
      <c r="D170" s="659"/>
      <c r="E170" s="659"/>
      <c r="F170" s="659"/>
      <c r="G170" s="659"/>
      <c r="H170" s="659"/>
      <c r="I170" s="659"/>
      <c r="J170" s="659"/>
      <c r="K170" s="659"/>
      <c r="L170" s="659"/>
      <c r="M170" s="659"/>
      <c r="N170" s="659"/>
      <c r="O170" s="659"/>
      <c r="P170" s="657"/>
    </row>
    <row r="171" spans="2:16" ht="13.5" customHeight="1">
      <c r="B171" s="659"/>
      <c r="C171" s="659"/>
      <c r="D171" s="659"/>
      <c r="E171" s="659"/>
      <c r="F171" s="659"/>
      <c r="G171" s="659"/>
      <c r="H171" s="659"/>
      <c r="I171" s="659"/>
      <c r="J171" s="659"/>
      <c r="K171" s="659"/>
      <c r="L171" s="659"/>
      <c r="M171" s="659"/>
      <c r="N171" s="659"/>
      <c r="O171" s="659"/>
      <c r="P171" s="657"/>
    </row>
    <row r="172" spans="2:16" ht="13.5" customHeight="1">
      <c r="B172" s="659"/>
      <c r="C172" s="659"/>
      <c r="D172" s="659"/>
      <c r="E172" s="659"/>
      <c r="F172" s="659"/>
      <c r="G172" s="659"/>
      <c r="H172" s="659"/>
      <c r="I172" s="659"/>
      <c r="J172" s="659"/>
      <c r="K172" s="659"/>
      <c r="L172" s="659"/>
      <c r="M172" s="659"/>
      <c r="N172" s="659"/>
      <c r="O172" s="659"/>
      <c r="P172" s="657"/>
    </row>
    <row r="173" spans="2:16" ht="13.5" customHeight="1">
      <c r="B173" s="659"/>
      <c r="C173" s="659"/>
      <c r="D173" s="659"/>
      <c r="E173" s="659"/>
      <c r="F173" s="659"/>
      <c r="G173" s="659"/>
      <c r="H173" s="659"/>
      <c r="I173" s="659"/>
      <c r="J173" s="659"/>
      <c r="K173" s="659"/>
      <c r="L173" s="659"/>
      <c r="M173" s="659"/>
      <c r="N173" s="659"/>
      <c r="O173" s="659"/>
      <c r="P173" s="657"/>
    </row>
    <row r="174" spans="2:16" ht="13.5" customHeight="1">
      <c r="B174" s="659"/>
      <c r="C174" s="659"/>
      <c r="D174" s="659"/>
      <c r="E174" s="659"/>
      <c r="F174" s="659"/>
      <c r="G174" s="659"/>
      <c r="H174" s="659"/>
      <c r="I174" s="659"/>
      <c r="J174" s="659"/>
      <c r="K174" s="659"/>
      <c r="L174" s="659"/>
      <c r="M174" s="659"/>
      <c r="N174" s="659"/>
      <c r="O174" s="659"/>
      <c r="P174" s="657"/>
    </row>
    <row r="175" spans="2:16" ht="13.5" customHeight="1">
      <c r="B175" s="659"/>
      <c r="C175" s="659"/>
      <c r="D175" s="659"/>
      <c r="E175" s="659"/>
      <c r="F175" s="659"/>
      <c r="G175" s="659"/>
      <c r="H175" s="659"/>
      <c r="I175" s="659"/>
      <c r="J175" s="659"/>
      <c r="K175" s="659"/>
      <c r="L175" s="659"/>
      <c r="M175" s="659"/>
      <c r="N175" s="659"/>
      <c r="O175" s="659"/>
      <c r="P175" s="657"/>
    </row>
    <row r="176" spans="2:16" ht="13.5" customHeight="1">
      <c r="B176" s="659"/>
      <c r="C176" s="659"/>
      <c r="D176" s="659"/>
      <c r="E176" s="659"/>
      <c r="F176" s="659"/>
      <c r="G176" s="659"/>
      <c r="H176" s="659"/>
      <c r="I176" s="659"/>
      <c r="J176" s="659"/>
      <c r="K176" s="659"/>
      <c r="L176" s="659"/>
      <c r="M176" s="659"/>
      <c r="N176" s="659"/>
      <c r="O176" s="659"/>
      <c r="P176" s="657"/>
    </row>
    <row r="177" spans="2:16" ht="13.5" customHeight="1">
      <c r="B177" s="659"/>
      <c r="C177" s="659"/>
      <c r="D177" s="659"/>
      <c r="E177" s="659"/>
      <c r="F177" s="659"/>
      <c r="G177" s="659"/>
      <c r="H177" s="659"/>
      <c r="I177" s="659"/>
      <c r="J177" s="659"/>
      <c r="K177" s="659"/>
      <c r="L177" s="659"/>
      <c r="M177" s="659"/>
      <c r="N177" s="659"/>
      <c r="O177" s="659"/>
      <c r="P177" s="657"/>
    </row>
    <row r="178" spans="2:16" ht="13.5" customHeight="1">
      <c r="B178" s="659"/>
      <c r="C178" s="659"/>
      <c r="D178" s="659"/>
      <c r="E178" s="659"/>
      <c r="F178" s="659"/>
      <c r="G178" s="659"/>
      <c r="H178" s="659"/>
      <c r="I178" s="659"/>
      <c r="J178" s="659"/>
      <c r="K178" s="659"/>
      <c r="L178" s="659"/>
      <c r="M178" s="659"/>
      <c r="N178" s="659"/>
      <c r="O178" s="659"/>
      <c r="P178" s="657"/>
    </row>
    <row r="179" spans="2:16" ht="13.5" customHeight="1">
      <c r="B179" s="659"/>
      <c r="C179" s="659"/>
      <c r="D179" s="659"/>
      <c r="E179" s="659"/>
      <c r="F179" s="659"/>
      <c r="G179" s="659"/>
      <c r="H179" s="659"/>
      <c r="I179" s="659"/>
      <c r="J179" s="659"/>
      <c r="K179" s="659"/>
      <c r="L179" s="659"/>
      <c r="M179" s="659"/>
      <c r="N179" s="659"/>
      <c r="O179" s="659"/>
      <c r="P179" s="657"/>
    </row>
    <row r="180" spans="2:16" ht="13.5" customHeight="1">
      <c r="B180" s="659"/>
      <c r="C180" s="659"/>
      <c r="D180" s="659"/>
      <c r="E180" s="659"/>
      <c r="F180" s="659"/>
      <c r="G180" s="659"/>
      <c r="H180" s="659"/>
      <c r="I180" s="659"/>
      <c r="J180" s="659"/>
      <c r="K180" s="659"/>
      <c r="L180" s="659"/>
      <c r="M180" s="659"/>
      <c r="N180" s="659"/>
      <c r="O180" s="659"/>
      <c r="P180" s="657"/>
    </row>
    <row r="181" spans="2:16" ht="13.5" customHeight="1">
      <c r="B181" s="659"/>
      <c r="C181" s="659"/>
      <c r="D181" s="659"/>
      <c r="E181" s="659"/>
      <c r="F181" s="659"/>
      <c r="G181" s="659"/>
      <c r="H181" s="659"/>
      <c r="I181" s="659"/>
      <c r="J181" s="659"/>
      <c r="K181" s="659"/>
      <c r="L181" s="659"/>
      <c r="M181" s="659"/>
      <c r="N181" s="659"/>
      <c r="O181" s="659"/>
      <c r="P181" s="657"/>
    </row>
    <row r="182" spans="2:16" ht="13.5" customHeight="1">
      <c r="B182" s="659"/>
      <c r="C182" s="659"/>
      <c r="D182" s="659"/>
      <c r="E182" s="659"/>
      <c r="F182" s="659"/>
      <c r="G182" s="659"/>
      <c r="H182" s="659"/>
      <c r="I182" s="659"/>
      <c r="J182" s="659"/>
      <c r="K182" s="659"/>
      <c r="L182" s="659"/>
      <c r="M182" s="659"/>
      <c r="N182" s="659"/>
      <c r="O182" s="659"/>
      <c r="P182" s="657"/>
    </row>
    <row r="183" spans="2:16" ht="13.5" customHeight="1">
      <c r="B183" s="659"/>
      <c r="C183" s="659"/>
      <c r="D183" s="659"/>
      <c r="E183" s="659"/>
      <c r="F183" s="659"/>
      <c r="G183" s="659"/>
      <c r="H183" s="659"/>
      <c r="I183" s="659"/>
      <c r="J183" s="659"/>
      <c r="K183" s="659"/>
      <c r="L183" s="659"/>
      <c r="M183" s="659"/>
      <c r="N183" s="659"/>
      <c r="O183" s="659"/>
      <c r="P183" s="657"/>
    </row>
    <row r="184" spans="2:16" ht="13.5" customHeight="1">
      <c r="B184" s="659"/>
      <c r="C184" s="659"/>
      <c r="D184" s="659"/>
      <c r="E184" s="659"/>
      <c r="F184" s="659"/>
      <c r="G184" s="659"/>
      <c r="H184" s="659"/>
      <c r="I184" s="659"/>
      <c r="J184" s="659"/>
      <c r="K184" s="659"/>
      <c r="L184" s="659"/>
      <c r="M184" s="659"/>
      <c r="N184" s="659"/>
      <c r="O184" s="659"/>
      <c r="P184" s="657"/>
    </row>
    <row r="185" spans="2:16" ht="13.5" customHeight="1">
      <c r="B185" s="659"/>
      <c r="C185" s="659"/>
      <c r="D185" s="659"/>
      <c r="E185" s="659"/>
      <c r="F185" s="659"/>
      <c r="G185" s="659"/>
      <c r="H185" s="659"/>
      <c r="I185" s="659"/>
      <c r="J185" s="659"/>
      <c r="K185" s="659"/>
      <c r="L185" s="659"/>
      <c r="M185" s="659"/>
      <c r="N185" s="659"/>
      <c r="O185" s="659"/>
      <c r="P185" s="657"/>
    </row>
    <row r="186" spans="2:16" ht="13.5" customHeight="1">
      <c r="B186" s="659"/>
      <c r="C186" s="659"/>
      <c r="D186" s="659"/>
      <c r="E186" s="659"/>
      <c r="F186" s="659"/>
      <c r="G186" s="659"/>
      <c r="H186" s="659"/>
      <c r="I186" s="659"/>
      <c r="J186" s="659"/>
      <c r="K186" s="659"/>
      <c r="L186" s="659"/>
      <c r="M186" s="659"/>
      <c r="N186" s="659"/>
      <c r="O186" s="659"/>
      <c r="P186" s="657"/>
    </row>
    <row r="187" spans="2:16" ht="13.5" customHeight="1">
      <c r="B187" s="659"/>
      <c r="C187" s="659"/>
      <c r="D187" s="659"/>
      <c r="E187" s="659"/>
      <c r="F187" s="659"/>
      <c r="G187" s="659"/>
      <c r="H187" s="659"/>
      <c r="I187" s="659"/>
      <c r="J187" s="659"/>
      <c r="K187" s="659"/>
      <c r="L187" s="659"/>
      <c r="M187" s="659"/>
      <c r="N187" s="659"/>
      <c r="O187" s="659"/>
      <c r="P187" s="657"/>
    </row>
    <row r="188" spans="2:16" ht="13.5" customHeight="1">
      <c r="B188" s="659"/>
      <c r="C188" s="659"/>
      <c r="D188" s="659"/>
      <c r="E188" s="659"/>
      <c r="F188" s="659"/>
      <c r="G188" s="659"/>
      <c r="H188" s="659"/>
      <c r="I188" s="659"/>
      <c r="J188" s="659"/>
      <c r="K188" s="659"/>
      <c r="L188" s="659"/>
      <c r="M188" s="659"/>
      <c r="N188" s="659"/>
      <c r="O188" s="659"/>
      <c r="P188" s="657"/>
    </row>
    <row r="189" spans="2:16" ht="13.5" customHeight="1">
      <c r="B189" s="659"/>
      <c r="C189" s="659"/>
      <c r="D189" s="659"/>
      <c r="E189" s="659"/>
      <c r="F189" s="659"/>
      <c r="G189" s="659"/>
      <c r="H189" s="659"/>
      <c r="I189" s="659"/>
      <c r="J189" s="659"/>
      <c r="K189" s="659"/>
      <c r="L189" s="659"/>
      <c r="M189" s="659"/>
      <c r="N189" s="659"/>
      <c r="O189" s="659"/>
      <c r="P189" s="657"/>
    </row>
    <row r="190" spans="2:16" ht="13.5" customHeight="1">
      <c r="B190" s="659"/>
      <c r="C190" s="659"/>
      <c r="D190" s="659"/>
      <c r="E190" s="659"/>
      <c r="F190" s="659"/>
      <c r="G190" s="659"/>
      <c r="H190" s="659"/>
      <c r="I190" s="659"/>
      <c r="J190" s="659"/>
      <c r="K190" s="659"/>
      <c r="L190" s="659"/>
      <c r="M190" s="659"/>
      <c r="N190" s="659"/>
      <c r="O190" s="659"/>
      <c r="P190" s="657"/>
    </row>
    <row r="191" spans="2:16" ht="13.5" customHeight="1">
      <c r="B191" s="659"/>
      <c r="C191" s="659"/>
      <c r="D191" s="659"/>
      <c r="E191" s="659"/>
      <c r="F191" s="659"/>
      <c r="G191" s="659"/>
      <c r="H191" s="659"/>
      <c r="I191" s="659"/>
      <c r="J191" s="659"/>
      <c r="K191" s="659"/>
      <c r="L191" s="659"/>
      <c r="M191" s="659"/>
      <c r="N191" s="659"/>
      <c r="O191" s="659"/>
      <c r="P191" s="657"/>
    </row>
    <row r="192" spans="2:16" ht="13.5" customHeight="1">
      <c r="B192" s="659"/>
      <c r="C192" s="659"/>
      <c r="D192" s="659"/>
      <c r="E192" s="659"/>
      <c r="F192" s="659"/>
      <c r="G192" s="659"/>
      <c r="H192" s="659"/>
      <c r="I192" s="659"/>
      <c r="J192" s="659"/>
      <c r="K192" s="659"/>
      <c r="L192" s="659"/>
      <c r="M192" s="659"/>
      <c r="N192" s="659"/>
      <c r="O192" s="659"/>
      <c r="P192" s="657"/>
    </row>
    <row r="193" spans="2:16" ht="13.5" customHeight="1">
      <c r="B193" s="659"/>
      <c r="C193" s="659"/>
      <c r="D193" s="659"/>
      <c r="E193" s="659"/>
      <c r="F193" s="659"/>
      <c r="G193" s="659"/>
      <c r="H193" s="659"/>
      <c r="I193" s="659"/>
      <c r="J193" s="659"/>
      <c r="K193" s="659"/>
      <c r="L193" s="659"/>
      <c r="M193" s="659"/>
      <c r="N193" s="659"/>
      <c r="O193" s="659"/>
      <c r="P193" s="657"/>
    </row>
    <row r="194" spans="2:16" ht="13.5" customHeight="1">
      <c r="B194" s="659"/>
      <c r="C194" s="659"/>
      <c r="D194" s="659"/>
      <c r="E194" s="659"/>
      <c r="F194" s="659"/>
      <c r="G194" s="659"/>
      <c r="H194" s="659"/>
      <c r="I194" s="659"/>
      <c r="J194" s="659"/>
      <c r="K194" s="659"/>
      <c r="L194" s="659"/>
      <c r="M194" s="659"/>
      <c r="N194" s="659"/>
      <c r="O194" s="659"/>
      <c r="P194" s="657"/>
    </row>
    <row r="195" spans="2:16" ht="13.5" customHeight="1">
      <c r="B195" s="659"/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7"/>
    </row>
    <row r="196" spans="2:16" ht="13.5" customHeight="1">
      <c r="B196" s="659"/>
      <c r="C196" s="659"/>
      <c r="D196" s="659"/>
      <c r="E196" s="659"/>
      <c r="F196" s="659"/>
      <c r="G196" s="659"/>
      <c r="H196" s="659"/>
      <c r="I196" s="659"/>
      <c r="J196" s="659"/>
      <c r="K196" s="659"/>
      <c r="L196" s="659"/>
      <c r="M196" s="659"/>
      <c r="N196" s="659"/>
      <c r="O196" s="659"/>
      <c r="P196" s="657"/>
    </row>
    <row r="197" spans="2:16" ht="13.5" customHeight="1">
      <c r="B197" s="659"/>
      <c r="C197" s="659"/>
      <c r="D197" s="659"/>
      <c r="E197" s="659"/>
      <c r="F197" s="659"/>
      <c r="G197" s="659"/>
      <c r="H197" s="659"/>
      <c r="I197" s="659"/>
      <c r="J197" s="659"/>
      <c r="K197" s="659"/>
      <c r="L197" s="659"/>
      <c r="M197" s="659"/>
      <c r="N197" s="659"/>
      <c r="O197" s="659"/>
      <c r="P197" s="657"/>
    </row>
    <row r="198" spans="2:16" ht="13.5" customHeight="1">
      <c r="B198" s="659"/>
      <c r="C198" s="659"/>
      <c r="D198" s="659"/>
      <c r="E198" s="659"/>
      <c r="F198" s="659"/>
      <c r="G198" s="659"/>
      <c r="H198" s="659"/>
      <c r="I198" s="659"/>
      <c r="J198" s="659"/>
      <c r="K198" s="659"/>
      <c r="L198" s="659"/>
      <c r="M198" s="659"/>
      <c r="N198" s="659"/>
      <c r="O198" s="659"/>
      <c r="P198" s="657"/>
    </row>
    <row r="199" spans="2:16" ht="13.5" customHeight="1">
      <c r="B199" s="659"/>
      <c r="C199" s="659"/>
      <c r="D199" s="659"/>
      <c r="E199" s="659"/>
      <c r="F199" s="659"/>
      <c r="G199" s="659"/>
      <c r="H199" s="659"/>
      <c r="I199" s="659"/>
      <c r="J199" s="659"/>
      <c r="K199" s="659"/>
      <c r="L199" s="659"/>
      <c r="M199" s="659"/>
      <c r="N199" s="659"/>
      <c r="O199" s="659"/>
      <c r="P199" s="657"/>
    </row>
    <row r="200" spans="2:16" ht="13.5" customHeight="1">
      <c r="B200" s="659"/>
      <c r="C200" s="659"/>
      <c r="D200" s="659"/>
      <c r="E200" s="659"/>
      <c r="F200" s="659"/>
      <c r="G200" s="659"/>
      <c r="H200" s="659"/>
      <c r="I200" s="659"/>
      <c r="J200" s="659"/>
      <c r="K200" s="659"/>
      <c r="L200" s="659"/>
      <c r="M200" s="659"/>
      <c r="N200" s="659"/>
      <c r="O200" s="659"/>
      <c r="P200" s="657"/>
    </row>
    <row r="201" spans="2:16" ht="13.5" customHeight="1">
      <c r="B201" s="659"/>
      <c r="C201" s="659"/>
      <c r="D201" s="659"/>
      <c r="E201" s="659"/>
      <c r="F201" s="659"/>
      <c r="G201" s="659"/>
      <c r="H201" s="659"/>
      <c r="I201" s="659"/>
      <c r="J201" s="659"/>
      <c r="K201" s="659"/>
      <c r="L201" s="659"/>
      <c r="M201" s="659"/>
      <c r="N201" s="659"/>
      <c r="O201" s="659"/>
      <c r="P201" s="657"/>
    </row>
    <row r="202" spans="2:16" ht="13.5" customHeight="1">
      <c r="B202" s="659"/>
      <c r="C202" s="659"/>
      <c r="D202" s="659"/>
      <c r="E202" s="659"/>
      <c r="F202" s="659"/>
      <c r="G202" s="659"/>
      <c r="H202" s="659"/>
      <c r="I202" s="659"/>
      <c r="J202" s="659"/>
      <c r="K202" s="659"/>
      <c r="L202" s="659"/>
      <c r="M202" s="659"/>
      <c r="N202" s="659"/>
      <c r="O202" s="659"/>
      <c r="P202" s="657"/>
    </row>
    <row r="203" spans="2:16" ht="13.5" customHeight="1">
      <c r="B203" s="659"/>
      <c r="C203" s="659"/>
      <c r="D203" s="659"/>
      <c r="E203" s="659"/>
      <c r="F203" s="659"/>
      <c r="G203" s="659"/>
      <c r="H203" s="659"/>
      <c r="I203" s="659"/>
      <c r="J203" s="659"/>
      <c r="K203" s="659"/>
      <c r="L203" s="659"/>
      <c r="M203" s="659"/>
      <c r="N203" s="659"/>
      <c r="O203" s="659"/>
      <c r="P203" s="657"/>
    </row>
    <row r="204" spans="2:16" ht="13.5" customHeight="1">
      <c r="B204" s="659"/>
      <c r="C204" s="659"/>
      <c r="D204" s="659"/>
      <c r="E204" s="659"/>
      <c r="F204" s="659"/>
      <c r="G204" s="659"/>
      <c r="H204" s="659"/>
      <c r="I204" s="659"/>
      <c r="J204" s="659"/>
      <c r="K204" s="659"/>
      <c r="L204" s="659"/>
      <c r="M204" s="659"/>
      <c r="N204" s="659"/>
      <c r="O204" s="659"/>
      <c r="P204" s="657"/>
    </row>
    <row r="205" spans="2:16" ht="13.5" customHeight="1">
      <c r="B205" s="659"/>
      <c r="C205" s="659"/>
      <c r="D205" s="659"/>
      <c r="E205" s="659"/>
      <c r="F205" s="659"/>
      <c r="G205" s="659"/>
      <c r="H205" s="659"/>
      <c r="I205" s="659"/>
      <c r="J205" s="659"/>
      <c r="K205" s="659"/>
      <c r="L205" s="659"/>
      <c r="M205" s="659"/>
      <c r="N205" s="659"/>
      <c r="O205" s="659"/>
      <c r="P205" s="657"/>
    </row>
    <row r="206" spans="2:16" ht="13.5" customHeight="1">
      <c r="B206" s="659"/>
      <c r="C206" s="659"/>
      <c r="D206" s="659"/>
      <c r="E206" s="659"/>
      <c r="F206" s="659"/>
      <c r="G206" s="659"/>
      <c r="H206" s="659"/>
      <c r="I206" s="659"/>
      <c r="J206" s="659"/>
      <c r="K206" s="659"/>
      <c r="L206" s="659"/>
      <c r="M206" s="659"/>
      <c r="N206" s="659"/>
      <c r="O206" s="659"/>
      <c r="P206" s="657"/>
    </row>
    <row r="207" spans="2:16" ht="13.5" customHeight="1">
      <c r="B207" s="659"/>
      <c r="C207" s="659"/>
      <c r="D207" s="659"/>
      <c r="E207" s="659"/>
      <c r="F207" s="659"/>
      <c r="G207" s="659"/>
      <c r="H207" s="659"/>
      <c r="I207" s="659"/>
      <c r="J207" s="659"/>
      <c r="K207" s="659"/>
      <c r="L207" s="659"/>
      <c r="M207" s="659"/>
      <c r="N207" s="659"/>
      <c r="O207" s="659"/>
      <c r="P207" s="657"/>
    </row>
    <row r="208" spans="2:16" ht="13.5" customHeight="1">
      <c r="B208" s="659"/>
      <c r="C208" s="659"/>
      <c r="D208" s="659"/>
      <c r="E208" s="659"/>
      <c r="F208" s="659"/>
      <c r="G208" s="659"/>
      <c r="H208" s="659"/>
      <c r="I208" s="659"/>
      <c r="J208" s="659"/>
      <c r="K208" s="659"/>
      <c r="L208" s="659"/>
      <c r="M208" s="659"/>
      <c r="N208" s="659"/>
      <c r="O208" s="659"/>
      <c r="P208" s="657"/>
    </row>
    <row r="209" spans="2:16" ht="13.5" customHeight="1">
      <c r="B209" s="659"/>
      <c r="C209" s="659"/>
      <c r="D209" s="659"/>
      <c r="E209" s="659"/>
      <c r="F209" s="659"/>
      <c r="G209" s="659"/>
      <c r="H209" s="659"/>
      <c r="I209" s="659"/>
      <c r="J209" s="659"/>
      <c r="K209" s="659"/>
      <c r="L209" s="659"/>
      <c r="M209" s="659"/>
      <c r="N209" s="659"/>
      <c r="O209" s="659"/>
      <c r="P209" s="657"/>
    </row>
    <row r="210" spans="2:16" ht="13.5" customHeight="1">
      <c r="B210" s="659"/>
      <c r="C210" s="659"/>
      <c r="D210" s="659"/>
      <c r="E210" s="659"/>
      <c r="F210" s="659"/>
      <c r="G210" s="659"/>
      <c r="H210" s="659"/>
      <c r="I210" s="659"/>
      <c r="J210" s="659"/>
      <c r="K210" s="659"/>
      <c r="L210" s="659"/>
      <c r="M210" s="659"/>
      <c r="N210" s="659"/>
      <c r="O210" s="659"/>
      <c r="P210" s="657"/>
    </row>
    <row r="211" spans="2:16" ht="13.5" customHeight="1">
      <c r="B211" s="659"/>
      <c r="C211" s="659"/>
      <c r="D211" s="659"/>
      <c r="E211" s="659"/>
      <c r="F211" s="659"/>
      <c r="G211" s="659"/>
      <c r="H211" s="659"/>
      <c r="I211" s="659"/>
      <c r="J211" s="659"/>
      <c r="K211" s="659"/>
      <c r="L211" s="659"/>
      <c r="M211" s="659"/>
      <c r="N211" s="659"/>
      <c r="O211" s="659"/>
      <c r="P211" s="657"/>
    </row>
    <row r="212" spans="2:16" ht="13.5" customHeight="1">
      <c r="B212" s="659"/>
      <c r="C212" s="659"/>
      <c r="D212" s="659"/>
      <c r="E212" s="659"/>
      <c r="F212" s="659"/>
      <c r="G212" s="659"/>
      <c r="H212" s="659"/>
      <c r="I212" s="659"/>
      <c r="J212" s="659"/>
      <c r="K212" s="659"/>
      <c r="L212" s="659"/>
      <c r="M212" s="659"/>
      <c r="N212" s="659"/>
      <c r="O212" s="659"/>
      <c r="P212" s="657"/>
    </row>
    <row r="213" spans="2:16" ht="13.5" customHeight="1">
      <c r="B213" s="659"/>
      <c r="C213" s="659"/>
      <c r="D213" s="659"/>
      <c r="E213" s="659"/>
      <c r="F213" s="659"/>
      <c r="G213" s="659"/>
      <c r="H213" s="659"/>
      <c r="I213" s="659"/>
      <c r="J213" s="659"/>
      <c r="K213" s="659"/>
      <c r="L213" s="659"/>
      <c r="M213" s="659"/>
      <c r="N213" s="659"/>
      <c r="O213" s="659"/>
      <c r="P213" s="657"/>
    </row>
    <row r="214" spans="2:16" ht="13.5" customHeight="1">
      <c r="B214" s="659"/>
      <c r="C214" s="659"/>
      <c r="D214" s="659"/>
      <c r="E214" s="659"/>
      <c r="F214" s="659"/>
      <c r="G214" s="659"/>
      <c r="H214" s="659"/>
      <c r="I214" s="659"/>
      <c r="J214" s="659"/>
      <c r="K214" s="659"/>
      <c r="L214" s="659"/>
      <c r="M214" s="659"/>
      <c r="N214" s="659"/>
      <c r="O214" s="659"/>
      <c r="P214" s="657"/>
    </row>
    <row r="215" spans="2:16" ht="13.5" customHeight="1">
      <c r="B215" s="659"/>
      <c r="C215" s="659"/>
      <c r="D215" s="659"/>
      <c r="E215" s="659"/>
      <c r="F215" s="659"/>
      <c r="G215" s="659"/>
      <c r="H215" s="659"/>
      <c r="I215" s="659"/>
      <c r="J215" s="659"/>
      <c r="K215" s="659"/>
      <c r="L215" s="659"/>
      <c r="M215" s="659"/>
      <c r="N215" s="659"/>
      <c r="O215" s="659"/>
      <c r="P215" s="657"/>
    </row>
    <row r="216" spans="2:16" ht="13.5" customHeight="1">
      <c r="B216" s="659"/>
      <c r="C216" s="659"/>
      <c r="D216" s="659"/>
      <c r="E216" s="659"/>
      <c r="F216" s="659"/>
      <c r="G216" s="659"/>
      <c r="H216" s="659"/>
      <c r="I216" s="659"/>
      <c r="J216" s="659"/>
      <c r="K216" s="659"/>
      <c r="L216" s="659"/>
      <c r="M216" s="659"/>
      <c r="N216" s="659"/>
      <c r="O216" s="659"/>
      <c r="P216" s="657"/>
    </row>
    <row r="217" spans="2:16" ht="13.5" customHeight="1">
      <c r="B217" s="659"/>
      <c r="C217" s="659"/>
      <c r="D217" s="659"/>
      <c r="E217" s="659"/>
      <c r="F217" s="659"/>
      <c r="G217" s="659"/>
      <c r="H217" s="659"/>
      <c r="I217" s="659"/>
      <c r="J217" s="659"/>
      <c r="K217" s="659"/>
      <c r="L217" s="659"/>
      <c r="M217" s="659"/>
      <c r="N217" s="659"/>
      <c r="O217" s="659"/>
      <c r="P217" s="657"/>
    </row>
    <row r="218" spans="2:16" ht="13.5" customHeight="1">
      <c r="B218" s="659"/>
      <c r="C218" s="659"/>
      <c r="D218" s="659"/>
      <c r="E218" s="659"/>
      <c r="F218" s="659"/>
      <c r="G218" s="659"/>
      <c r="H218" s="659"/>
      <c r="I218" s="659"/>
      <c r="J218" s="659"/>
      <c r="K218" s="659"/>
      <c r="L218" s="659"/>
      <c r="M218" s="659"/>
      <c r="N218" s="659"/>
      <c r="O218" s="659"/>
      <c r="P218" s="657"/>
    </row>
    <row r="219" spans="2:16" ht="13.5" customHeight="1">
      <c r="B219" s="659"/>
      <c r="C219" s="659"/>
      <c r="D219" s="659"/>
      <c r="E219" s="659"/>
      <c r="F219" s="659"/>
      <c r="G219" s="659"/>
      <c r="H219" s="659"/>
      <c r="I219" s="659"/>
      <c r="J219" s="659"/>
      <c r="K219" s="659"/>
      <c r="L219" s="659"/>
      <c r="M219" s="659"/>
      <c r="N219" s="659"/>
      <c r="O219" s="659"/>
      <c r="P219" s="657"/>
    </row>
    <row r="220" spans="2:16" ht="13.5" customHeight="1">
      <c r="B220" s="659"/>
      <c r="C220" s="659"/>
      <c r="D220" s="659"/>
      <c r="E220" s="659"/>
      <c r="F220" s="659"/>
      <c r="G220" s="659"/>
      <c r="H220" s="659"/>
      <c r="I220" s="659"/>
      <c r="J220" s="659"/>
      <c r="K220" s="659"/>
      <c r="L220" s="659"/>
      <c r="M220" s="659"/>
      <c r="N220" s="659"/>
      <c r="O220" s="659"/>
      <c r="P220" s="657"/>
    </row>
    <row r="221" spans="2:16" ht="13.5" customHeight="1">
      <c r="B221" s="659"/>
      <c r="C221" s="659"/>
      <c r="D221" s="659"/>
      <c r="E221" s="659"/>
      <c r="F221" s="659"/>
      <c r="G221" s="659"/>
      <c r="H221" s="659"/>
      <c r="I221" s="659"/>
      <c r="J221" s="659"/>
      <c r="K221" s="659"/>
      <c r="L221" s="659"/>
      <c r="M221" s="659"/>
      <c r="N221" s="659"/>
      <c r="O221" s="659"/>
      <c r="P221" s="657"/>
    </row>
    <row r="222" spans="2:16" ht="13.5" customHeight="1">
      <c r="B222" s="659"/>
      <c r="C222" s="659"/>
      <c r="D222" s="659"/>
      <c r="E222" s="659"/>
      <c r="F222" s="659"/>
      <c r="G222" s="659"/>
      <c r="H222" s="659"/>
      <c r="I222" s="659"/>
      <c r="J222" s="659"/>
      <c r="K222" s="659"/>
      <c r="L222" s="659"/>
      <c r="M222" s="659"/>
      <c r="N222" s="659"/>
      <c r="O222" s="659"/>
      <c r="P222" s="657"/>
    </row>
    <row r="223" spans="2:16" ht="13.5" customHeight="1">
      <c r="B223" s="659"/>
      <c r="C223" s="659"/>
      <c r="D223" s="659"/>
      <c r="E223" s="659"/>
      <c r="F223" s="659"/>
      <c r="G223" s="659"/>
      <c r="H223" s="659"/>
      <c r="I223" s="659"/>
      <c r="J223" s="659"/>
      <c r="K223" s="659"/>
      <c r="L223" s="659"/>
      <c r="M223" s="659"/>
      <c r="N223" s="659"/>
      <c r="O223" s="659"/>
      <c r="P223" s="657"/>
    </row>
    <row r="224" spans="2:16" ht="13.5" customHeight="1">
      <c r="B224" s="659"/>
      <c r="C224" s="659"/>
      <c r="D224" s="659"/>
      <c r="E224" s="659"/>
      <c r="F224" s="659"/>
      <c r="G224" s="659"/>
      <c r="H224" s="659"/>
      <c r="I224" s="659"/>
      <c r="J224" s="659"/>
      <c r="K224" s="659"/>
      <c r="L224" s="659"/>
      <c r="M224" s="659"/>
      <c r="N224" s="659"/>
      <c r="O224" s="659"/>
      <c r="P224" s="657"/>
    </row>
    <row r="225" spans="2:16" ht="13.5" customHeight="1">
      <c r="B225" s="659"/>
      <c r="C225" s="659"/>
      <c r="D225" s="659"/>
      <c r="E225" s="659"/>
      <c r="F225" s="659"/>
      <c r="G225" s="659"/>
      <c r="H225" s="659"/>
      <c r="I225" s="659"/>
      <c r="J225" s="659"/>
      <c r="K225" s="659"/>
      <c r="L225" s="659"/>
      <c r="M225" s="659"/>
      <c r="N225" s="659"/>
      <c r="O225" s="659"/>
      <c r="P225" s="657"/>
    </row>
    <row r="226" spans="2:16" ht="13.5" customHeight="1">
      <c r="B226" s="659"/>
      <c r="C226" s="659"/>
      <c r="D226" s="659"/>
      <c r="E226" s="659"/>
      <c r="F226" s="659"/>
      <c r="G226" s="659"/>
      <c r="H226" s="659"/>
      <c r="I226" s="659"/>
      <c r="J226" s="659"/>
      <c r="K226" s="659"/>
      <c r="L226" s="659"/>
      <c r="M226" s="659"/>
      <c r="N226" s="659"/>
      <c r="O226" s="659"/>
      <c r="P226" s="657"/>
    </row>
    <row r="227" spans="2:16" ht="13.5" customHeight="1">
      <c r="B227" s="659"/>
      <c r="C227" s="659"/>
      <c r="D227" s="659"/>
      <c r="E227" s="659"/>
      <c r="F227" s="659"/>
      <c r="G227" s="659"/>
      <c r="H227" s="659"/>
      <c r="I227" s="659"/>
      <c r="J227" s="659"/>
      <c r="K227" s="659"/>
      <c r="L227" s="659"/>
      <c r="M227" s="659"/>
      <c r="N227" s="659"/>
      <c r="O227" s="659"/>
      <c r="P227" s="657"/>
    </row>
    <row r="228" spans="2:16" ht="13.5" customHeight="1">
      <c r="B228" s="659"/>
      <c r="C228" s="659"/>
      <c r="D228" s="659"/>
      <c r="E228" s="659"/>
      <c r="F228" s="659"/>
      <c r="G228" s="659"/>
      <c r="H228" s="659"/>
      <c r="I228" s="659"/>
      <c r="J228" s="659"/>
      <c r="K228" s="659"/>
      <c r="L228" s="659"/>
      <c r="M228" s="659"/>
      <c r="N228" s="659"/>
      <c r="O228" s="659"/>
      <c r="P228" s="657"/>
    </row>
    <row r="229" spans="2:16" ht="13.5" customHeight="1">
      <c r="B229" s="659"/>
      <c r="C229" s="659"/>
      <c r="D229" s="659"/>
      <c r="E229" s="659"/>
      <c r="F229" s="659"/>
      <c r="G229" s="659"/>
      <c r="H229" s="659"/>
      <c r="I229" s="659"/>
      <c r="J229" s="659"/>
      <c r="K229" s="659"/>
      <c r="L229" s="659"/>
      <c r="M229" s="659"/>
      <c r="N229" s="659"/>
      <c r="O229" s="659"/>
      <c r="P229" s="657"/>
    </row>
    <row r="230" spans="2:16" ht="13.5" customHeight="1">
      <c r="B230" s="659"/>
      <c r="C230" s="659"/>
      <c r="D230" s="659"/>
      <c r="E230" s="659"/>
      <c r="F230" s="659"/>
      <c r="G230" s="659"/>
      <c r="H230" s="659"/>
      <c r="I230" s="659"/>
      <c r="J230" s="659"/>
      <c r="K230" s="659"/>
      <c r="L230" s="659"/>
      <c r="M230" s="659"/>
      <c r="N230" s="659"/>
      <c r="O230" s="659"/>
      <c r="P230" s="657"/>
    </row>
    <row r="231" spans="2:16" ht="13.5" customHeight="1">
      <c r="B231" s="659"/>
      <c r="C231" s="659"/>
      <c r="D231" s="659"/>
      <c r="E231" s="659"/>
      <c r="F231" s="659"/>
      <c r="G231" s="659"/>
      <c r="H231" s="659"/>
      <c r="I231" s="659"/>
      <c r="J231" s="659"/>
      <c r="K231" s="659"/>
      <c r="L231" s="659"/>
      <c r="M231" s="659"/>
      <c r="N231" s="659"/>
      <c r="O231" s="659"/>
      <c r="P231" s="657"/>
    </row>
    <row r="232" spans="2:16" ht="13.5" customHeight="1">
      <c r="B232" s="659"/>
      <c r="C232" s="659"/>
      <c r="D232" s="659"/>
      <c r="E232" s="659"/>
      <c r="F232" s="659"/>
      <c r="G232" s="659"/>
      <c r="H232" s="659"/>
      <c r="I232" s="659"/>
      <c r="J232" s="659"/>
      <c r="K232" s="659"/>
      <c r="L232" s="659"/>
      <c r="M232" s="659"/>
      <c r="N232" s="659"/>
      <c r="O232" s="659"/>
      <c r="P232" s="657"/>
    </row>
    <row r="233" spans="2:16" ht="13.5" customHeight="1">
      <c r="B233" s="659"/>
      <c r="C233" s="659"/>
      <c r="D233" s="659"/>
      <c r="E233" s="659"/>
      <c r="F233" s="659"/>
      <c r="G233" s="659"/>
      <c r="H233" s="659"/>
      <c r="I233" s="659"/>
      <c r="J233" s="659"/>
      <c r="K233" s="659"/>
      <c r="L233" s="659"/>
      <c r="M233" s="659"/>
      <c r="N233" s="659"/>
      <c r="O233" s="659"/>
      <c r="P233" s="657"/>
    </row>
    <row r="234" spans="2:16" ht="13.5" customHeight="1">
      <c r="B234" s="659"/>
      <c r="C234" s="659"/>
      <c r="D234" s="659"/>
      <c r="E234" s="659"/>
      <c r="F234" s="659"/>
      <c r="G234" s="659"/>
      <c r="H234" s="659"/>
      <c r="I234" s="659"/>
      <c r="J234" s="659"/>
      <c r="K234" s="659"/>
      <c r="L234" s="659"/>
      <c r="M234" s="659"/>
      <c r="N234" s="659"/>
      <c r="O234" s="659"/>
      <c r="P234" s="657"/>
    </row>
    <row r="235" spans="2:16" ht="13.5" customHeight="1">
      <c r="B235" s="659"/>
      <c r="C235" s="659"/>
      <c r="D235" s="659"/>
      <c r="E235" s="659"/>
      <c r="F235" s="659"/>
      <c r="G235" s="659"/>
      <c r="H235" s="659"/>
      <c r="I235" s="659"/>
      <c r="J235" s="659"/>
      <c r="K235" s="659"/>
      <c r="L235" s="659"/>
      <c r="M235" s="659"/>
      <c r="N235" s="659"/>
      <c r="O235" s="659"/>
      <c r="P235" s="657"/>
    </row>
    <row r="236" spans="2:16" ht="13.5" customHeight="1">
      <c r="B236" s="659"/>
      <c r="C236" s="659"/>
      <c r="D236" s="659"/>
      <c r="E236" s="659"/>
      <c r="F236" s="659"/>
      <c r="G236" s="659"/>
      <c r="H236" s="659"/>
      <c r="I236" s="659"/>
      <c r="J236" s="659"/>
      <c r="K236" s="659"/>
      <c r="L236" s="659"/>
      <c r="M236" s="659"/>
      <c r="N236" s="659"/>
      <c r="O236" s="659"/>
      <c r="P236" s="657"/>
    </row>
    <row r="237" spans="2:16" ht="13.5" customHeight="1">
      <c r="B237" s="659"/>
      <c r="C237" s="659"/>
      <c r="D237" s="659"/>
      <c r="E237" s="659"/>
      <c r="F237" s="659"/>
      <c r="G237" s="659"/>
      <c r="H237" s="659"/>
      <c r="I237" s="659"/>
      <c r="J237" s="659"/>
      <c r="K237" s="659"/>
      <c r="L237" s="659"/>
      <c r="M237" s="659"/>
      <c r="N237" s="659"/>
      <c r="O237" s="659"/>
      <c r="P237" s="657"/>
    </row>
    <row r="238" spans="2:16" ht="13.5" customHeight="1">
      <c r="B238" s="659"/>
      <c r="C238" s="659"/>
      <c r="D238" s="659"/>
      <c r="E238" s="659"/>
      <c r="F238" s="659"/>
      <c r="G238" s="659"/>
      <c r="H238" s="659"/>
      <c r="I238" s="659"/>
      <c r="J238" s="659"/>
      <c r="K238" s="659"/>
      <c r="L238" s="659"/>
      <c r="M238" s="659"/>
      <c r="N238" s="659"/>
      <c r="O238" s="659"/>
      <c r="P238" s="657"/>
    </row>
    <row r="239" spans="2:16" ht="13.5" customHeight="1">
      <c r="B239" s="659"/>
      <c r="C239" s="659"/>
      <c r="D239" s="659"/>
      <c r="E239" s="659"/>
      <c r="F239" s="659"/>
      <c r="G239" s="659"/>
      <c r="H239" s="659"/>
      <c r="I239" s="659"/>
      <c r="J239" s="659"/>
      <c r="K239" s="659"/>
      <c r="L239" s="659"/>
      <c r="M239" s="659"/>
      <c r="N239" s="659"/>
      <c r="O239" s="659"/>
      <c r="P239" s="657"/>
    </row>
    <row r="240" spans="2:16" ht="13.5" customHeight="1">
      <c r="B240" s="659"/>
      <c r="C240" s="659"/>
      <c r="D240" s="659"/>
      <c r="E240" s="659"/>
      <c r="F240" s="659"/>
      <c r="G240" s="659"/>
      <c r="H240" s="659"/>
      <c r="I240" s="659"/>
      <c r="J240" s="659"/>
      <c r="K240" s="659"/>
      <c r="L240" s="659"/>
      <c r="M240" s="659"/>
      <c r="N240" s="659"/>
      <c r="O240" s="659"/>
      <c r="P240" s="657"/>
    </row>
    <row r="241" spans="2:16" ht="13.5" customHeight="1">
      <c r="B241" s="659"/>
      <c r="C241" s="659"/>
      <c r="D241" s="659"/>
      <c r="E241" s="659"/>
      <c r="F241" s="659"/>
      <c r="G241" s="659"/>
      <c r="H241" s="659"/>
      <c r="I241" s="659"/>
      <c r="J241" s="659"/>
      <c r="K241" s="659"/>
      <c r="L241" s="659"/>
      <c r="M241" s="659"/>
      <c r="N241" s="659"/>
      <c r="O241" s="659"/>
      <c r="P241" s="657"/>
    </row>
    <row r="242" spans="2:16" ht="13.5" customHeight="1">
      <c r="B242" s="659"/>
      <c r="C242" s="659"/>
      <c r="D242" s="659"/>
      <c r="E242" s="659"/>
      <c r="F242" s="659"/>
      <c r="G242" s="659"/>
      <c r="H242" s="659"/>
      <c r="I242" s="659"/>
      <c r="J242" s="659"/>
      <c r="K242" s="659"/>
      <c r="L242" s="659"/>
      <c r="M242" s="659"/>
      <c r="N242" s="659"/>
      <c r="O242" s="659"/>
      <c r="P242" s="657"/>
    </row>
    <row r="243" spans="2:16" ht="13.5" customHeight="1">
      <c r="B243" s="659"/>
      <c r="C243" s="659"/>
      <c r="D243" s="659"/>
      <c r="E243" s="659"/>
      <c r="F243" s="659"/>
      <c r="G243" s="659"/>
      <c r="H243" s="659"/>
      <c r="I243" s="659"/>
      <c r="J243" s="659"/>
      <c r="K243" s="659"/>
      <c r="L243" s="659"/>
      <c r="M243" s="659"/>
      <c r="N243" s="659"/>
      <c r="O243" s="659"/>
      <c r="P243" s="657"/>
    </row>
    <row r="244" spans="2:16" ht="13.5" customHeight="1">
      <c r="B244" s="659"/>
      <c r="C244" s="659"/>
      <c r="D244" s="659"/>
      <c r="E244" s="659"/>
      <c r="F244" s="659"/>
      <c r="G244" s="659"/>
      <c r="H244" s="659"/>
      <c r="I244" s="659"/>
      <c r="J244" s="659"/>
      <c r="K244" s="659"/>
      <c r="L244" s="659"/>
      <c r="M244" s="659"/>
      <c r="N244" s="659"/>
      <c r="O244" s="659"/>
      <c r="P244" s="657"/>
    </row>
    <row r="245" spans="2:16" ht="13.5" customHeight="1">
      <c r="B245" s="659"/>
      <c r="C245" s="659"/>
      <c r="D245" s="659"/>
      <c r="E245" s="659"/>
      <c r="F245" s="659"/>
      <c r="G245" s="659"/>
      <c r="H245" s="659"/>
      <c r="I245" s="659"/>
      <c r="J245" s="659"/>
      <c r="K245" s="659"/>
      <c r="L245" s="659"/>
      <c r="M245" s="659"/>
      <c r="N245" s="659"/>
      <c r="O245" s="659"/>
      <c r="P245" s="657"/>
    </row>
    <row r="246" spans="2:16" ht="13.5" customHeight="1">
      <c r="B246" s="659"/>
      <c r="C246" s="659"/>
      <c r="D246" s="659"/>
      <c r="E246" s="659"/>
      <c r="F246" s="659"/>
      <c r="G246" s="659"/>
      <c r="H246" s="659"/>
      <c r="I246" s="659"/>
      <c r="J246" s="659"/>
      <c r="K246" s="659"/>
      <c r="L246" s="659"/>
      <c r="M246" s="659"/>
      <c r="N246" s="659"/>
      <c r="O246" s="659"/>
      <c r="P246" s="657"/>
    </row>
    <row r="247" spans="2:16" ht="13.5" customHeight="1">
      <c r="B247" s="659"/>
      <c r="C247" s="659"/>
      <c r="D247" s="659"/>
      <c r="E247" s="659"/>
      <c r="F247" s="659"/>
      <c r="G247" s="659"/>
      <c r="H247" s="659"/>
      <c r="I247" s="659"/>
      <c r="J247" s="659"/>
      <c r="K247" s="659"/>
      <c r="L247" s="659"/>
      <c r="M247" s="659"/>
      <c r="N247" s="659"/>
      <c r="O247" s="659"/>
      <c r="P247" s="657"/>
    </row>
    <row r="248" spans="2:16" ht="13.5" customHeight="1">
      <c r="B248" s="659"/>
      <c r="C248" s="659"/>
      <c r="D248" s="659"/>
      <c r="E248" s="659"/>
      <c r="F248" s="659"/>
      <c r="G248" s="659"/>
      <c r="H248" s="659"/>
      <c r="I248" s="659"/>
      <c r="J248" s="659"/>
      <c r="K248" s="659"/>
      <c r="L248" s="659"/>
      <c r="M248" s="659"/>
      <c r="N248" s="659"/>
      <c r="O248" s="659"/>
      <c r="P248" s="657"/>
    </row>
    <row r="249" spans="2:16" ht="13.5" customHeight="1">
      <c r="B249" s="659"/>
      <c r="C249" s="659"/>
      <c r="D249" s="659"/>
      <c r="E249" s="659"/>
      <c r="F249" s="659"/>
      <c r="G249" s="659"/>
      <c r="H249" s="659"/>
      <c r="I249" s="659"/>
      <c r="J249" s="659"/>
      <c r="K249" s="659"/>
      <c r="L249" s="659"/>
      <c r="M249" s="659"/>
      <c r="N249" s="659"/>
      <c r="O249" s="659"/>
      <c r="P249" s="657"/>
    </row>
    <row r="250" spans="2:16" ht="13.5" customHeight="1">
      <c r="B250" s="659"/>
      <c r="C250" s="659"/>
      <c r="D250" s="659"/>
      <c r="E250" s="659"/>
      <c r="F250" s="659"/>
      <c r="G250" s="659"/>
      <c r="H250" s="659"/>
      <c r="I250" s="659"/>
      <c r="J250" s="659"/>
      <c r="K250" s="659"/>
      <c r="L250" s="659"/>
      <c r="M250" s="659"/>
      <c r="N250" s="659"/>
      <c r="O250" s="659"/>
      <c r="P250" s="657"/>
    </row>
    <row r="251" spans="2:16" ht="13.5" customHeight="1">
      <c r="B251" s="659"/>
      <c r="C251" s="659"/>
      <c r="D251" s="659"/>
      <c r="E251" s="659"/>
      <c r="F251" s="659"/>
      <c r="G251" s="659"/>
      <c r="H251" s="659"/>
      <c r="I251" s="659"/>
      <c r="J251" s="659"/>
      <c r="K251" s="659"/>
      <c r="L251" s="659"/>
      <c r="M251" s="659"/>
      <c r="N251" s="659"/>
      <c r="O251" s="659"/>
      <c r="P251" s="657"/>
    </row>
    <row r="252" spans="2:16" ht="13.5" customHeight="1">
      <c r="B252" s="659"/>
      <c r="C252" s="659"/>
      <c r="D252" s="659"/>
      <c r="E252" s="659"/>
      <c r="F252" s="659"/>
      <c r="G252" s="659"/>
      <c r="H252" s="659"/>
      <c r="I252" s="659"/>
      <c r="J252" s="659"/>
      <c r="K252" s="659"/>
      <c r="L252" s="659"/>
      <c r="M252" s="659"/>
      <c r="N252" s="659"/>
      <c r="O252" s="659"/>
      <c r="P252" s="657"/>
    </row>
    <row r="253" spans="2:16" ht="13.5" customHeight="1">
      <c r="B253" s="659"/>
      <c r="C253" s="659"/>
      <c r="D253" s="659"/>
      <c r="E253" s="659"/>
      <c r="F253" s="659"/>
      <c r="G253" s="659"/>
      <c r="H253" s="659"/>
      <c r="I253" s="659"/>
      <c r="J253" s="659"/>
      <c r="K253" s="659"/>
      <c r="L253" s="659"/>
      <c r="M253" s="659"/>
      <c r="N253" s="659"/>
      <c r="O253" s="659"/>
      <c r="P253" s="657"/>
    </row>
    <row r="254" spans="2:16" ht="13.5" customHeight="1">
      <c r="B254" s="659"/>
      <c r="C254" s="659"/>
      <c r="D254" s="659"/>
      <c r="E254" s="659"/>
      <c r="F254" s="659"/>
      <c r="G254" s="659"/>
      <c r="H254" s="659"/>
      <c r="I254" s="659"/>
      <c r="J254" s="659"/>
      <c r="K254" s="659"/>
      <c r="L254" s="659"/>
      <c r="M254" s="659"/>
      <c r="N254" s="659"/>
      <c r="O254" s="659"/>
      <c r="P254" s="657"/>
    </row>
    <row r="255" spans="2:16" ht="13.5" customHeight="1">
      <c r="B255" s="659"/>
      <c r="C255" s="659"/>
      <c r="D255" s="659"/>
      <c r="E255" s="659"/>
      <c r="F255" s="659"/>
      <c r="G255" s="659"/>
      <c r="H255" s="659"/>
      <c r="I255" s="659"/>
      <c r="J255" s="659"/>
      <c r="K255" s="659"/>
      <c r="L255" s="659"/>
      <c r="M255" s="659"/>
      <c r="N255" s="659"/>
      <c r="O255" s="659"/>
      <c r="P255" s="657"/>
    </row>
    <row r="256" spans="2:16" ht="13.5" customHeight="1">
      <c r="B256" s="659"/>
      <c r="C256" s="659"/>
      <c r="D256" s="659"/>
      <c r="E256" s="659"/>
      <c r="F256" s="659"/>
      <c r="G256" s="659"/>
      <c r="H256" s="659"/>
      <c r="I256" s="659"/>
      <c r="J256" s="659"/>
      <c r="K256" s="659"/>
      <c r="L256" s="659"/>
      <c r="M256" s="659"/>
      <c r="N256" s="659"/>
      <c r="O256" s="659"/>
      <c r="P256" s="657"/>
    </row>
    <row r="257" spans="2:16" ht="13.5" customHeight="1">
      <c r="B257" s="659"/>
      <c r="C257" s="659"/>
      <c r="D257" s="659"/>
      <c r="E257" s="659"/>
      <c r="F257" s="659"/>
      <c r="G257" s="659"/>
      <c r="H257" s="659"/>
      <c r="I257" s="659"/>
      <c r="J257" s="659"/>
      <c r="K257" s="659"/>
      <c r="L257" s="659"/>
      <c r="M257" s="659"/>
      <c r="N257" s="659"/>
      <c r="O257" s="659"/>
      <c r="P257" s="657"/>
    </row>
    <row r="258" spans="2:16" ht="13.5" customHeight="1">
      <c r="B258" s="659"/>
      <c r="C258" s="659"/>
      <c r="D258" s="659"/>
      <c r="E258" s="659"/>
      <c r="F258" s="659"/>
      <c r="G258" s="659"/>
      <c r="H258" s="659"/>
      <c r="I258" s="659"/>
      <c r="J258" s="659"/>
      <c r="K258" s="659"/>
      <c r="L258" s="659"/>
      <c r="M258" s="659"/>
      <c r="N258" s="659"/>
      <c r="O258" s="659"/>
      <c r="P258" s="657"/>
    </row>
    <row r="259" spans="2:16" ht="13.5" customHeight="1">
      <c r="B259" s="659"/>
      <c r="C259" s="659"/>
      <c r="D259" s="659"/>
      <c r="E259" s="659"/>
      <c r="F259" s="659"/>
      <c r="G259" s="659"/>
      <c r="H259" s="659"/>
      <c r="I259" s="659"/>
      <c r="J259" s="659"/>
      <c r="K259" s="659"/>
      <c r="L259" s="659"/>
      <c r="M259" s="659"/>
      <c r="N259" s="659"/>
      <c r="O259" s="659"/>
      <c r="P259" s="657"/>
    </row>
    <row r="260" spans="2:16" ht="13.5" customHeight="1">
      <c r="B260" s="659"/>
      <c r="C260" s="659"/>
      <c r="D260" s="659"/>
      <c r="E260" s="659"/>
      <c r="F260" s="659"/>
      <c r="G260" s="659"/>
      <c r="H260" s="659"/>
      <c r="I260" s="659"/>
      <c r="J260" s="659"/>
      <c r="K260" s="659"/>
      <c r="L260" s="659"/>
      <c r="M260" s="659"/>
      <c r="N260" s="659"/>
      <c r="O260" s="659"/>
      <c r="P260" s="657"/>
    </row>
    <row r="261" spans="2:16" ht="13.5" customHeight="1">
      <c r="B261" s="659"/>
      <c r="C261" s="659"/>
      <c r="D261" s="659"/>
      <c r="E261" s="659"/>
      <c r="F261" s="659"/>
      <c r="G261" s="659"/>
      <c r="H261" s="659"/>
      <c r="I261" s="659"/>
      <c r="J261" s="659"/>
      <c r="K261" s="659"/>
      <c r="L261" s="659"/>
      <c r="M261" s="659"/>
      <c r="N261" s="659"/>
      <c r="O261" s="659"/>
      <c r="P261" s="657"/>
    </row>
    <row r="262" spans="2:16" ht="13.5" customHeight="1">
      <c r="B262" s="659"/>
      <c r="C262" s="659"/>
      <c r="D262" s="659"/>
      <c r="E262" s="659"/>
      <c r="F262" s="659"/>
      <c r="G262" s="659"/>
      <c r="H262" s="659"/>
      <c r="I262" s="659"/>
      <c r="J262" s="659"/>
      <c r="K262" s="659"/>
      <c r="L262" s="659"/>
      <c r="M262" s="659"/>
      <c r="N262" s="659"/>
      <c r="O262" s="659"/>
      <c r="P262" s="657"/>
    </row>
    <row r="263" spans="2:16" ht="13.5" customHeight="1">
      <c r="B263" s="659"/>
      <c r="C263" s="659"/>
      <c r="D263" s="659"/>
      <c r="E263" s="659"/>
      <c r="F263" s="659"/>
      <c r="G263" s="659"/>
      <c r="H263" s="659"/>
      <c r="I263" s="659"/>
      <c r="J263" s="659"/>
      <c r="K263" s="659"/>
      <c r="L263" s="659"/>
      <c r="M263" s="659"/>
      <c r="N263" s="659"/>
      <c r="O263" s="659"/>
      <c r="P263" s="657"/>
    </row>
    <row r="264" spans="2:16" ht="13.5" customHeight="1">
      <c r="B264" s="659"/>
      <c r="C264" s="659"/>
      <c r="D264" s="659"/>
      <c r="E264" s="659"/>
      <c r="F264" s="659"/>
      <c r="G264" s="659"/>
      <c r="H264" s="659"/>
      <c r="I264" s="659"/>
      <c r="J264" s="659"/>
      <c r="K264" s="659"/>
      <c r="L264" s="659"/>
      <c r="M264" s="659"/>
      <c r="N264" s="659"/>
      <c r="O264" s="659"/>
      <c r="P264" s="657"/>
    </row>
    <row r="265" spans="2:16" ht="13.5" customHeight="1">
      <c r="B265" s="659"/>
      <c r="C265" s="659"/>
      <c r="D265" s="659"/>
      <c r="E265" s="659"/>
      <c r="F265" s="659"/>
      <c r="G265" s="659"/>
      <c r="H265" s="659"/>
      <c r="I265" s="659"/>
      <c r="J265" s="659"/>
      <c r="K265" s="659"/>
      <c r="L265" s="659"/>
      <c r="M265" s="659"/>
      <c r="N265" s="659"/>
      <c r="O265" s="659"/>
      <c r="P265" s="657"/>
    </row>
    <row r="266" spans="2:16" ht="13.5" customHeight="1">
      <c r="B266" s="659"/>
      <c r="C266" s="659"/>
      <c r="D266" s="659"/>
      <c r="E266" s="659"/>
      <c r="F266" s="659"/>
      <c r="G266" s="659"/>
      <c r="H266" s="659"/>
      <c r="I266" s="659"/>
      <c r="J266" s="659"/>
      <c r="K266" s="659"/>
      <c r="L266" s="659"/>
      <c r="M266" s="659"/>
      <c r="N266" s="659"/>
      <c r="O266" s="659"/>
      <c r="P266" s="657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10/2014.(VI.27.) Önkormányzati költségvetési rendelethez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AU257"/>
  <sheetViews>
    <sheetView zoomScalePageLayoutView="0" workbookViewId="0" topLeftCell="A1">
      <selection activeCell="M12" sqref="M12"/>
    </sheetView>
  </sheetViews>
  <sheetFormatPr defaultColWidth="9.140625" defaultRowHeight="13.5" customHeight="1"/>
  <cols>
    <col min="1" max="1" width="4.7109375" style="48" customWidth="1"/>
    <col min="2" max="2" width="23.7109375" style="48" customWidth="1"/>
    <col min="3" max="4" width="12.7109375" style="48" bestFit="1" customWidth="1"/>
    <col min="5" max="5" width="10.140625" style="48" bestFit="1" customWidth="1"/>
    <col min="6" max="6" width="8.28125" style="48" bestFit="1" customWidth="1"/>
    <col min="7" max="9" width="10.140625" style="48" bestFit="1" customWidth="1"/>
    <col min="10" max="10" width="9.8515625" style="48" bestFit="1" customWidth="1"/>
    <col min="11" max="11" width="11.00390625" style="48" bestFit="1" customWidth="1"/>
    <col min="12" max="12" width="10.140625" style="48" bestFit="1" customWidth="1"/>
    <col min="13" max="13" width="11.57421875" style="48" bestFit="1" customWidth="1"/>
    <col min="14" max="14" width="11.140625" style="48" bestFit="1" customWidth="1"/>
    <col min="15" max="15" width="11.140625" style="656" bestFit="1" customWidth="1"/>
    <col min="16" max="18" width="11.7109375" style="116" customWidth="1"/>
    <col min="19" max="20" width="9.7109375" style="116" customWidth="1"/>
    <col min="21" max="21" width="10.57421875" style="116" customWidth="1"/>
    <col min="22" max="22" width="13.00390625" style="116" customWidth="1"/>
    <col min="23" max="23" width="9.28125" style="116" customWidth="1"/>
    <col min="24" max="47" width="9.140625" style="116" customWidth="1"/>
    <col min="48" max="16384" width="9.140625" style="48" customWidth="1"/>
  </cols>
  <sheetData>
    <row r="3" spans="1:15" ht="32.25" customHeight="1" thickBot="1">
      <c r="A3" s="752" t="s">
        <v>461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</row>
    <row r="4" spans="1:15" ht="13.5" customHeight="1" thickBot="1">
      <c r="A4" s="254" t="s">
        <v>300</v>
      </c>
      <c r="B4" s="255" t="s">
        <v>67</v>
      </c>
      <c r="C4" s="255" t="s">
        <v>301</v>
      </c>
      <c r="D4" s="255" t="s">
        <v>302</v>
      </c>
      <c r="E4" s="255" t="s">
        <v>303</v>
      </c>
      <c r="F4" s="255" t="s">
        <v>304</v>
      </c>
      <c r="G4" s="255" t="s">
        <v>305</v>
      </c>
      <c r="H4" s="255" t="s">
        <v>306</v>
      </c>
      <c r="I4" s="255" t="s">
        <v>307</v>
      </c>
      <c r="J4" s="255" t="s">
        <v>308</v>
      </c>
      <c r="K4" s="255" t="s">
        <v>309</v>
      </c>
      <c r="L4" s="255" t="s">
        <v>310</v>
      </c>
      <c r="M4" s="255" t="s">
        <v>311</v>
      </c>
      <c r="N4" s="255" t="s">
        <v>312</v>
      </c>
      <c r="O4" s="256" t="s">
        <v>313</v>
      </c>
    </row>
    <row r="5" spans="1:15" ht="13.5" customHeight="1" thickBot="1">
      <c r="A5" s="257" t="s">
        <v>20</v>
      </c>
      <c r="B5" s="258" t="s">
        <v>97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74"/>
    </row>
    <row r="6" spans="1:15" ht="13.5" customHeight="1">
      <c r="A6" s="260" t="s">
        <v>21</v>
      </c>
      <c r="B6" s="261" t="s">
        <v>334</v>
      </c>
      <c r="C6" s="287">
        <v>77957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 t="s">
        <v>335</v>
      </c>
    </row>
    <row r="7" spans="1:17" ht="13.5" customHeight="1">
      <c r="A7" s="264" t="s">
        <v>22</v>
      </c>
      <c r="B7" s="265" t="s">
        <v>315</v>
      </c>
      <c r="C7" s="290">
        <f>+'15_mell'!D8+'20_mell'!D9+'19_mell'!D9+'18_mell'!D9+'17_mell'!D11</f>
        <v>8289</v>
      </c>
      <c r="D7" s="290">
        <f>+'15_mell'!E8+'20_mell'!E9+'19_mell'!E9+'18_mell'!E9+'17_mell'!E11</f>
        <v>8289</v>
      </c>
      <c r="E7" s="290">
        <f>+'15_mell'!F8+'20_mell'!F9+'19_mell'!F9+'18_mell'!F9+'17_mell'!F11</f>
        <v>8289</v>
      </c>
      <c r="F7" s="290">
        <f>+'15_mell'!G8+'20_mell'!G9+'19_mell'!G9+'18_mell'!G9+'17_mell'!G11</f>
        <v>8289</v>
      </c>
      <c r="G7" s="290">
        <f>+'15_mell'!H8+'20_mell'!H9+'19_mell'!H9+'18_mell'!H9+'17_mell'!H11</f>
        <v>8289</v>
      </c>
      <c r="H7" s="290">
        <f>+'15_mell'!I8+'20_mell'!I9+'19_mell'!I9+'18_mell'!I9+'17_mell'!I11</f>
        <v>8289</v>
      </c>
      <c r="I7" s="290">
        <f>+'15_mell'!J8+'20_mell'!J9+'19_mell'!J9+'18_mell'!J9+'17_mell'!J11</f>
        <v>8289</v>
      </c>
      <c r="J7" s="290">
        <f>+'15_mell'!K8+'20_mell'!K9+'19_mell'!K9+'18_mell'!K9+'17_mell'!K11</f>
        <v>8289</v>
      </c>
      <c r="K7" s="290">
        <f>+'15_mell'!L8+'20_mell'!L9+'19_mell'!L9+'18_mell'!L9+'17_mell'!L11</f>
        <v>8289</v>
      </c>
      <c r="L7" s="290">
        <f>+'15_mell'!M8+'20_mell'!M9+'19_mell'!M9+'18_mell'!M9+'17_mell'!M11</f>
        <v>8289</v>
      </c>
      <c r="M7" s="290">
        <f>+'15_mell'!N8+'20_mell'!N9+'19_mell'!N9+'18_mell'!N9+'17_mell'!N11</f>
        <v>8289</v>
      </c>
      <c r="N7" s="290">
        <f>+'15_mell'!O8+'20_mell'!O9+'19_mell'!O9+'18_mell'!O9+'17_mell'!O11</f>
        <v>8292</v>
      </c>
      <c r="O7" s="291">
        <f>SUM(C7:N7)</f>
        <v>99471</v>
      </c>
      <c r="P7" s="116">
        <f>+1_mell!F7</f>
        <v>99471</v>
      </c>
      <c r="Q7" s="116">
        <f>+P7-O7</f>
        <v>0</v>
      </c>
    </row>
    <row r="8" spans="1:17" ht="22.5" customHeight="1">
      <c r="A8" s="264" t="s">
        <v>23</v>
      </c>
      <c r="B8" s="268" t="s">
        <v>359</v>
      </c>
      <c r="C8" s="290">
        <f>+'15_mell'!D9+'20_mell'!D10+'19_mell'!D10+'18_mell'!D10+'17_mell'!D12</f>
        <v>23008</v>
      </c>
      <c r="D8" s="292">
        <f>+'15_mell'!E9</f>
        <v>22760</v>
      </c>
      <c r="E8" s="292">
        <f>+'15_mell'!F9</f>
        <v>33467</v>
      </c>
      <c r="F8" s="292">
        <f>+'15_mell'!G9</f>
        <v>26064</v>
      </c>
      <c r="G8" s="292">
        <f>+'15_mell'!H9</f>
        <v>26064</v>
      </c>
      <c r="H8" s="292">
        <f>+'15_mell'!I9</f>
        <v>26064</v>
      </c>
      <c r="I8" s="292">
        <f>+'15_mell'!J9</f>
        <v>26064</v>
      </c>
      <c r="J8" s="292">
        <f>+'15_mell'!K9</f>
        <v>26064</v>
      </c>
      <c r="K8" s="292">
        <f>+'15_mell'!L9</f>
        <v>26064</v>
      </c>
      <c r="L8" s="292">
        <f>+'15_mell'!M9</f>
        <v>26064</v>
      </c>
      <c r="M8" s="292">
        <f>+'15_mell'!N9</f>
        <v>26064</v>
      </c>
      <c r="N8" s="292">
        <f>+'15_mell'!O9</f>
        <v>26249</v>
      </c>
      <c r="O8" s="293">
        <f>SUM(C8:N8)</f>
        <v>313996</v>
      </c>
      <c r="P8" s="116">
        <f>+1_mell!F23</f>
        <v>313996</v>
      </c>
      <c r="Q8" s="116">
        <f aca="true" t="shared" si="0" ref="Q8:Q29">+P8-O8</f>
        <v>0</v>
      </c>
    </row>
    <row r="9" spans="1:17" ht="13.5" customHeight="1">
      <c r="A9" s="264" t="s">
        <v>24</v>
      </c>
      <c r="B9" s="265" t="s">
        <v>317</v>
      </c>
      <c r="C9" s="290">
        <f>+'15_mell'!D10+'20_mell'!D11+'19_mell'!D11+'18_mell'!D11+'17_mell'!D13</f>
        <v>12937</v>
      </c>
      <c r="D9" s="290">
        <f>+'15_mell'!E10+'20_mell'!E11+'19_mell'!E11+'18_mell'!E11+'17_mell'!E13</f>
        <v>12937</v>
      </c>
      <c r="E9" s="290">
        <f>+'15_mell'!F10+'20_mell'!F11+'19_mell'!F11+'18_mell'!F11+'17_mell'!F13</f>
        <v>12937</v>
      </c>
      <c r="F9" s="290">
        <f>+'15_mell'!G10+'20_mell'!G11+'19_mell'!G11+'18_mell'!G11+'17_mell'!G13</f>
        <v>13837</v>
      </c>
      <c r="G9" s="290">
        <f>+'15_mell'!H10+'20_mell'!H11+'19_mell'!H11+'18_mell'!H11+'17_mell'!H13</f>
        <v>13837</v>
      </c>
      <c r="H9" s="290">
        <f>+'15_mell'!I10+'20_mell'!I11+'19_mell'!I11+'18_mell'!I11+'17_mell'!I13</f>
        <v>13837</v>
      </c>
      <c r="I9" s="290">
        <f>+'15_mell'!J10+'20_mell'!J11+'19_mell'!J11+'18_mell'!J11+'17_mell'!J13</f>
        <v>13837</v>
      </c>
      <c r="J9" s="290">
        <f>+'15_mell'!K10+'20_mell'!K11+'19_mell'!K11+'18_mell'!K11+'17_mell'!K13</f>
        <v>13837</v>
      </c>
      <c r="K9" s="290">
        <f>+'15_mell'!L10+'20_mell'!L11+'19_mell'!L11+'18_mell'!L11+'17_mell'!L13</f>
        <v>13837</v>
      </c>
      <c r="L9" s="290">
        <f>+'15_mell'!M10+'20_mell'!M11+'19_mell'!M11+'18_mell'!M11+'17_mell'!M13</f>
        <v>13837</v>
      </c>
      <c r="M9" s="290">
        <f>+'15_mell'!N10+'20_mell'!N11+'19_mell'!N11+'18_mell'!N11+'17_mell'!N13</f>
        <v>13837</v>
      </c>
      <c r="N9" s="290">
        <f>+'15_mell'!O10+'20_mell'!O11+'19_mell'!O11+'18_mell'!O11+'17_mell'!O13</f>
        <v>5735</v>
      </c>
      <c r="O9" s="291">
        <f aca="true" t="shared" si="1" ref="O9:O27">SUM(C9:N9)</f>
        <v>155242</v>
      </c>
      <c r="P9" s="116">
        <f>+1_mell!F19+1_mell!F11+1_mell!F13+1_mell!F14+1_mell!F15+1_mell!F16</f>
        <v>155242</v>
      </c>
      <c r="Q9" s="116">
        <f t="shared" si="0"/>
        <v>0</v>
      </c>
    </row>
    <row r="10" spans="1:17" ht="13.5" customHeight="1">
      <c r="A10" s="264" t="s">
        <v>25</v>
      </c>
      <c r="B10" s="265" t="s">
        <v>318</v>
      </c>
      <c r="C10" s="290">
        <f>+'15_mell'!D11+'20_mell'!D12+'19_mell'!D12+'18_mell'!D12+'17_mell'!D14</f>
        <v>5000</v>
      </c>
      <c r="D10" s="290">
        <f>+'15_mell'!E11+'20_mell'!E12+'19_mell'!E12+'18_mell'!E12+'17_mell'!E14</f>
        <v>10000</v>
      </c>
      <c r="E10" s="290">
        <f>+'15_mell'!F11+'20_mell'!F12+'19_mell'!F12+'18_mell'!F12+'17_mell'!F14</f>
        <v>6094</v>
      </c>
      <c r="F10" s="290">
        <f>+'15_mell'!G11+'20_mell'!G12+'19_mell'!G12+'18_mell'!G12+'17_mell'!G14</f>
        <v>1100</v>
      </c>
      <c r="G10" s="290">
        <f>+'15_mell'!H11+'20_mell'!H12+'19_mell'!H12+'18_mell'!H12+'17_mell'!H14</f>
        <v>0</v>
      </c>
      <c r="H10" s="290">
        <f>+'15_mell'!I11+'20_mell'!I12+'19_mell'!I12+'18_mell'!I12+'17_mell'!I14</f>
        <v>0</v>
      </c>
      <c r="I10" s="290">
        <f>+'15_mell'!J11+'20_mell'!J12+'19_mell'!J12+'18_mell'!J12+'17_mell'!J14</f>
        <v>0</v>
      </c>
      <c r="J10" s="290">
        <f>+'15_mell'!K11+'20_mell'!K12+'19_mell'!K12+'18_mell'!K12+'17_mell'!K14</f>
        <v>0</v>
      </c>
      <c r="K10" s="290">
        <f>+'15_mell'!L11+'20_mell'!L12+'19_mell'!L12+'18_mell'!L12+'17_mell'!L14</f>
        <v>14137</v>
      </c>
      <c r="L10" s="290">
        <f>+'15_mell'!M11+'20_mell'!M12+'19_mell'!M12+'18_mell'!M12+'17_mell'!M14</f>
        <v>0</v>
      </c>
      <c r="M10" s="290">
        <f>+'15_mell'!N11+'20_mell'!N12+'19_mell'!N12+'18_mell'!N12+'17_mell'!N14+1000</f>
        <v>49525</v>
      </c>
      <c r="N10" s="290">
        <f>+'15_mell'!O11+'20_mell'!O12+'19_mell'!O12+'18_mell'!O12+'17_mell'!O14</f>
        <v>0</v>
      </c>
      <c r="O10" s="291">
        <f t="shared" si="1"/>
        <v>85856</v>
      </c>
      <c r="P10" s="116">
        <f>+1_mell!F17+1_mell!F71</f>
        <v>85856</v>
      </c>
      <c r="Q10" s="116">
        <f t="shared" si="0"/>
        <v>0</v>
      </c>
    </row>
    <row r="11" spans="1:17" ht="13.5" customHeight="1">
      <c r="A11" s="264" t="s">
        <v>26</v>
      </c>
      <c r="B11" s="265" t="s">
        <v>319</v>
      </c>
      <c r="C11" s="290">
        <f>+'15_mell'!D12+'20_mell'!D13+'19_mell'!D13+'18_mell'!D13+'17_mell'!D15</f>
        <v>18461</v>
      </c>
      <c r="D11" s="290">
        <f>+'15_mell'!E12+'20_mell'!E13+'19_mell'!E13+'18_mell'!E13+'17_mell'!E15</f>
        <v>25239</v>
      </c>
      <c r="E11" s="290">
        <f>+'15_mell'!F12+'20_mell'!F13+'19_mell'!F13+'18_mell'!F13+'17_mell'!F15</f>
        <v>58441</v>
      </c>
      <c r="F11" s="290">
        <f>+'15_mell'!G12+'20_mell'!G13+'19_mell'!G13+'18_mell'!G13+'17_mell'!G15</f>
        <v>26890</v>
      </c>
      <c r="G11" s="290">
        <f>+'15_mell'!H12+'20_mell'!H13+'19_mell'!H13+'18_mell'!H13+'17_mell'!H15</f>
        <v>26890</v>
      </c>
      <c r="H11" s="290">
        <f>+'15_mell'!I12+'20_mell'!I13+'19_mell'!I13+'18_mell'!I13+'17_mell'!I15</f>
        <v>25890</v>
      </c>
      <c r="I11" s="290">
        <f>+'15_mell'!J12+'20_mell'!J13+'19_mell'!J13+'18_mell'!J13+'17_mell'!J15</f>
        <v>25890</v>
      </c>
      <c r="J11" s="290">
        <f>+'15_mell'!K12+'20_mell'!K13+'19_mell'!K13+'18_mell'!K13+'17_mell'!K15</f>
        <v>25890</v>
      </c>
      <c r="K11" s="290">
        <f>+'15_mell'!L12+'20_mell'!L13+'19_mell'!L13+'18_mell'!L13+'17_mell'!L15</f>
        <v>25890</v>
      </c>
      <c r="L11" s="290">
        <f>+'15_mell'!M12+'20_mell'!M13+'19_mell'!M13+'18_mell'!M13+'17_mell'!M15</f>
        <v>25890</v>
      </c>
      <c r="M11" s="290">
        <f>+'15_mell'!N12+'20_mell'!N13+'19_mell'!N13+'18_mell'!N13+'17_mell'!N15-1000</f>
        <v>24890</v>
      </c>
      <c r="N11" s="290">
        <f>+'15_mell'!O12+'20_mell'!O13+'19_mell'!O13+'18_mell'!O13+'17_mell'!O15</f>
        <v>25909</v>
      </c>
      <c r="O11" s="291">
        <f t="shared" si="1"/>
        <v>336170</v>
      </c>
      <c r="P11" s="116">
        <f>+1_mell!F40</f>
        <v>336170</v>
      </c>
      <c r="Q11" s="116">
        <f t="shared" si="0"/>
        <v>0</v>
      </c>
    </row>
    <row r="12" spans="1:17" ht="13.5" customHeight="1">
      <c r="A12" s="264" t="s">
        <v>27</v>
      </c>
      <c r="B12" s="265" t="s">
        <v>320</v>
      </c>
      <c r="C12" s="290">
        <f>+'15_mell'!D13+'20_mell'!D14+'19_mell'!D14+'18_mell'!D14+'17_mell'!D16</f>
        <v>13</v>
      </c>
      <c r="D12" s="290">
        <f>+'15_mell'!E13+'20_mell'!E14+'19_mell'!E14+'18_mell'!E14+'17_mell'!E16</f>
        <v>13</v>
      </c>
      <c r="E12" s="290">
        <f>+'15_mell'!F13+'20_mell'!F14+'19_mell'!F14+'18_mell'!F14+'17_mell'!F16</f>
        <v>13</v>
      </c>
      <c r="F12" s="290">
        <f>+'15_mell'!G13+'20_mell'!G14+'19_mell'!G14+'18_mell'!G14+'17_mell'!G16</f>
        <v>13</v>
      </c>
      <c r="G12" s="290">
        <f>+'15_mell'!H13+'20_mell'!H14+'19_mell'!H14+'18_mell'!H14+'17_mell'!H16</f>
        <v>13</v>
      </c>
      <c r="H12" s="290">
        <f>+'15_mell'!I13+'20_mell'!I14+'19_mell'!I14+'18_mell'!I14+'17_mell'!I16</f>
        <v>13</v>
      </c>
      <c r="I12" s="290">
        <f>+'15_mell'!J13+'20_mell'!J14+'19_mell'!J14+'18_mell'!J14+'17_mell'!J16</f>
        <v>13</v>
      </c>
      <c r="J12" s="290">
        <f>+'15_mell'!K13+'20_mell'!K14+'19_mell'!K14+'18_mell'!K14+'17_mell'!K16</f>
        <v>13</v>
      </c>
      <c r="K12" s="290">
        <f>+'15_mell'!L13+'20_mell'!L14+'19_mell'!L14+'18_mell'!L14+'17_mell'!L16</f>
        <v>13</v>
      </c>
      <c r="L12" s="290">
        <f>+'15_mell'!M13+'20_mell'!M14+'19_mell'!M14+'18_mell'!M14+'17_mell'!M16</f>
        <v>13</v>
      </c>
      <c r="M12" s="290">
        <f>+'15_mell'!N13+'20_mell'!N14+'19_mell'!N14+'18_mell'!N14+'17_mell'!N16</f>
        <v>13</v>
      </c>
      <c r="N12" s="290">
        <f>+'15_mell'!O13+'20_mell'!O14+'19_mell'!O14+'18_mell'!O14+'17_mell'!O16</f>
        <v>7</v>
      </c>
      <c r="O12" s="291">
        <f t="shared" si="1"/>
        <v>150</v>
      </c>
      <c r="P12" s="116">
        <f>+1_mell!F77</f>
        <v>150</v>
      </c>
      <c r="Q12" s="116">
        <f t="shared" si="0"/>
        <v>0</v>
      </c>
    </row>
    <row r="13" spans="1:17" ht="21" customHeight="1">
      <c r="A13" s="264" t="s">
        <v>28</v>
      </c>
      <c r="B13" s="270" t="s">
        <v>321</v>
      </c>
      <c r="C13" s="290">
        <f>+'15_mell'!D14+'20_mell'!D15+'19_mell'!D15+'18_mell'!D15+'17_mell'!D17</f>
        <v>0</v>
      </c>
      <c r="D13" s="290">
        <f>+'15_mell'!E14+'17_mell'!E17+'18_mell'!E15+'19_mell'!E15+'20_mell'!E15</f>
        <v>2500</v>
      </c>
      <c r="E13" s="290">
        <f>+'15_mell'!F14+'17_mell'!F17+'18_mell'!F15+'19_mell'!F15+'20_mell'!F15</f>
        <v>75457</v>
      </c>
      <c r="F13" s="290">
        <f>+'15_mell'!G14+'17_mell'!G17+'18_mell'!G15+'19_mell'!G15+'20_mell'!G15</f>
        <v>0</v>
      </c>
      <c r="G13" s="290">
        <f>+'15_mell'!H14+'17_mell'!H17+'18_mell'!H15+'19_mell'!H15+'20_mell'!H15</f>
        <v>0</v>
      </c>
      <c r="H13" s="290">
        <f>+'15_mell'!I14+'17_mell'!I17+'18_mell'!I15+'19_mell'!I15+'20_mell'!I15</f>
        <v>0</v>
      </c>
      <c r="I13" s="290">
        <f>+'15_mell'!J14+'17_mell'!J17+'18_mell'!J15+'19_mell'!J15+'20_mell'!J15</f>
        <v>0</v>
      </c>
      <c r="J13" s="290">
        <f>+'15_mell'!K14+'17_mell'!K17+'18_mell'!K15+'19_mell'!K15+'20_mell'!K15</f>
        <v>0</v>
      </c>
      <c r="K13" s="290">
        <f>+'15_mell'!L14+'17_mell'!L17+'18_mell'!L15+'19_mell'!L15+'20_mell'!L15</f>
        <v>0</v>
      </c>
      <c r="L13" s="290">
        <f>+'15_mell'!M14+'17_mell'!M17+'18_mell'!M15+'19_mell'!M15+'20_mell'!M15</f>
        <v>0</v>
      </c>
      <c r="M13" s="290">
        <f>+'15_mell'!N14+'17_mell'!N17+'18_mell'!N15+'19_mell'!N15+'20_mell'!N15</f>
        <v>0</v>
      </c>
      <c r="N13" s="290">
        <f>+'15_mell'!O14+'17_mell'!O17+'18_mell'!O15+'19_mell'!O15+'20_mell'!O15</f>
        <v>0</v>
      </c>
      <c r="O13" s="291">
        <f t="shared" si="1"/>
        <v>77957</v>
      </c>
      <c r="P13" s="116">
        <f>+1_mell!F82</f>
        <v>77957</v>
      </c>
      <c r="Q13" s="116">
        <f t="shared" si="0"/>
        <v>0</v>
      </c>
    </row>
    <row r="14" spans="1:17" ht="13.5" customHeight="1" thickBot="1">
      <c r="A14" s="264" t="s">
        <v>29</v>
      </c>
      <c r="B14" s="265" t="s">
        <v>336</v>
      </c>
      <c r="C14" s="290">
        <f>+'15_mell'!D15</f>
        <v>0</v>
      </c>
      <c r="D14" s="290">
        <f>+'15_mell'!E15</f>
        <v>0</v>
      </c>
      <c r="E14" s="290">
        <f>+'15_mell'!F15</f>
        <v>0</v>
      </c>
      <c r="F14" s="290">
        <f>+'15_mell'!G15</f>
        <v>0</v>
      </c>
      <c r="G14" s="290">
        <f>+'15_mell'!H15</f>
        <v>0</v>
      </c>
      <c r="H14" s="290">
        <f>+'15_mell'!I15</f>
        <v>0</v>
      </c>
      <c r="I14" s="290">
        <f>+'15_mell'!J15</f>
        <v>0</v>
      </c>
      <c r="J14" s="290">
        <f>+'15_mell'!K15</f>
        <v>0</v>
      </c>
      <c r="K14" s="290">
        <f>+'15_mell'!L15</f>
        <v>0</v>
      </c>
      <c r="L14" s="290">
        <f>+'15_mell'!M15</f>
        <v>0</v>
      </c>
      <c r="M14" s="290">
        <f>+'15_mell'!N15</f>
        <v>0</v>
      </c>
      <c r="N14" s="290">
        <f>+'15_mell'!O15</f>
        <v>13316</v>
      </c>
      <c r="O14" s="291">
        <f t="shared" si="1"/>
        <v>13316</v>
      </c>
      <c r="P14" s="116">
        <f>+1_mell!F80</f>
        <v>13316</v>
      </c>
      <c r="Q14" s="116">
        <f t="shared" si="0"/>
        <v>0</v>
      </c>
    </row>
    <row r="15" spans="1:47" s="656" customFormat="1" ht="13.5" customHeight="1" thickBot="1">
      <c r="A15" s="257" t="s">
        <v>30</v>
      </c>
      <c r="B15" s="272" t="s">
        <v>322</v>
      </c>
      <c r="C15" s="294">
        <f>SUM(C7:C14)</f>
        <v>67708</v>
      </c>
      <c r="D15" s="294">
        <f aca="true" t="shared" si="2" ref="D15:N15">SUM(D7:D14)</f>
        <v>81738</v>
      </c>
      <c r="E15" s="294">
        <f t="shared" si="2"/>
        <v>194698</v>
      </c>
      <c r="F15" s="294">
        <f t="shared" si="2"/>
        <v>76193</v>
      </c>
      <c r="G15" s="294">
        <f t="shared" si="2"/>
        <v>75093</v>
      </c>
      <c r="H15" s="294">
        <f t="shared" si="2"/>
        <v>74093</v>
      </c>
      <c r="I15" s="294">
        <f t="shared" si="2"/>
        <v>74093</v>
      </c>
      <c r="J15" s="294">
        <f t="shared" si="2"/>
        <v>74093</v>
      </c>
      <c r="K15" s="294">
        <f t="shared" si="2"/>
        <v>88230</v>
      </c>
      <c r="L15" s="294">
        <f t="shared" si="2"/>
        <v>74093</v>
      </c>
      <c r="M15" s="294">
        <f t="shared" si="2"/>
        <v>122618</v>
      </c>
      <c r="N15" s="294">
        <f t="shared" si="2"/>
        <v>79508</v>
      </c>
      <c r="O15" s="294">
        <f>SUM(O7:O14)</f>
        <v>1082158</v>
      </c>
      <c r="P15" s="116"/>
      <c r="Q15" s="116">
        <f t="shared" si="0"/>
        <v>-1082158</v>
      </c>
      <c r="R15" s="116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7"/>
      <c r="AO15" s="657"/>
      <c r="AP15" s="657"/>
      <c r="AQ15" s="657"/>
      <c r="AR15" s="657"/>
      <c r="AS15" s="657"/>
      <c r="AT15" s="657"/>
      <c r="AU15" s="657"/>
    </row>
    <row r="16" spans="1:47" s="656" customFormat="1" ht="13.5" customHeight="1" thickBot="1">
      <c r="A16" s="257" t="s">
        <v>31</v>
      </c>
      <c r="B16" s="258" t="s">
        <v>125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74"/>
      <c r="P16" s="116"/>
      <c r="Q16" s="116">
        <f t="shared" si="0"/>
        <v>0</v>
      </c>
      <c r="R16" s="116"/>
      <c r="S16" s="657"/>
      <c r="T16" s="657"/>
      <c r="U16" s="657"/>
      <c r="V16" s="657"/>
      <c r="W16" s="657"/>
      <c r="X16" s="657"/>
      <c r="Y16" s="657"/>
      <c r="Z16" s="657"/>
      <c r="AA16" s="657"/>
      <c r="AB16" s="657"/>
      <c r="AC16" s="657"/>
      <c r="AD16" s="657"/>
      <c r="AE16" s="657"/>
      <c r="AF16" s="657"/>
      <c r="AG16" s="657"/>
      <c r="AH16" s="657"/>
      <c r="AI16" s="657"/>
      <c r="AJ16" s="657"/>
      <c r="AK16" s="657"/>
      <c r="AL16" s="657"/>
      <c r="AM16" s="657"/>
      <c r="AN16" s="657"/>
      <c r="AO16" s="657"/>
      <c r="AP16" s="657"/>
      <c r="AQ16" s="657"/>
      <c r="AR16" s="657"/>
      <c r="AS16" s="657"/>
      <c r="AT16" s="657"/>
      <c r="AU16" s="657"/>
    </row>
    <row r="17" spans="1:17" ht="13.5" customHeight="1">
      <c r="A17" s="275" t="s">
        <v>32</v>
      </c>
      <c r="B17" s="276" t="s">
        <v>215</v>
      </c>
      <c r="C17" s="292">
        <f>+'15_mell'!D18+'20_mell'!D19+'19_mell'!D19+'18_mell'!D19+'17_mell'!D21</f>
        <v>39682</v>
      </c>
      <c r="D17" s="292">
        <f>+'15_mell'!E18+'20_mell'!E19+'19_mell'!E19+'18_mell'!E19+'17_mell'!E21</f>
        <v>43808</v>
      </c>
      <c r="E17" s="292">
        <f>+'15_mell'!F18+'20_mell'!F19+'19_mell'!F19+'18_mell'!F19+'17_mell'!F21</f>
        <v>46177</v>
      </c>
      <c r="F17" s="292">
        <f>+'15_mell'!G18+'20_mell'!G19+'19_mell'!G19+'18_mell'!G19+'17_mell'!G21</f>
        <v>63653</v>
      </c>
      <c r="G17" s="292">
        <f>+'15_mell'!H18+'20_mell'!H19+'19_mell'!H19+'18_mell'!H19+'17_mell'!H21</f>
        <v>24974</v>
      </c>
      <c r="H17" s="292">
        <f>+'15_mell'!I18+'20_mell'!I19+'19_mell'!I19+'18_mell'!I19+'17_mell'!I21</f>
        <v>27675</v>
      </c>
      <c r="I17" s="292">
        <f>+'15_mell'!J18+'20_mell'!J19+'19_mell'!J19+'18_mell'!J19+'17_mell'!J21</f>
        <v>30809</v>
      </c>
      <c r="J17" s="292">
        <f>+'15_mell'!K18+'20_mell'!K19+'19_mell'!K19+'18_mell'!K19+'17_mell'!K21</f>
        <v>31936</v>
      </c>
      <c r="K17" s="292">
        <f>+'15_mell'!L18+'20_mell'!L19+'19_mell'!L19+'18_mell'!L19+'17_mell'!L21</f>
        <v>30436</v>
      </c>
      <c r="L17" s="292">
        <f>+'15_mell'!M18+'20_mell'!M19+'19_mell'!M19+'18_mell'!M19+'17_mell'!M21</f>
        <v>27214</v>
      </c>
      <c r="M17" s="292">
        <f>+'15_mell'!N18+'20_mell'!N19+'19_mell'!N19+'18_mell'!N19+'17_mell'!N21</f>
        <v>24748</v>
      </c>
      <c r="N17" s="292">
        <f>+'15_mell'!O18+'20_mell'!O19+'19_mell'!O19+'18_mell'!O19+'17_mell'!O21</f>
        <v>22979</v>
      </c>
      <c r="O17" s="293">
        <f>SUM(C17:N17)</f>
        <v>414091</v>
      </c>
      <c r="P17" s="116">
        <f>+4_mell!D36</f>
        <v>414091</v>
      </c>
      <c r="Q17" s="116">
        <f t="shared" si="0"/>
        <v>0</v>
      </c>
    </row>
    <row r="18" spans="1:17" ht="24.75" customHeight="1">
      <c r="A18" s="264" t="s">
        <v>33</v>
      </c>
      <c r="B18" s="270" t="s">
        <v>323</v>
      </c>
      <c r="C18" s="292">
        <f>+'15_mell'!D19+'20_mell'!D20+'19_mell'!D20+'18_mell'!D20+'17_mell'!D22</f>
        <v>7885</v>
      </c>
      <c r="D18" s="292">
        <f>+'15_mell'!E19+'20_mell'!E20+'19_mell'!E20+'18_mell'!E20+'17_mell'!E22</f>
        <v>8422</v>
      </c>
      <c r="E18" s="292">
        <f>+'15_mell'!F19+'20_mell'!F20+'19_mell'!F20+'18_mell'!F20+'17_mell'!F22</f>
        <v>8589</v>
      </c>
      <c r="F18" s="292">
        <f>+'15_mell'!G19+'20_mell'!G20+'19_mell'!G20+'18_mell'!G20+'17_mell'!G22</f>
        <v>8726</v>
      </c>
      <c r="G18" s="292">
        <f>+'15_mell'!H19+'20_mell'!H20+'19_mell'!H20+'18_mell'!H20+'17_mell'!H22</f>
        <v>8447</v>
      </c>
      <c r="H18" s="292">
        <f>+'15_mell'!I19+'20_mell'!I20+'19_mell'!I20+'18_mell'!I20+'17_mell'!I22</f>
        <v>6216</v>
      </c>
      <c r="I18" s="292">
        <f>+'15_mell'!J19+'20_mell'!J20+'19_mell'!J20+'18_mell'!J20+'17_mell'!J22</f>
        <v>6455</v>
      </c>
      <c r="J18" s="292">
        <f>+'15_mell'!K19+'20_mell'!K20+'19_mell'!K20+'18_mell'!K20+'17_mell'!K22</f>
        <v>6764</v>
      </c>
      <c r="K18" s="292">
        <f>+'15_mell'!L19+'20_mell'!L20+'19_mell'!L20+'18_mell'!L20+'17_mell'!L22</f>
        <v>6764</v>
      </c>
      <c r="L18" s="292">
        <f>+'15_mell'!M19+'20_mell'!M20+'19_mell'!M20+'18_mell'!M20+'17_mell'!M22</f>
        <v>7161</v>
      </c>
      <c r="M18" s="292">
        <f>+'15_mell'!N19+'20_mell'!N20+'19_mell'!N20+'18_mell'!N20+'17_mell'!N22</f>
        <v>5974</v>
      </c>
      <c r="N18" s="292">
        <f>+'15_mell'!O19+'20_mell'!O20+'19_mell'!O20+'18_mell'!O20+'17_mell'!O22</f>
        <v>5556</v>
      </c>
      <c r="O18" s="291">
        <f t="shared" si="1"/>
        <v>86959</v>
      </c>
      <c r="P18" s="116">
        <f>+4_mell!E36</f>
        <v>86959</v>
      </c>
      <c r="Q18" s="116">
        <f t="shared" si="0"/>
        <v>0</v>
      </c>
    </row>
    <row r="19" spans="1:17" ht="13.5" customHeight="1">
      <c r="A19" s="264" t="s">
        <v>34</v>
      </c>
      <c r="B19" s="265" t="s">
        <v>251</v>
      </c>
      <c r="C19" s="292">
        <f>+'15_mell'!D20+'20_mell'!D21+'19_mell'!D21+'18_mell'!D21+'17_mell'!D23</f>
        <v>35902</v>
      </c>
      <c r="D19" s="292">
        <f>+'15_mell'!E20+'20_mell'!E21+'19_mell'!E21+'18_mell'!E21+'17_mell'!E23</f>
        <v>42704</v>
      </c>
      <c r="E19" s="292">
        <f>+'15_mell'!F20+'20_mell'!F21+'19_mell'!F21+'18_mell'!F21+'17_mell'!F23</f>
        <v>37092</v>
      </c>
      <c r="F19" s="292">
        <f>+'15_mell'!G20+'20_mell'!G21+'19_mell'!G21+'18_mell'!G21+'17_mell'!G23</f>
        <v>24099</v>
      </c>
      <c r="G19" s="292">
        <f>+'15_mell'!H20+'20_mell'!H21+'19_mell'!H21+'18_mell'!H21+'17_mell'!H23</f>
        <v>20592</v>
      </c>
      <c r="H19" s="292">
        <f>+'15_mell'!I20+'20_mell'!I21+'19_mell'!I21+'18_mell'!I21+'17_mell'!I23</f>
        <v>25266</v>
      </c>
      <c r="I19" s="292">
        <f>+'15_mell'!J20+'20_mell'!J21+'19_mell'!J21+'18_mell'!J21+'17_mell'!J23</f>
        <v>26342</v>
      </c>
      <c r="J19" s="292">
        <f>+'15_mell'!K20+'20_mell'!K21+'19_mell'!K21+'18_mell'!K21+'17_mell'!K23</f>
        <v>19882</v>
      </c>
      <c r="K19" s="292">
        <f>+'15_mell'!L20+'20_mell'!L21+'19_mell'!L21+'18_mell'!L21+'17_mell'!L23</f>
        <v>18892</v>
      </c>
      <c r="L19" s="292">
        <f>+'15_mell'!M20+'20_mell'!M21+'19_mell'!M21+'18_mell'!M21+'17_mell'!M23</f>
        <v>18192</v>
      </c>
      <c r="M19" s="292">
        <f>+'15_mell'!N20+'20_mell'!N21+'19_mell'!N21+'18_mell'!N21+'17_mell'!N23</f>
        <v>18192</v>
      </c>
      <c r="N19" s="292">
        <f>+'15_mell'!O20+'20_mell'!O21+'19_mell'!O21+'18_mell'!O21+'17_mell'!O23</f>
        <v>27646</v>
      </c>
      <c r="O19" s="291">
        <f t="shared" si="1"/>
        <v>314801</v>
      </c>
      <c r="P19" s="116">
        <f>+4_mell!F36</f>
        <v>314801</v>
      </c>
      <c r="Q19" s="116">
        <f t="shared" si="0"/>
        <v>0</v>
      </c>
    </row>
    <row r="20" spans="1:17" ht="13.5" customHeight="1">
      <c r="A20" s="264" t="s">
        <v>35</v>
      </c>
      <c r="B20" s="265" t="s">
        <v>324</v>
      </c>
      <c r="C20" s="292">
        <f>+'15_mell'!D21+'20_mell'!D22+'19_mell'!D22+'18_mell'!D22+'17_mell'!D24</f>
        <v>0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1">
        <f t="shared" si="1"/>
        <v>0</v>
      </c>
      <c r="Q20" s="116">
        <f t="shared" si="0"/>
        <v>0</v>
      </c>
    </row>
    <row r="21" spans="1:17" ht="13.5" customHeight="1">
      <c r="A21" s="264" t="s">
        <v>36</v>
      </c>
      <c r="B21" s="265" t="s">
        <v>325</v>
      </c>
      <c r="C21" s="292">
        <f>+'15_mell'!D22+'20_mell'!D23+'19_mell'!D23+'18_mell'!D23+'17_mell'!D25</f>
        <v>0</v>
      </c>
      <c r="D21" s="292">
        <f>+'15_mell'!E22+'20_mell'!E23+'19_mell'!E23+'18_mell'!E23+'17_mell'!E25</f>
        <v>0</v>
      </c>
      <c r="E21" s="292">
        <f>+'15_mell'!F22+'20_mell'!F23+'19_mell'!F23+'18_mell'!F23+'17_mell'!F25</f>
        <v>0</v>
      </c>
      <c r="F21" s="292">
        <f>+'15_mell'!G22+'20_mell'!G23+'19_mell'!G23+'18_mell'!G23+'17_mell'!G25</f>
        <v>0</v>
      </c>
      <c r="G21" s="292">
        <f>+'15_mell'!H22+'20_mell'!H23+'19_mell'!H23+'18_mell'!H23+'17_mell'!H25</f>
        <v>0</v>
      </c>
      <c r="H21" s="292">
        <f>+'15_mell'!I22+'20_mell'!I23+'19_mell'!I23+'18_mell'!I23+'17_mell'!I25</f>
        <v>0</v>
      </c>
      <c r="I21" s="292">
        <f>+'15_mell'!J22+'20_mell'!J23+'19_mell'!J23+'18_mell'!J23+'17_mell'!J25</f>
        <v>0</v>
      </c>
      <c r="J21" s="292">
        <f>+'15_mell'!K22+'20_mell'!K23+'19_mell'!K23+'18_mell'!K23+'17_mell'!K25</f>
        <v>0</v>
      </c>
      <c r="K21" s="292">
        <f>+'15_mell'!L22+'20_mell'!L23+'19_mell'!L23+'18_mell'!L23+'17_mell'!L25</f>
        <v>0</v>
      </c>
      <c r="L21" s="292">
        <f>+'15_mell'!M22+'20_mell'!M23+'19_mell'!M23+'18_mell'!M23+'17_mell'!M25</f>
        <v>0</v>
      </c>
      <c r="M21" s="292">
        <f>+'15_mell'!N22+'20_mell'!N23+'19_mell'!N23+'18_mell'!N23+'17_mell'!N25</f>
        <v>0</v>
      </c>
      <c r="N21" s="292">
        <f>+'15_mell'!O22+'20_mell'!O23+'19_mell'!O23+'18_mell'!O23+'17_mell'!O25</f>
        <v>0</v>
      </c>
      <c r="O21" s="291">
        <f t="shared" si="1"/>
        <v>0</v>
      </c>
      <c r="Q21" s="116">
        <f t="shared" si="0"/>
        <v>0</v>
      </c>
    </row>
    <row r="22" spans="1:17" ht="13.5" customHeight="1">
      <c r="A22" s="264" t="s">
        <v>37</v>
      </c>
      <c r="B22" s="265" t="s">
        <v>326</v>
      </c>
      <c r="C22" s="292">
        <f>+'15_mell'!D23+'20_mell'!D24+'19_mell'!D24+'18_mell'!D24+'17_mell'!D26</f>
        <v>2239</v>
      </c>
      <c r="D22" s="292">
        <f>+'15_mell'!E23+'20_mell'!E24+'19_mell'!E24+'18_mell'!E24+'17_mell'!E26</f>
        <v>2239</v>
      </c>
      <c r="E22" s="292">
        <f>+'15_mell'!F23+'20_mell'!F24+'19_mell'!F24+'18_mell'!F24+'17_mell'!F26</f>
        <v>2239</v>
      </c>
      <c r="F22" s="292">
        <f>+'15_mell'!G23+'20_mell'!G24+'19_mell'!G24+'18_mell'!G24+'17_mell'!G26</f>
        <v>37428</v>
      </c>
      <c r="G22" s="292">
        <f>+'15_mell'!H23+'20_mell'!H24+'19_mell'!H24+'18_mell'!H24+'17_mell'!H26</f>
        <v>2239</v>
      </c>
      <c r="H22" s="292">
        <f>+'15_mell'!I23+'20_mell'!I24+'19_mell'!I24+'18_mell'!I24+'17_mell'!I26</f>
        <v>2693</v>
      </c>
      <c r="I22" s="292">
        <f>+'15_mell'!J23+'20_mell'!J24+'19_mell'!J24+'18_mell'!J24+'17_mell'!J26</f>
        <v>2239</v>
      </c>
      <c r="J22" s="292">
        <f>+'15_mell'!K23+'20_mell'!K24+'19_mell'!K24+'18_mell'!K24+'17_mell'!K26</f>
        <v>2239</v>
      </c>
      <c r="K22" s="292">
        <f>+'15_mell'!L23+'20_mell'!L24+'19_mell'!L24+'18_mell'!L24+'17_mell'!L26</f>
        <v>2239</v>
      </c>
      <c r="L22" s="292">
        <f>+'15_mell'!M23+'20_mell'!M24+'19_mell'!M24+'18_mell'!M24+'17_mell'!M26</f>
        <v>2239</v>
      </c>
      <c r="M22" s="292">
        <f>+'15_mell'!N23+'20_mell'!N24+'19_mell'!N24+'18_mell'!N24+'17_mell'!N26</f>
        <v>2239</v>
      </c>
      <c r="N22" s="292">
        <f>+'15_mell'!O23+'20_mell'!O24+'19_mell'!O24+'18_mell'!O24+'17_mell'!O26</f>
        <v>1820</v>
      </c>
      <c r="O22" s="291">
        <f t="shared" si="1"/>
        <v>62092</v>
      </c>
      <c r="P22" s="116">
        <f>+4_mell!H36</f>
        <v>62092</v>
      </c>
      <c r="Q22" s="116">
        <f t="shared" si="0"/>
        <v>0</v>
      </c>
    </row>
    <row r="23" spans="1:17" ht="21" customHeight="1">
      <c r="A23" s="264" t="s">
        <v>40</v>
      </c>
      <c r="B23" s="270" t="s">
        <v>327</v>
      </c>
      <c r="C23" s="292">
        <f>+'15_mell'!D24+'20_mell'!D25+'19_mell'!D25+'18_mell'!D25+'17_mell'!D27</f>
        <v>9861</v>
      </c>
      <c r="D23" s="292">
        <f>+'15_mell'!E24+'20_mell'!E25+'19_mell'!E25+'18_mell'!E25+'17_mell'!E27</f>
        <v>9861</v>
      </c>
      <c r="E23" s="292">
        <f>+'15_mell'!F24+'20_mell'!F25+'19_mell'!F25+'18_mell'!F25+'17_mell'!F27</f>
        <v>9861</v>
      </c>
      <c r="F23" s="292">
        <f>+'15_mell'!G24+'20_mell'!G25+'19_mell'!G25+'18_mell'!G25+'17_mell'!G27</f>
        <v>9861</v>
      </c>
      <c r="G23" s="292">
        <f>+'15_mell'!H24+'20_mell'!H25+'19_mell'!H25+'18_mell'!H25+'17_mell'!H27</f>
        <v>9861</v>
      </c>
      <c r="H23" s="292">
        <f>+'15_mell'!I24+'20_mell'!I25+'19_mell'!I25+'18_mell'!I25+'17_mell'!I27</f>
        <v>9861</v>
      </c>
      <c r="I23" s="292">
        <f>+'15_mell'!J24+'20_mell'!J25+'19_mell'!J25+'18_mell'!J25+'17_mell'!J27</f>
        <v>9861</v>
      </c>
      <c r="J23" s="292">
        <f>+'15_mell'!K24+'20_mell'!K25+'19_mell'!K25+'18_mell'!K25+'17_mell'!K27</f>
        <v>9861</v>
      </c>
      <c r="K23" s="292">
        <f>+'15_mell'!L24+'20_mell'!L25+'19_mell'!L25+'18_mell'!L25+'17_mell'!L27</f>
        <v>9861</v>
      </c>
      <c r="L23" s="292">
        <f>+'15_mell'!M24+'20_mell'!M25+'19_mell'!M25+'18_mell'!M25+'17_mell'!M27</f>
        <v>9861</v>
      </c>
      <c r="M23" s="292">
        <f>+'15_mell'!N24+'20_mell'!N25+'19_mell'!N25+'18_mell'!N25+'17_mell'!N27</f>
        <v>9861</v>
      </c>
      <c r="N23" s="292">
        <f>+'15_mell'!O24+'20_mell'!O25+'19_mell'!O25+'18_mell'!O25+'17_mell'!O27</f>
        <v>9868</v>
      </c>
      <c r="O23" s="291">
        <f t="shared" si="1"/>
        <v>118339</v>
      </c>
      <c r="P23" s="116">
        <f>+4_mell!I36</f>
        <v>118339</v>
      </c>
      <c r="Q23" s="116">
        <f t="shared" si="0"/>
        <v>0</v>
      </c>
    </row>
    <row r="24" spans="1:17" ht="13.5" customHeight="1">
      <c r="A24" s="264" t="s">
        <v>42</v>
      </c>
      <c r="B24" s="265" t="s">
        <v>450</v>
      </c>
      <c r="C24" s="292">
        <f>+'15_mell'!D25+'20_mell'!D26+'19_mell'!D26+'18_mell'!D26+'17_mell'!D28</f>
        <v>0</v>
      </c>
      <c r="D24" s="292">
        <f>+'15_mell'!E25+'20_mell'!E26+'19_mell'!E26+'18_mell'!E26+'17_mell'!E28</f>
        <v>1000</v>
      </c>
      <c r="E24" s="292">
        <f>+'15_mell'!F25+'20_mell'!F26+'19_mell'!F26+'18_mell'!F26+'17_mell'!F28</f>
        <v>2000</v>
      </c>
      <c r="F24" s="292">
        <f>+'15_mell'!G25+'20_mell'!G26+'19_mell'!G26+'18_mell'!G26+'17_mell'!G28</f>
        <v>0</v>
      </c>
      <c r="G24" s="292">
        <f>+'15_mell'!H25+'20_mell'!H26+'19_mell'!H26+'18_mell'!H26+'17_mell'!H28</f>
        <v>0</v>
      </c>
      <c r="H24" s="292">
        <f>+'15_mell'!I25+'20_mell'!I26+'19_mell'!I26+'18_mell'!I26+'17_mell'!I28</f>
        <v>1000</v>
      </c>
      <c r="I24" s="292">
        <f>+'15_mell'!J25+'20_mell'!J26+'19_mell'!J26+'18_mell'!J26+'17_mell'!J28</f>
        <v>0</v>
      </c>
      <c r="J24" s="292">
        <f>+'15_mell'!K25+'20_mell'!K26+'19_mell'!K26+'18_mell'!K26+'17_mell'!K28</f>
        <v>0</v>
      </c>
      <c r="K24" s="292">
        <f>+'15_mell'!L25+'20_mell'!L26+'19_mell'!L26+'18_mell'!L26+'17_mell'!L28</f>
        <v>0</v>
      </c>
      <c r="L24" s="292">
        <f>+'15_mell'!M25+'20_mell'!M26+'19_mell'!M26+'18_mell'!M26+'17_mell'!M28</f>
        <v>0</v>
      </c>
      <c r="M24" s="292">
        <f>+'15_mell'!N25+'20_mell'!N26+'19_mell'!N26+'18_mell'!N26+'17_mell'!N28</f>
        <v>0</v>
      </c>
      <c r="N24" s="292">
        <f>+'15_mell'!O25+'20_mell'!O26+'19_mell'!O26+'18_mell'!O26+'17_mell'!O28</f>
        <v>0</v>
      </c>
      <c r="O24" s="291">
        <f t="shared" si="1"/>
        <v>4000</v>
      </c>
      <c r="P24" s="116">
        <f>+4_mell!K36</f>
        <v>4000</v>
      </c>
      <c r="Q24" s="116">
        <f t="shared" si="0"/>
        <v>0</v>
      </c>
    </row>
    <row r="25" spans="1:17" ht="13.5" customHeight="1">
      <c r="A25" s="264" t="s">
        <v>43</v>
      </c>
      <c r="B25" s="265" t="s">
        <v>329</v>
      </c>
      <c r="C25" s="292">
        <f>+'15_mell'!D26+'20_mell'!D27+'19_mell'!D27+'18_mell'!D27+'17_mell'!D29</f>
        <v>0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1">
        <f t="shared" si="1"/>
        <v>0</v>
      </c>
      <c r="Q25" s="116">
        <f t="shared" si="0"/>
        <v>0</v>
      </c>
    </row>
    <row r="26" spans="1:17" ht="13.5" customHeight="1">
      <c r="A26" s="264" t="s">
        <v>44</v>
      </c>
      <c r="B26" s="265" t="s">
        <v>330</v>
      </c>
      <c r="C26" s="292">
        <f>+'15_mell'!D27+'20_mell'!D28+'19_mell'!D28+'18_mell'!D28+'17_mell'!D30</f>
        <v>0</v>
      </c>
      <c r="D26" s="292">
        <f>+'15_mell'!E27+'20_mell'!E28+'19_mell'!E28+'18_mell'!E28+'17_mell'!E30</f>
        <v>0</v>
      </c>
      <c r="E26" s="292">
        <f>+'15_mell'!F27+'20_mell'!F28+'19_mell'!F28+'18_mell'!F28+'17_mell'!F30</f>
        <v>0</v>
      </c>
      <c r="F26" s="292">
        <f>+'15_mell'!G27+'20_mell'!G28+'19_mell'!G28+'18_mell'!G28+'17_mell'!G30</f>
        <v>7194</v>
      </c>
      <c r="G26" s="292">
        <f>+'15_mell'!H27+'20_mell'!H28+'19_mell'!H28+'18_mell'!H28+'17_mell'!H30</f>
        <v>1650</v>
      </c>
      <c r="H26" s="292">
        <f>+'15_mell'!I27+'20_mell'!I28+'19_mell'!I28+'18_mell'!I28+'17_mell'!I30</f>
        <v>8620</v>
      </c>
      <c r="I26" s="292">
        <f>+'15_mell'!J27+'20_mell'!J28+'19_mell'!J28+'18_mell'!J28+'17_mell'!J30</f>
        <v>0</v>
      </c>
      <c r="J26" s="292">
        <f>+'15_mell'!K27+'20_mell'!K28+'19_mell'!K28+'18_mell'!K28+'17_mell'!K30</f>
        <v>2000</v>
      </c>
      <c r="K26" s="292">
        <f>+'15_mell'!L27+'20_mell'!L28+'19_mell'!L28+'18_mell'!L28+'17_mell'!L30</f>
        <v>0</v>
      </c>
      <c r="L26" s="292">
        <f>+'15_mell'!M27+'20_mell'!M28+'19_mell'!M28+'18_mell'!M28+'17_mell'!M30</f>
        <v>0</v>
      </c>
      <c r="M26" s="292">
        <f>+'15_mell'!N27+'20_mell'!N28+'19_mell'!N28+'18_mell'!N28+'17_mell'!N30</f>
        <v>26212</v>
      </c>
      <c r="N26" s="292">
        <f>+'15_mell'!O27+'20_mell'!O28+'19_mell'!O28+'18_mell'!O28+'17_mell'!O30</f>
        <v>36200</v>
      </c>
      <c r="O26" s="291">
        <f t="shared" si="1"/>
        <v>81876</v>
      </c>
      <c r="P26" s="116">
        <f>+4_mell!L36</f>
        <v>81876</v>
      </c>
      <c r="Q26" s="116">
        <f t="shared" si="0"/>
        <v>0</v>
      </c>
    </row>
    <row r="27" spans="1:47" s="656" customFormat="1" ht="13.5" customHeight="1" thickBot="1">
      <c r="A27" s="264" t="s">
        <v>45</v>
      </c>
      <c r="B27" s="265" t="s">
        <v>331</v>
      </c>
      <c r="C27" s="292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>
        <f t="shared" si="1"/>
        <v>0</v>
      </c>
      <c r="P27" s="116"/>
      <c r="Q27" s="116">
        <f t="shared" si="0"/>
        <v>0</v>
      </c>
      <c r="R27" s="116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</row>
    <row r="28" spans="1:47" s="656" customFormat="1" ht="13.5" customHeight="1" thickBot="1">
      <c r="A28" s="278" t="s">
        <v>46</v>
      </c>
      <c r="B28" s="272" t="s">
        <v>332</v>
      </c>
      <c r="C28" s="294">
        <f>SUM(C17:C27)</f>
        <v>95569</v>
      </c>
      <c r="D28" s="294">
        <f aca="true" t="shared" si="3" ref="D28:N28">SUM(D17:D27)</f>
        <v>108034</v>
      </c>
      <c r="E28" s="294">
        <f t="shared" si="3"/>
        <v>105958</v>
      </c>
      <c r="F28" s="294">
        <f t="shared" si="3"/>
        <v>150961</v>
      </c>
      <c r="G28" s="294">
        <f t="shared" si="3"/>
        <v>67763</v>
      </c>
      <c r="H28" s="294">
        <f t="shared" si="3"/>
        <v>81331</v>
      </c>
      <c r="I28" s="294">
        <f t="shared" si="3"/>
        <v>75706</v>
      </c>
      <c r="J28" s="294">
        <f t="shared" si="3"/>
        <v>72682</v>
      </c>
      <c r="K28" s="294">
        <f t="shared" si="3"/>
        <v>68192</v>
      </c>
      <c r="L28" s="294">
        <f t="shared" si="3"/>
        <v>64667</v>
      </c>
      <c r="M28" s="294">
        <f t="shared" si="3"/>
        <v>87226</v>
      </c>
      <c r="N28" s="294">
        <f t="shared" si="3"/>
        <v>104069</v>
      </c>
      <c r="O28" s="295">
        <f>SUM(C28:N28)</f>
        <v>1082158</v>
      </c>
      <c r="P28" s="657">
        <f>+4_mell!M36</f>
        <v>1082158</v>
      </c>
      <c r="Q28" s="116">
        <f t="shared" si="0"/>
        <v>0</v>
      </c>
      <c r="R28" s="116"/>
      <c r="S28" s="657"/>
      <c r="T28" s="657"/>
      <c r="U28" s="657"/>
      <c r="V28" s="657"/>
      <c r="W28" s="657"/>
      <c r="X28" s="657"/>
      <c r="Y28" s="657"/>
      <c r="Z28" s="657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7"/>
      <c r="AS28" s="657"/>
      <c r="AT28" s="657"/>
      <c r="AU28" s="657"/>
    </row>
    <row r="29" spans="1:47" s="44" customFormat="1" ht="28.5" customHeight="1" thickBot="1">
      <c r="A29" s="278" t="s">
        <v>47</v>
      </c>
      <c r="B29" s="280" t="s">
        <v>337</v>
      </c>
      <c r="C29" s="296">
        <f>+C6+C15-C28</f>
        <v>50096</v>
      </c>
      <c r="D29" s="296">
        <f>+C29+D15-D28</f>
        <v>23800</v>
      </c>
      <c r="E29" s="296">
        <f aca="true" t="shared" si="4" ref="E29:N29">+D29+E15-E28</f>
        <v>112540</v>
      </c>
      <c r="F29" s="296">
        <f t="shared" si="4"/>
        <v>37772</v>
      </c>
      <c r="G29" s="296">
        <f t="shared" si="4"/>
        <v>45102</v>
      </c>
      <c r="H29" s="296">
        <f t="shared" si="4"/>
        <v>37864</v>
      </c>
      <c r="I29" s="296">
        <f t="shared" si="4"/>
        <v>36251</v>
      </c>
      <c r="J29" s="296">
        <f t="shared" si="4"/>
        <v>37662</v>
      </c>
      <c r="K29" s="296">
        <f t="shared" si="4"/>
        <v>57700</v>
      </c>
      <c r="L29" s="296">
        <f t="shared" si="4"/>
        <v>67126</v>
      </c>
      <c r="M29" s="296">
        <f t="shared" si="4"/>
        <v>102518</v>
      </c>
      <c r="N29" s="296">
        <f t="shared" si="4"/>
        <v>77957</v>
      </c>
      <c r="O29" s="297" t="s">
        <v>335</v>
      </c>
      <c r="P29" s="6"/>
      <c r="Q29" s="116" t="e">
        <f t="shared" si="0"/>
        <v>#VALUE!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15" ht="13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657"/>
    </row>
    <row r="31" spans="1:15" ht="13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657"/>
    </row>
    <row r="32" spans="1:15" ht="13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57"/>
    </row>
    <row r="33" spans="1:15" ht="13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657"/>
    </row>
    <row r="34" spans="1:15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657"/>
    </row>
    <row r="35" spans="1:15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657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657"/>
    </row>
    <row r="37" spans="1:15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657"/>
    </row>
    <row r="38" spans="1:15" ht="13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657"/>
    </row>
    <row r="39" spans="1:15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657"/>
    </row>
    <row r="40" spans="1:15" ht="13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657"/>
    </row>
    <row r="41" spans="1:15" ht="13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657"/>
    </row>
    <row r="42" spans="1:15" ht="13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657"/>
    </row>
    <row r="43" spans="1:15" ht="13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657"/>
    </row>
    <row r="44" spans="1:15" ht="13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657"/>
    </row>
    <row r="45" spans="1:15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657"/>
    </row>
    <row r="46" spans="1:15" ht="13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657"/>
    </row>
    <row r="47" spans="1:15" ht="13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657"/>
    </row>
    <row r="48" spans="1:15" ht="13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657"/>
    </row>
    <row r="49" spans="1:15" ht="13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657"/>
    </row>
    <row r="50" spans="1:15" ht="13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657"/>
    </row>
    <row r="51" spans="1:15" ht="13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657"/>
    </row>
    <row r="52" spans="1:15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657"/>
    </row>
    <row r="53" spans="1:15" ht="13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657"/>
    </row>
    <row r="54" spans="1:15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57"/>
    </row>
    <row r="55" spans="1:15" ht="13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657"/>
    </row>
    <row r="56" spans="1:15" ht="13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657"/>
    </row>
    <row r="57" spans="1:15" ht="13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657"/>
    </row>
    <row r="58" spans="1:15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657"/>
    </row>
    <row r="59" spans="1:15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657"/>
    </row>
    <row r="60" spans="1:15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657"/>
    </row>
    <row r="61" spans="1:15" ht="13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657"/>
    </row>
    <row r="62" spans="1:15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657"/>
    </row>
    <row r="63" spans="1:15" ht="13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657"/>
    </row>
    <row r="64" spans="1:15" ht="13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657"/>
    </row>
    <row r="65" spans="1:15" ht="13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657"/>
    </row>
    <row r="66" spans="1:15" ht="13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657"/>
    </row>
    <row r="67" spans="1:15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657"/>
    </row>
    <row r="68" spans="1:15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657"/>
    </row>
    <row r="69" spans="1:15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657"/>
    </row>
    <row r="70" spans="1:15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657"/>
    </row>
    <row r="71" spans="1:15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657"/>
    </row>
    <row r="72" spans="1:15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657"/>
    </row>
    <row r="73" spans="1:15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657"/>
    </row>
    <row r="74" spans="1:15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657"/>
    </row>
    <row r="75" spans="1:15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657"/>
    </row>
    <row r="76" spans="1:15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657"/>
    </row>
    <row r="77" spans="1:15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657"/>
    </row>
    <row r="78" spans="1:15" ht="13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657"/>
    </row>
    <row r="79" spans="1:15" ht="13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657"/>
    </row>
    <row r="80" spans="1:15" ht="13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657"/>
    </row>
    <row r="81" spans="1:15" ht="13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657"/>
    </row>
    <row r="82" spans="1:15" ht="13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657"/>
    </row>
    <row r="83" spans="1:15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657"/>
    </row>
    <row r="84" spans="1:15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657"/>
    </row>
    <row r="85" spans="1:15" ht="13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657"/>
    </row>
    <row r="86" spans="1:15" ht="13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657"/>
    </row>
    <row r="87" spans="1:15" ht="13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657"/>
    </row>
    <row r="88" spans="1:15" ht="13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657"/>
    </row>
    <row r="89" spans="1:15" ht="13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657"/>
    </row>
    <row r="90" spans="1:15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657"/>
    </row>
    <row r="91" spans="1:15" ht="13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657"/>
    </row>
    <row r="92" spans="1:15" ht="13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657"/>
    </row>
    <row r="93" spans="1:15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657"/>
    </row>
    <row r="94" spans="1:15" ht="13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657"/>
    </row>
    <row r="95" spans="1:15" ht="13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657"/>
    </row>
    <row r="96" spans="1:15" ht="13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657"/>
    </row>
    <row r="97" spans="1:15" ht="13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657"/>
    </row>
    <row r="98" spans="1:15" ht="13.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657"/>
    </row>
    <row r="99" spans="1:15" ht="13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657"/>
    </row>
    <row r="100" spans="1:15" ht="13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657"/>
    </row>
    <row r="101" spans="1:15" ht="13.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657"/>
    </row>
    <row r="102" spans="1:15" ht="13.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657"/>
    </row>
    <row r="103" spans="1:15" ht="13.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657"/>
    </row>
    <row r="104" spans="1:15" ht="13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657"/>
    </row>
    <row r="105" spans="1:15" ht="13.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657"/>
    </row>
    <row r="106" spans="1:15" ht="13.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657"/>
    </row>
    <row r="107" spans="1:15" ht="13.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657"/>
    </row>
    <row r="108" spans="1:15" ht="13.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657"/>
    </row>
    <row r="109" spans="1:15" ht="13.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657"/>
    </row>
    <row r="110" spans="1:15" ht="13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657"/>
    </row>
    <row r="111" spans="1:15" ht="13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657"/>
    </row>
    <row r="112" spans="1:15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657"/>
    </row>
    <row r="113" spans="1:15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657"/>
    </row>
    <row r="114" spans="1:15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657"/>
    </row>
    <row r="115" spans="1:15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657"/>
    </row>
    <row r="116" spans="1:15" ht="13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657"/>
    </row>
    <row r="117" spans="1:15" ht="13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657"/>
    </row>
    <row r="118" spans="1:15" ht="13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657"/>
    </row>
    <row r="119" spans="1:15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657"/>
    </row>
    <row r="120" spans="1:15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657"/>
    </row>
    <row r="121" spans="1:15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657"/>
    </row>
    <row r="122" spans="1:15" ht="13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657"/>
    </row>
    <row r="123" spans="1:15" ht="13.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657"/>
    </row>
    <row r="124" spans="1:15" ht="13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57"/>
    </row>
    <row r="125" spans="1:15" ht="13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657"/>
    </row>
    <row r="126" spans="1:15" ht="13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657"/>
    </row>
    <row r="127" spans="1:15" ht="13.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657"/>
    </row>
    <row r="128" spans="1:15" ht="13.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57"/>
    </row>
    <row r="129" spans="1:15" ht="13.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657"/>
    </row>
    <row r="130" spans="1:15" ht="13.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657"/>
    </row>
    <row r="131" spans="1:15" ht="13.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657"/>
    </row>
    <row r="132" spans="1:15" ht="13.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657"/>
    </row>
    <row r="133" spans="1:15" ht="13.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657"/>
    </row>
    <row r="134" spans="1:15" ht="13.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657"/>
    </row>
    <row r="135" spans="1:15" ht="13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657"/>
    </row>
    <row r="136" spans="1:15" ht="13.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657"/>
    </row>
    <row r="137" spans="1:15" ht="13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657"/>
    </row>
    <row r="138" spans="1:15" ht="13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657"/>
    </row>
    <row r="139" spans="1:15" ht="13.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657"/>
    </row>
    <row r="140" spans="1:15" ht="13.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657"/>
    </row>
    <row r="141" spans="1:15" ht="13.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657"/>
    </row>
    <row r="142" spans="1:15" ht="13.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657"/>
    </row>
    <row r="143" spans="1:15" ht="13.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657"/>
    </row>
    <row r="144" spans="1:15" ht="13.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657"/>
    </row>
    <row r="145" spans="1:15" ht="13.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657"/>
    </row>
    <row r="146" spans="1:15" ht="13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657"/>
    </row>
    <row r="147" spans="1:15" ht="13.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657"/>
    </row>
    <row r="148" spans="1:15" ht="13.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657"/>
    </row>
    <row r="149" spans="1:15" ht="13.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657"/>
    </row>
    <row r="150" spans="1:15" ht="13.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657"/>
    </row>
    <row r="151" spans="1:15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657"/>
    </row>
    <row r="152" spans="1:15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657"/>
    </row>
    <row r="153" spans="1:15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657"/>
    </row>
    <row r="154" spans="1:15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657"/>
    </row>
    <row r="155" spans="1:15" ht="13.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657"/>
    </row>
    <row r="156" spans="1:15" ht="13.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657"/>
    </row>
    <row r="157" spans="1:15" ht="13.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657"/>
    </row>
    <row r="158" spans="1:15" ht="13.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657"/>
    </row>
    <row r="159" spans="1:15" ht="13.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657"/>
    </row>
    <row r="160" spans="1:15" ht="13.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657"/>
    </row>
    <row r="161" spans="1:15" ht="13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657"/>
    </row>
    <row r="162" spans="1:15" ht="13.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657"/>
    </row>
    <row r="163" spans="1:15" ht="13.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657"/>
    </row>
    <row r="164" spans="1:15" ht="13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657"/>
    </row>
    <row r="165" spans="1:15" ht="13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657"/>
    </row>
    <row r="166" spans="1:15" ht="13.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657"/>
    </row>
    <row r="167" spans="1:15" ht="13.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657"/>
    </row>
    <row r="168" spans="1:15" ht="13.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657"/>
    </row>
    <row r="169" spans="1:15" ht="13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657"/>
    </row>
    <row r="170" spans="1:15" ht="13.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57"/>
    </row>
    <row r="171" spans="1:15" ht="13.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657"/>
    </row>
    <row r="172" spans="1:15" ht="13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657"/>
    </row>
    <row r="173" spans="1:15" ht="13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657"/>
    </row>
    <row r="174" spans="1:15" ht="13.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657"/>
    </row>
    <row r="175" spans="1:15" ht="13.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657"/>
    </row>
    <row r="176" spans="1:15" ht="13.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657"/>
    </row>
    <row r="177" spans="1:15" ht="13.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657"/>
    </row>
    <row r="178" spans="1:15" ht="13.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657"/>
    </row>
    <row r="179" spans="1:15" ht="13.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657"/>
    </row>
    <row r="180" spans="1:15" ht="13.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657"/>
    </row>
    <row r="181" spans="1:15" ht="13.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657"/>
    </row>
    <row r="182" spans="1:15" ht="13.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657"/>
    </row>
    <row r="183" spans="1:15" ht="13.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657"/>
    </row>
    <row r="184" spans="1:15" ht="13.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657"/>
    </row>
    <row r="185" spans="1:15" ht="13.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657"/>
    </row>
    <row r="186" spans="1:15" ht="13.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657"/>
    </row>
    <row r="187" spans="1:15" ht="13.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657"/>
    </row>
    <row r="188" spans="1:15" ht="13.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657"/>
    </row>
    <row r="189" spans="1:15" ht="13.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657"/>
    </row>
    <row r="190" spans="1:15" ht="13.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657"/>
    </row>
    <row r="191" spans="1:15" ht="13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657"/>
    </row>
    <row r="192" spans="1:15" ht="13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657"/>
    </row>
    <row r="193" spans="1:15" ht="13.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657"/>
    </row>
    <row r="194" spans="1:15" ht="13.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657"/>
    </row>
    <row r="195" spans="1:15" ht="13.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657"/>
    </row>
    <row r="196" spans="1:15" ht="13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657"/>
    </row>
    <row r="197" spans="1:15" ht="13.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657"/>
    </row>
    <row r="198" spans="1:15" ht="13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657"/>
    </row>
    <row r="199" spans="1:15" ht="13.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657"/>
    </row>
    <row r="200" spans="1:15" ht="13.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657"/>
    </row>
    <row r="201" spans="1:15" ht="13.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657"/>
    </row>
    <row r="202" spans="1:15" ht="13.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657"/>
    </row>
    <row r="203" spans="1:15" ht="13.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657"/>
    </row>
    <row r="204" spans="1:15" ht="13.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657"/>
    </row>
    <row r="205" spans="1:15" ht="13.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657"/>
    </row>
    <row r="206" spans="1:15" ht="13.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657"/>
    </row>
    <row r="207" spans="1:15" ht="13.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657"/>
    </row>
    <row r="208" spans="1:15" ht="13.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657"/>
    </row>
    <row r="209" spans="1:15" ht="13.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657"/>
    </row>
    <row r="210" spans="1:15" ht="13.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657"/>
    </row>
    <row r="211" spans="1:15" ht="13.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657"/>
    </row>
    <row r="212" spans="1:15" ht="13.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657"/>
    </row>
    <row r="213" spans="1:15" ht="13.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57"/>
    </row>
    <row r="214" spans="1:15" ht="13.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657"/>
    </row>
    <row r="215" spans="1:15" ht="13.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657"/>
    </row>
    <row r="216" spans="1:15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657"/>
    </row>
    <row r="217" spans="1:15" ht="13.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657"/>
    </row>
    <row r="218" spans="1:15" ht="13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657"/>
    </row>
    <row r="219" spans="1:15" ht="13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657"/>
    </row>
    <row r="220" spans="1:15" ht="13.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657"/>
    </row>
    <row r="221" spans="1:15" ht="13.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657"/>
    </row>
    <row r="222" spans="1:15" ht="13.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657"/>
    </row>
    <row r="223" spans="1:15" ht="13.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657"/>
    </row>
    <row r="224" spans="1:15" ht="13.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657"/>
    </row>
    <row r="225" spans="1:15" ht="13.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657"/>
    </row>
    <row r="226" spans="1:15" ht="13.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657"/>
    </row>
    <row r="227" spans="1:15" ht="13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657"/>
    </row>
    <row r="228" spans="1:15" ht="13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657"/>
    </row>
    <row r="229" spans="1:15" ht="13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657"/>
    </row>
    <row r="230" spans="1:15" ht="13.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657"/>
    </row>
    <row r="231" spans="1:15" ht="13.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657"/>
    </row>
    <row r="232" spans="1:15" ht="13.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657"/>
    </row>
    <row r="233" spans="1:15" ht="13.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657"/>
    </row>
    <row r="234" spans="1:15" ht="13.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657"/>
    </row>
    <row r="235" spans="1:15" ht="13.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657"/>
    </row>
    <row r="236" spans="1:15" ht="13.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657"/>
    </row>
    <row r="237" spans="1:15" ht="13.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657"/>
    </row>
    <row r="238" spans="1:15" ht="13.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657"/>
    </row>
    <row r="239" spans="1:15" ht="13.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657"/>
    </row>
    <row r="240" spans="1:15" ht="13.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657"/>
    </row>
    <row r="241" spans="1:15" ht="13.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657"/>
    </row>
    <row r="242" spans="1:15" ht="13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657"/>
    </row>
    <row r="243" spans="1:15" ht="13.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657"/>
    </row>
    <row r="244" spans="1:15" ht="13.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657"/>
    </row>
    <row r="245" spans="1:15" ht="13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657"/>
    </row>
    <row r="246" spans="1:15" ht="13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657"/>
    </row>
    <row r="247" spans="1:15" ht="13.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657"/>
    </row>
    <row r="248" spans="1:15" ht="13.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657"/>
    </row>
    <row r="249" spans="1:15" ht="13.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657"/>
    </row>
    <row r="250" spans="1:15" ht="13.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657"/>
    </row>
    <row r="251" spans="1:15" ht="13.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657"/>
    </row>
    <row r="252" spans="1:15" ht="13.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657"/>
    </row>
    <row r="253" spans="1:15" ht="13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657"/>
    </row>
    <row r="254" spans="1:15" ht="13.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657"/>
    </row>
    <row r="255" spans="1:15" ht="13.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657"/>
    </row>
    <row r="256" spans="1:15" ht="13.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657"/>
    </row>
    <row r="257" spans="1:15" ht="13.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657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10/2014.(VI.27.) Önkormányzati költségvetési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2">
      <selection activeCell="P34" sqref="P34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57"/>
      <c r="P1" s="757"/>
    </row>
    <row r="2" spans="2:16" ht="15.75">
      <c r="B2" s="758" t="s">
        <v>356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2:16" ht="15.75">
      <c r="B3" s="758" t="s">
        <v>424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395" t="s">
        <v>12</v>
      </c>
      <c r="C5" s="396" t="s">
        <v>13</v>
      </c>
      <c r="D5" s="396" t="s">
        <v>14</v>
      </c>
      <c r="E5" s="396" t="s">
        <v>15</v>
      </c>
      <c r="F5" s="396" t="s">
        <v>16</v>
      </c>
      <c r="G5" s="396" t="s">
        <v>17</v>
      </c>
      <c r="H5" s="396" t="s">
        <v>18</v>
      </c>
      <c r="I5" s="396" t="s">
        <v>63</v>
      </c>
      <c r="J5" s="396" t="s">
        <v>367</v>
      </c>
      <c r="K5" s="396" t="s">
        <v>361</v>
      </c>
      <c r="L5" s="396" t="s">
        <v>362</v>
      </c>
      <c r="M5" s="396" t="s">
        <v>364</v>
      </c>
      <c r="N5" s="396" t="s">
        <v>368</v>
      </c>
      <c r="O5" s="396" t="s">
        <v>369</v>
      </c>
      <c r="P5" s="396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53" t="s">
        <v>97</v>
      </c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8" ht="12.75">
      <c r="A9" t="s">
        <v>23</v>
      </c>
      <c r="B9" s="264" t="s">
        <v>22</v>
      </c>
      <c r="C9" s="265" t="s">
        <v>315</v>
      </c>
      <c r="D9" s="266">
        <v>742</v>
      </c>
      <c r="E9" s="266">
        <f>+D9</f>
        <v>742</v>
      </c>
      <c r="F9" s="266">
        <f aca="true" t="shared" si="0" ref="F9:N9">+E9</f>
        <v>742</v>
      </c>
      <c r="G9" s="266">
        <f t="shared" si="0"/>
        <v>742</v>
      </c>
      <c r="H9" s="266">
        <f t="shared" si="0"/>
        <v>742</v>
      </c>
      <c r="I9" s="266">
        <f t="shared" si="0"/>
        <v>742</v>
      </c>
      <c r="J9" s="266">
        <f t="shared" si="0"/>
        <v>742</v>
      </c>
      <c r="K9" s="266">
        <f t="shared" si="0"/>
        <v>742</v>
      </c>
      <c r="L9" s="266">
        <f t="shared" si="0"/>
        <v>742</v>
      </c>
      <c r="M9" s="266">
        <f t="shared" si="0"/>
        <v>742</v>
      </c>
      <c r="N9" s="266">
        <f t="shared" si="0"/>
        <v>742</v>
      </c>
      <c r="O9" s="266">
        <f>+N9-1</f>
        <v>741</v>
      </c>
      <c r="P9" s="267">
        <f aca="true" t="shared" si="1" ref="P9:P15">SUM(D9:O9)</f>
        <v>8903</v>
      </c>
      <c r="Q9" s="85">
        <f>+3_mell!D13</f>
        <v>8903</v>
      </c>
      <c r="R9" s="85">
        <f>+Q9-P9</f>
        <v>0</v>
      </c>
    </row>
    <row r="10" spans="1:16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t="shared" si="1"/>
        <v>0</v>
      </c>
    </row>
    <row r="11" spans="1:16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</row>
    <row r="12" spans="1:16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0</v>
      </c>
    </row>
    <row r="13" spans="1:18" ht="12.75">
      <c r="A13" t="s">
        <v>27</v>
      </c>
      <c r="B13" s="264" t="s">
        <v>26</v>
      </c>
      <c r="C13" s="265" t="s">
        <v>319</v>
      </c>
      <c r="D13" s="266">
        <v>2708</v>
      </c>
      <c r="E13" s="266">
        <f>+D13+54</f>
        <v>2762</v>
      </c>
      <c r="F13" s="266">
        <f>+E13+2356+800-54</f>
        <v>5864</v>
      </c>
      <c r="G13" s="266">
        <f>2708+1000</f>
        <v>3708</v>
      </c>
      <c r="H13" s="266">
        <v>2708</v>
      </c>
      <c r="I13" s="266">
        <f aca="true" t="shared" si="2" ref="I13:N13">+H13</f>
        <v>2708</v>
      </c>
      <c r="J13" s="266">
        <f t="shared" si="2"/>
        <v>2708</v>
      </c>
      <c r="K13" s="266">
        <f t="shared" si="2"/>
        <v>2708</v>
      </c>
      <c r="L13" s="266">
        <f t="shared" si="2"/>
        <v>2708</v>
      </c>
      <c r="M13" s="266">
        <f t="shared" si="2"/>
        <v>2708</v>
      </c>
      <c r="N13" s="266">
        <f t="shared" si="2"/>
        <v>2708</v>
      </c>
      <c r="O13" s="266">
        <f>+N13+4</f>
        <v>2712</v>
      </c>
      <c r="P13" s="267">
        <f t="shared" si="1"/>
        <v>36710</v>
      </c>
      <c r="Q13" s="85">
        <f>+3_mell!F13+3_mell!G13</f>
        <v>36710</v>
      </c>
      <c r="R13" s="85">
        <f>+Q13-P13</f>
        <v>0</v>
      </c>
    </row>
    <row r="14" spans="1:18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  <c r="R14" s="85">
        <f>+Q14-P14</f>
        <v>0</v>
      </c>
    </row>
    <row r="15" spans="1:18" ht="22.5">
      <c r="A15" t="s">
        <v>29</v>
      </c>
      <c r="B15" s="264" t="s">
        <v>28</v>
      </c>
      <c r="C15" s="270" t="s">
        <v>321</v>
      </c>
      <c r="D15" s="266"/>
      <c r="E15" s="266">
        <v>616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616</v>
      </c>
      <c r="Q15">
        <f>+3_mell!E13</f>
        <v>616</v>
      </c>
      <c r="R15" s="85">
        <f>+Q15-P15</f>
        <v>0</v>
      </c>
    </row>
    <row r="16" spans="1:18" ht="13.5" thickBot="1">
      <c r="A16" t="s">
        <v>30</v>
      </c>
      <c r="B16" s="264" t="s">
        <v>29</v>
      </c>
      <c r="C16" s="265" t="s">
        <v>222</v>
      </c>
      <c r="D16" s="266">
        <f>+D30-D8-D9-D10-D11-D12-D13-D14-D15</f>
        <v>8996</v>
      </c>
      <c r="E16" s="266">
        <f aca="true" t="shared" si="3" ref="E16:O16">+E30-E8-E9-E10-E11-E12-E13-E14-E15</f>
        <v>9135</v>
      </c>
      <c r="F16" s="266">
        <f t="shared" si="3"/>
        <v>4716</v>
      </c>
      <c r="G16" s="266">
        <f t="shared" si="3"/>
        <v>7072</v>
      </c>
      <c r="H16" s="266">
        <f t="shared" si="3"/>
        <v>7722</v>
      </c>
      <c r="I16" s="266">
        <f t="shared" si="3"/>
        <v>7072</v>
      </c>
      <c r="J16" s="266">
        <f t="shared" si="3"/>
        <v>7072</v>
      </c>
      <c r="K16" s="266">
        <f t="shared" si="3"/>
        <v>9614</v>
      </c>
      <c r="L16" s="266">
        <f t="shared" si="3"/>
        <v>7614</v>
      </c>
      <c r="M16" s="266">
        <f t="shared" si="3"/>
        <v>7614</v>
      </c>
      <c r="N16" s="266">
        <f t="shared" si="3"/>
        <v>7614</v>
      </c>
      <c r="O16" s="266">
        <f t="shared" si="3"/>
        <v>7618</v>
      </c>
      <c r="P16" s="271">
        <f>SUM(D16:O16)</f>
        <v>91859</v>
      </c>
      <c r="Q16" s="85">
        <f>+3_mell!J13</f>
        <v>91859</v>
      </c>
      <c r="R16" s="85">
        <f>+Q16-P16</f>
        <v>0</v>
      </c>
    </row>
    <row r="17" spans="1:18" ht="13.5" thickBot="1">
      <c r="A17" t="s">
        <v>31</v>
      </c>
      <c r="B17" s="257" t="s">
        <v>30</v>
      </c>
      <c r="C17" s="272" t="s">
        <v>322</v>
      </c>
      <c r="D17" s="273">
        <f>SUM(D8:D16)</f>
        <v>12446</v>
      </c>
      <c r="E17" s="273">
        <f aca="true" t="shared" si="4" ref="E17:P17">SUM(E8:E16)</f>
        <v>13255</v>
      </c>
      <c r="F17" s="273">
        <f t="shared" si="4"/>
        <v>11322</v>
      </c>
      <c r="G17" s="273">
        <f t="shared" si="4"/>
        <v>11522</v>
      </c>
      <c r="H17" s="273">
        <f t="shared" si="4"/>
        <v>11172</v>
      </c>
      <c r="I17" s="273">
        <f t="shared" si="4"/>
        <v>10522</v>
      </c>
      <c r="J17" s="273">
        <f t="shared" si="4"/>
        <v>10522</v>
      </c>
      <c r="K17" s="273">
        <f t="shared" si="4"/>
        <v>13064</v>
      </c>
      <c r="L17" s="273">
        <f t="shared" si="4"/>
        <v>11064</v>
      </c>
      <c r="M17" s="273">
        <f t="shared" si="4"/>
        <v>11064</v>
      </c>
      <c r="N17" s="273">
        <f t="shared" si="4"/>
        <v>11064</v>
      </c>
      <c r="O17" s="273">
        <f t="shared" si="4"/>
        <v>11071</v>
      </c>
      <c r="P17" s="273">
        <f t="shared" si="4"/>
        <v>138088</v>
      </c>
      <c r="R17" s="85">
        <f>+Q17-P17</f>
        <v>-138088</v>
      </c>
    </row>
    <row r="18" spans="1:16" ht="13.5" thickBot="1">
      <c r="A18" t="s">
        <v>32</v>
      </c>
      <c r="B18" s="257" t="s">
        <v>31</v>
      </c>
      <c r="C18" s="753" t="s">
        <v>125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6"/>
    </row>
    <row r="19" spans="1:19" ht="12.75">
      <c r="A19" t="s">
        <v>33</v>
      </c>
      <c r="B19" s="275" t="s">
        <v>32</v>
      </c>
      <c r="C19" s="276" t="s">
        <v>215</v>
      </c>
      <c r="D19" s="269">
        <f>5542+334</f>
        <v>5876</v>
      </c>
      <c r="E19" s="269">
        <f>+D19+1</f>
        <v>5877</v>
      </c>
      <c r="F19" s="269">
        <v>5542</v>
      </c>
      <c r="G19" s="269">
        <f aca="true" t="shared" si="5" ref="G19:N19">+F19</f>
        <v>5542</v>
      </c>
      <c r="H19" s="269">
        <f t="shared" si="5"/>
        <v>5542</v>
      </c>
      <c r="I19" s="269">
        <f t="shared" si="5"/>
        <v>5542</v>
      </c>
      <c r="J19" s="269">
        <f t="shared" si="5"/>
        <v>5542</v>
      </c>
      <c r="K19" s="269">
        <f>+J19+427</f>
        <v>5969</v>
      </c>
      <c r="L19" s="269">
        <f t="shared" si="5"/>
        <v>5969</v>
      </c>
      <c r="M19" s="269">
        <f t="shared" si="5"/>
        <v>5969</v>
      </c>
      <c r="N19" s="269">
        <f t="shared" si="5"/>
        <v>5969</v>
      </c>
      <c r="O19" s="269">
        <f>+N19</f>
        <v>5969</v>
      </c>
      <c r="P19" s="277">
        <f>SUM(D19:O19)</f>
        <v>69308</v>
      </c>
      <c r="Q19" s="85">
        <f>+4_mell!D12</f>
        <v>69308</v>
      </c>
      <c r="R19" s="85">
        <f>+Q19-P19</f>
        <v>0</v>
      </c>
      <c r="S19">
        <f>+R19/5</f>
        <v>0</v>
      </c>
    </row>
    <row r="20" spans="1:19" ht="24.75" customHeight="1">
      <c r="A20" t="s">
        <v>34</v>
      </c>
      <c r="B20" s="264" t="s">
        <v>33</v>
      </c>
      <c r="C20" s="270" t="s">
        <v>323</v>
      </c>
      <c r="D20" s="266">
        <f>1482+90</f>
        <v>1572</v>
      </c>
      <c r="E20" s="266">
        <f>+D20</f>
        <v>1572</v>
      </c>
      <c r="F20" s="266">
        <v>1482</v>
      </c>
      <c r="G20" s="266">
        <f aca="true" t="shared" si="6" ref="G20:N20">+F20</f>
        <v>1482</v>
      </c>
      <c r="H20" s="266">
        <f t="shared" si="6"/>
        <v>1482</v>
      </c>
      <c r="I20" s="266">
        <f t="shared" si="6"/>
        <v>1482</v>
      </c>
      <c r="J20" s="266">
        <f t="shared" si="6"/>
        <v>1482</v>
      </c>
      <c r="K20" s="266">
        <f>+J20+115</f>
        <v>1597</v>
      </c>
      <c r="L20" s="266">
        <f t="shared" si="6"/>
        <v>1597</v>
      </c>
      <c r="M20" s="266">
        <f t="shared" si="6"/>
        <v>1597</v>
      </c>
      <c r="N20" s="266">
        <f t="shared" si="6"/>
        <v>1597</v>
      </c>
      <c r="O20" s="266">
        <f>+N20+10+1</f>
        <v>1608</v>
      </c>
      <c r="P20" s="277">
        <f aca="true" t="shared" si="7" ref="P20:P28">SUM(D20:O20)</f>
        <v>18550</v>
      </c>
      <c r="Q20" s="85">
        <f>+4_mell!E12</f>
        <v>18550</v>
      </c>
      <c r="R20" s="85">
        <f>+Q20-P20</f>
        <v>0</v>
      </c>
      <c r="S20">
        <f>+R20/5</f>
        <v>0</v>
      </c>
    </row>
    <row r="21" spans="1:18" ht="12.75">
      <c r="A21" t="s">
        <v>35</v>
      </c>
      <c r="B21" s="264" t="s">
        <v>34</v>
      </c>
      <c r="C21" s="265" t="s">
        <v>251</v>
      </c>
      <c r="D21" s="266">
        <f>3498+1500</f>
        <v>4998</v>
      </c>
      <c r="E21" s="266">
        <f>5752+54</f>
        <v>5806</v>
      </c>
      <c r="F21" s="266">
        <f>3498+800</f>
        <v>4298</v>
      </c>
      <c r="G21" s="266">
        <f>3498+1000</f>
        <v>4498</v>
      </c>
      <c r="H21" s="266">
        <v>3498</v>
      </c>
      <c r="I21" s="266">
        <f aca="true" t="shared" si="8" ref="I21:N21">+H21</f>
        <v>3498</v>
      </c>
      <c r="J21" s="266">
        <f t="shared" si="8"/>
        <v>3498</v>
      </c>
      <c r="K21" s="266">
        <f t="shared" si="8"/>
        <v>3498</v>
      </c>
      <c r="L21" s="266">
        <f t="shared" si="8"/>
        <v>3498</v>
      </c>
      <c r="M21" s="266">
        <f t="shared" si="8"/>
        <v>3498</v>
      </c>
      <c r="N21" s="266">
        <f t="shared" si="8"/>
        <v>3498</v>
      </c>
      <c r="O21" s="266">
        <f>+N21-4</f>
        <v>3494</v>
      </c>
      <c r="P21" s="277">
        <f t="shared" si="7"/>
        <v>47580</v>
      </c>
      <c r="Q21" s="85">
        <f>+4_mell!F12</f>
        <v>47580</v>
      </c>
      <c r="R21" s="85">
        <f>+Q21-P21</f>
        <v>0</v>
      </c>
    </row>
    <row r="22" spans="1:16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7"/>
        <v>0</v>
      </c>
    </row>
    <row r="23" spans="1:16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7"/>
        <v>0</v>
      </c>
    </row>
    <row r="24" spans="1:16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7"/>
        <v>0</v>
      </c>
    </row>
    <row r="25" spans="1:16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7"/>
        <v>0</v>
      </c>
    </row>
    <row r="26" spans="1:16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7"/>
        <v>0</v>
      </c>
    </row>
    <row r="27" spans="1:16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7"/>
        <v>0</v>
      </c>
    </row>
    <row r="28" spans="1:16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/>
      <c r="H28" s="266">
        <v>650</v>
      </c>
      <c r="I28" s="266"/>
      <c r="J28" s="266"/>
      <c r="K28" s="266">
        <v>2000</v>
      </c>
      <c r="L28" s="266"/>
      <c r="M28" s="266"/>
      <c r="N28" s="266"/>
      <c r="O28" s="266"/>
      <c r="P28" s="277">
        <f t="shared" si="7"/>
        <v>2650</v>
      </c>
    </row>
    <row r="29" spans="1:16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</row>
    <row r="30" spans="1:16" ht="13.5" thickBot="1">
      <c r="A30" t="s">
        <v>47</v>
      </c>
      <c r="B30" s="278" t="s">
        <v>46</v>
      </c>
      <c r="C30" s="272" t="s">
        <v>332</v>
      </c>
      <c r="D30" s="273">
        <f>SUM(D19:D29)</f>
        <v>12446</v>
      </c>
      <c r="E30" s="273">
        <f aca="true" t="shared" si="9" ref="E30:O30">SUM(E19:E29)</f>
        <v>13255</v>
      </c>
      <c r="F30" s="273">
        <f t="shared" si="9"/>
        <v>11322</v>
      </c>
      <c r="G30" s="273">
        <f t="shared" si="9"/>
        <v>11522</v>
      </c>
      <c r="H30" s="273">
        <f t="shared" si="9"/>
        <v>11172</v>
      </c>
      <c r="I30" s="273">
        <f t="shared" si="9"/>
        <v>10522</v>
      </c>
      <c r="J30" s="273">
        <f t="shared" si="9"/>
        <v>10522</v>
      </c>
      <c r="K30" s="273">
        <f t="shared" si="9"/>
        <v>13064</v>
      </c>
      <c r="L30" s="273">
        <f t="shared" si="9"/>
        <v>11064</v>
      </c>
      <c r="M30" s="273">
        <f t="shared" si="9"/>
        <v>11064</v>
      </c>
      <c r="N30" s="273">
        <f t="shared" si="9"/>
        <v>11064</v>
      </c>
      <c r="O30" s="273">
        <f t="shared" si="9"/>
        <v>11071</v>
      </c>
      <c r="P30" s="279">
        <f>SUM(P19:P29)</f>
        <v>138088</v>
      </c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10" ref="E31:P31">+E30-E17</f>
        <v>0</v>
      </c>
      <c r="F31" s="281">
        <f t="shared" si="10"/>
        <v>0</v>
      </c>
      <c r="G31" s="281">
        <f t="shared" si="10"/>
        <v>0</v>
      </c>
      <c r="H31" s="281">
        <f t="shared" si="10"/>
        <v>0</v>
      </c>
      <c r="I31" s="281">
        <f t="shared" si="10"/>
        <v>0</v>
      </c>
      <c r="J31" s="281">
        <f t="shared" si="10"/>
        <v>0</v>
      </c>
      <c r="K31" s="281">
        <f t="shared" si="10"/>
        <v>0</v>
      </c>
      <c r="L31" s="281">
        <f t="shared" si="10"/>
        <v>0</v>
      </c>
      <c r="M31" s="281">
        <f t="shared" si="10"/>
        <v>0</v>
      </c>
      <c r="N31" s="281">
        <f t="shared" si="10"/>
        <v>0</v>
      </c>
      <c r="O31" s="281">
        <f t="shared" si="10"/>
        <v>0</v>
      </c>
      <c r="P31" s="281">
        <f t="shared" si="10"/>
        <v>0</v>
      </c>
    </row>
    <row r="32" spans="2:16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1"/>
    </row>
    <row r="33" spans="2:16" ht="15.75">
      <c r="B33" s="251"/>
      <c r="C33" s="283"/>
      <c r="D33" s="285"/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383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10/2014.(VI.27.) Önkormányzati költségvetési rendelethez&amp;R&amp;D</oddHeader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D1">
      <selection activeCell="U31" sqref="U31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57"/>
      <c r="P1" s="757"/>
    </row>
    <row r="2" spans="2:16" ht="15.75">
      <c r="B2" s="758" t="s">
        <v>298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2:16" ht="15.75">
      <c r="B3" s="758" t="s">
        <v>424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2:16" ht="15.75">
      <c r="B5" s="760" t="s">
        <v>338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</row>
    <row r="6" spans="2:16" ht="15.75">
      <c r="B6" s="384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253" t="s">
        <v>299</v>
      </c>
    </row>
    <row r="7" spans="1:16" s="161" customFormat="1" ht="16.5" thickBot="1">
      <c r="A7" s="161" t="s">
        <v>11</v>
      </c>
      <c r="B7" s="397" t="s">
        <v>360</v>
      </c>
      <c r="C7" s="398" t="s">
        <v>13</v>
      </c>
      <c r="D7" s="398" t="s">
        <v>14</v>
      </c>
      <c r="E7" s="398" t="s">
        <v>15</v>
      </c>
      <c r="F7" s="398" t="s">
        <v>16</v>
      </c>
      <c r="G7" s="398" t="s">
        <v>17</v>
      </c>
      <c r="H7" s="398" t="s">
        <v>18</v>
      </c>
      <c r="I7" s="398" t="s">
        <v>63</v>
      </c>
      <c r="J7" s="398" t="s">
        <v>367</v>
      </c>
      <c r="K7" s="398" t="s">
        <v>361</v>
      </c>
      <c r="L7" s="398" t="s">
        <v>362</v>
      </c>
      <c r="M7" s="398" t="s">
        <v>364</v>
      </c>
      <c r="N7" s="398" t="s">
        <v>368</v>
      </c>
      <c r="O7" s="398" t="s">
        <v>369</v>
      </c>
      <c r="P7" s="398" t="s">
        <v>370</v>
      </c>
    </row>
    <row r="8" spans="1:16" ht="24.75" thickBot="1">
      <c r="A8" t="s">
        <v>20</v>
      </c>
      <c r="B8" s="254" t="s">
        <v>300</v>
      </c>
      <c r="C8" s="255" t="s">
        <v>67</v>
      </c>
      <c r="D8" s="255" t="s">
        <v>301</v>
      </c>
      <c r="E8" s="255" t="s">
        <v>302</v>
      </c>
      <c r="F8" s="255" t="s">
        <v>303</v>
      </c>
      <c r="G8" s="255" t="s">
        <v>304</v>
      </c>
      <c r="H8" s="255" t="s">
        <v>305</v>
      </c>
      <c r="I8" s="255" t="s">
        <v>306</v>
      </c>
      <c r="J8" s="255" t="s">
        <v>307</v>
      </c>
      <c r="K8" s="255" t="s">
        <v>308</v>
      </c>
      <c r="L8" s="255" t="s">
        <v>309</v>
      </c>
      <c r="M8" s="255" t="s">
        <v>310</v>
      </c>
      <c r="N8" s="255" t="s">
        <v>311</v>
      </c>
      <c r="O8" s="255" t="s">
        <v>312</v>
      </c>
      <c r="P8" s="256" t="s">
        <v>313</v>
      </c>
    </row>
    <row r="9" spans="1:16" ht="13.5" thickBot="1">
      <c r="A9" t="s">
        <v>21</v>
      </c>
      <c r="B9" s="257" t="s">
        <v>20</v>
      </c>
      <c r="C9" s="753" t="s">
        <v>97</v>
      </c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5"/>
    </row>
    <row r="10" spans="1:16" ht="12.75">
      <c r="A10" t="s">
        <v>22</v>
      </c>
      <c r="B10" s="260" t="s">
        <v>21</v>
      </c>
      <c r="C10" s="261" t="s">
        <v>314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3">
        <f>SUM(D10:O10)</f>
        <v>0</v>
      </c>
    </row>
    <row r="11" spans="1:18" ht="12.75">
      <c r="A11" t="s">
        <v>23</v>
      </c>
      <c r="B11" s="264" t="s">
        <v>22</v>
      </c>
      <c r="C11" s="265" t="s">
        <v>315</v>
      </c>
      <c r="D11" s="266">
        <v>175</v>
      </c>
      <c r="E11" s="266">
        <f>+D11</f>
        <v>175</v>
      </c>
      <c r="F11" s="266">
        <f aca="true" t="shared" si="0" ref="F11:O11">+E11</f>
        <v>175</v>
      </c>
      <c r="G11" s="266">
        <f t="shared" si="0"/>
        <v>175</v>
      </c>
      <c r="H11" s="266">
        <f t="shared" si="0"/>
        <v>175</v>
      </c>
      <c r="I11" s="266">
        <f t="shared" si="0"/>
        <v>175</v>
      </c>
      <c r="J11" s="266">
        <f t="shared" si="0"/>
        <v>175</v>
      </c>
      <c r="K11" s="266">
        <f t="shared" si="0"/>
        <v>175</v>
      </c>
      <c r="L11" s="266">
        <f t="shared" si="0"/>
        <v>175</v>
      </c>
      <c r="M11" s="266">
        <f t="shared" si="0"/>
        <v>175</v>
      </c>
      <c r="N11" s="266">
        <f t="shared" si="0"/>
        <v>175</v>
      </c>
      <c r="O11" s="266">
        <f t="shared" si="0"/>
        <v>175</v>
      </c>
      <c r="P11" s="267">
        <f aca="true" t="shared" si="1" ref="P11:P17">SUM(D11:O11)</f>
        <v>2100</v>
      </c>
      <c r="Q11" s="705">
        <f>+3_mell!D28</f>
        <v>2100</v>
      </c>
      <c r="R11" s="85">
        <f>+Q11-P11</f>
        <v>0</v>
      </c>
    </row>
    <row r="12" spans="1:18" ht="12.75">
      <c r="A12" t="s">
        <v>24</v>
      </c>
      <c r="B12" s="264" t="s">
        <v>23</v>
      </c>
      <c r="C12" s="268" t="s">
        <v>316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7">
        <f t="shared" si="1"/>
        <v>0</v>
      </c>
      <c r="R12" s="85">
        <f aca="true" t="shared" si="2" ref="R12:R33">+Q12-P12</f>
        <v>0</v>
      </c>
    </row>
    <row r="13" spans="1:18" ht="12.75">
      <c r="A13" t="s">
        <v>25</v>
      </c>
      <c r="B13" s="264" t="s">
        <v>24</v>
      </c>
      <c r="C13" s="265" t="s">
        <v>317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>
        <f>SUM(D13:O13)</f>
        <v>0</v>
      </c>
      <c r="R13" s="85">
        <f t="shared" si="2"/>
        <v>0</v>
      </c>
    </row>
    <row r="14" spans="1:18" ht="12.75">
      <c r="A14" t="s">
        <v>26</v>
      </c>
      <c r="B14" s="264" t="s">
        <v>25</v>
      </c>
      <c r="C14" s="265" t="s">
        <v>318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  <c r="R14" s="85">
        <f t="shared" si="2"/>
        <v>0</v>
      </c>
    </row>
    <row r="15" spans="1:18" ht="12.75">
      <c r="A15" t="s">
        <v>27</v>
      </c>
      <c r="B15" s="264" t="s">
        <v>26</v>
      </c>
      <c r="C15" s="265" t="s">
        <v>319</v>
      </c>
      <c r="D15" s="266"/>
      <c r="E15" s="266">
        <f>5343+936</f>
        <v>6279</v>
      </c>
      <c r="F15" s="266">
        <f>973+184</f>
        <v>1157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7436</v>
      </c>
      <c r="Q15" s="85">
        <f>+3_mell!F28+3_mell!G28</f>
        <v>7436</v>
      </c>
      <c r="R15" s="85">
        <f t="shared" si="2"/>
        <v>0</v>
      </c>
    </row>
    <row r="16" spans="1:18" ht="12.75">
      <c r="A16" t="s">
        <v>28</v>
      </c>
      <c r="B16" s="264" t="s">
        <v>27</v>
      </c>
      <c r="C16" s="265" t="s">
        <v>320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>
        <f t="shared" si="1"/>
        <v>0</v>
      </c>
      <c r="R16" s="85">
        <f t="shared" si="2"/>
        <v>0</v>
      </c>
    </row>
    <row r="17" spans="1:18" ht="12.75">
      <c r="A17" t="s">
        <v>29</v>
      </c>
      <c r="B17" s="264" t="s">
        <v>28</v>
      </c>
      <c r="C17" s="270" t="s">
        <v>321</v>
      </c>
      <c r="D17" s="266"/>
      <c r="E17" s="266">
        <v>261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7">
        <f t="shared" si="1"/>
        <v>261</v>
      </c>
      <c r="Q17">
        <f>+3_mell!E28</f>
        <v>261</v>
      </c>
      <c r="R17" s="85">
        <f t="shared" si="2"/>
        <v>0</v>
      </c>
    </row>
    <row r="18" spans="1:18" ht="13.5" thickBot="1">
      <c r="A18" t="s">
        <v>30</v>
      </c>
      <c r="B18" s="264" t="s">
        <v>29</v>
      </c>
      <c r="C18" s="265" t="s">
        <v>222</v>
      </c>
      <c r="D18" s="266">
        <f>+D32-D10-D11-D12-D13-D14-D15-D16-D17</f>
        <v>25475</v>
      </c>
      <c r="E18" s="266">
        <f aca="true" t="shared" si="3" ref="E18:O18">+E32-E10-E11-E12-E13-E14-E15-E16-E17</f>
        <v>20539</v>
      </c>
      <c r="F18" s="266">
        <f>+F32-F10-F11-F12-F13-F14-F15-F16-F17</f>
        <v>22800</v>
      </c>
      <c r="G18" s="266">
        <f t="shared" si="3"/>
        <v>23227</v>
      </c>
      <c r="H18" s="266">
        <f t="shared" si="3"/>
        <v>22900</v>
      </c>
      <c r="I18" s="266">
        <f t="shared" si="3"/>
        <v>22900</v>
      </c>
      <c r="J18" s="266">
        <f t="shared" si="3"/>
        <v>24263</v>
      </c>
      <c r="K18" s="266">
        <f t="shared" si="3"/>
        <v>24843</v>
      </c>
      <c r="L18" s="266">
        <f t="shared" si="3"/>
        <v>23343</v>
      </c>
      <c r="M18" s="266">
        <f t="shared" si="3"/>
        <v>23826</v>
      </c>
      <c r="N18" s="266">
        <f t="shared" si="3"/>
        <v>23480</v>
      </c>
      <c r="O18" s="266">
        <f t="shared" si="3"/>
        <v>23304</v>
      </c>
      <c r="P18" s="271">
        <f>SUM(D18:O18)</f>
        <v>280900</v>
      </c>
      <c r="Q18" s="85">
        <f>+3_mell!J28</f>
        <v>280900</v>
      </c>
      <c r="R18" s="85">
        <f t="shared" si="2"/>
        <v>0</v>
      </c>
    </row>
    <row r="19" spans="1:18" ht="13.5" thickBot="1">
      <c r="A19" t="s">
        <v>31</v>
      </c>
      <c r="B19" s="257" t="s">
        <v>30</v>
      </c>
      <c r="C19" s="272" t="s">
        <v>322</v>
      </c>
      <c r="D19" s="273">
        <f>SUM(D10:D18)</f>
        <v>25650</v>
      </c>
      <c r="E19" s="273">
        <f aca="true" t="shared" si="4" ref="E19:O19">SUM(E10:E18)</f>
        <v>27254</v>
      </c>
      <c r="F19" s="273">
        <f t="shared" si="4"/>
        <v>24132</v>
      </c>
      <c r="G19" s="273">
        <f t="shared" si="4"/>
        <v>23402</v>
      </c>
      <c r="H19" s="273">
        <f t="shared" si="4"/>
        <v>23075</v>
      </c>
      <c r="I19" s="273">
        <f t="shared" si="4"/>
        <v>23075</v>
      </c>
      <c r="J19" s="273">
        <f t="shared" si="4"/>
        <v>24438</v>
      </c>
      <c r="K19" s="273">
        <f t="shared" si="4"/>
        <v>25018</v>
      </c>
      <c r="L19" s="273">
        <f t="shared" si="4"/>
        <v>23518</v>
      </c>
      <c r="M19" s="273">
        <f t="shared" si="4"/>
        <v>24001</v>
      </c>
      <c r="N19" s="273">
        <f t="shared" si="4"/>
        <v>23655</v>
      </c>
      <c r="O19" s="273">
        <f t="shared" si="4"/>
        <v>23479</v>
      </c>
      <c r="P19" s="273">
        <f>SUM(P10:P18)</f>
        <v>290697</v>
      </c>
      <c r="Q19" s="706">
        <f>+3_mell!L28</f>
        <v>290697</v>
      </c>
      <c r="R19" s="85">
        <f t="shared" si="2"/>
        <v>0</v>
      </c>
    </row>
    <row r="20" spans="1:18" ht="13.5" thickBot="1">
      <c r="A20" t="s">
        <v>32</v>
      </c>
      <c r="B20" s="257" t="s">
        <v>31</v>
      </c>
      <c r="C20" s="753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6"/>
      <c r="R20" s="85">
        <f t="shared" si="2"/>
        <v>0</v>
      </c>
    </row>
    <row r="21" spans="1:20" ht="12.75">
      <c r="A21" t="s">
        <v>33</v>
      </c>
      <c r="B21" s="275" t="s">
        <v>32</v>
      </c>
      <c r="C21" s="276" t="s">
        <v>215</v>
      </c>
      <c r="D21" s="269">
        <f>8423+75</f>
        <v>8498</v>
      </c>
      <c r="E21" s="269">
        <f>+D21+350+130+420+1</f>
        <v>9399</v>
      </c>
      <c r="F21" s="269">
        <f>7879+1051+130+420</f>
        <v>9480</v>
      </c>
      <c r="G21" s="269">
        <f>7136+130+420+600</f>
        <v>8286</v>
      </c>
      <c r="H21" s="269">
        <v>8423</v>
      </c>
      <c r="I21" s="269">
        <f>+H21</f>
        <v>8423</v>
      </c>
      <c r="J21" s="269">
        <f>+G21+1500</f>
        <v>9786</v>
      </c>
      <c r="K21" s="269">
        <f>+J21+453</f>
        <v>10239</v>
      </c>
      <c r="L21" s="269">
        <f>+G21+453</f>
        <v>8739</v>
      </c>
      <c r="M21" s="269">
        <f>+G21+4971-5279+453</f>
        <v>8431</v>
      </c>
      <c r="N21" s="269">
        <f>+H21+453</f>
        <v>8876</v>
      </c>
      <c r="O21" s="269">
        <f>+N21+3</f>
        <v>8879</v>
      </c>
      <c r="P21" s="277">
        <f>SUM(D21:O21)</f>
        <v>107459</v>
      </c>
      <c r="Q21" s="85">
        <f>+4_mell!D31</f>
        <v>107459</v>
      </c>
      <c r="R21" s="85">
        <f t="shared" si="2"/>
        <v>0</v>
      </c>
      <c r="S21">
        <f>+R21/5</f>
        <v>0</v>
      </c>
      <c r="T21" s="85">
        <f>+Q21-P21</f>
        <v>0</v>
      </c>
    </row>
    <row r="22" spans="1:20" ht="12.75">
      <c r="A22" t="s">
        <v>34</v>
      </c>
      <c r="B22" s="264" t="s">
        <v>33</v>
      </c>
      <c r="C22" s="270" t="s">
        <v>323</v>
      </c>
      <c r="D22" s="266">
        <f>2251+21</f>
        <v>2272</v>
      </c>
      <c r="E22" s="266">
        <f>+D22+100-1</f>
        <v>2371</v>
      </c>
      <c r="F22" s="266">
        <f>2140+32+100</f>
        <v>2272</v>
      </c>
      <c r="G22" s="266">
        <f>+F22+186</f>
        <v>2458</v>
      </c>
      <c r="H22" s="266">
        <v>2272</v>
      </c>
      <c r="I22" s="266">
        <f>+H22</f>
        <v>2272</v>
      </c>
      <c r="J22" s="266">
        <f>+I22</f>
        <v>2272</v>
      </c>
      <c r="K22" s="266">
        <f>+J22+127</f>
        <v>2399</v>
      </c>
      <c r="L22" s="266">
        <f>+K22</f>
        <v>2399</v>
      </c>
      <c r="M22" s="266">
        <f>+L22+791</f>
        <v>3190</v>
      </c>
      <c r="N22" s="266">
        <f>+K22</f>
        <v>2399</v>
      </c>
      <c r="O22" s="266">
        <f>+N22+2-192+2</f>
        <v>2211</v>
      </c>
      <c r="P22" s="277">
        <f aca="true" t="shared" si="5" ref="P22:P30">SUM(D22:O22)</f>
        <v>28787</v>
      </c>
      <c r="Q22" s="85">
        <f>+4_mell!E31</f>
        <v>28787</v>
      </c>
      <c r="R22" s="85">
        <f t="shared" si="2"/>
        <v>0</v>
      </c>
      <c r="S22">
        <f>+R22/5</f>
        <v>0</v>
      </c>
      <c r="T22" s="85">
        <f>+Q22-P22</f>
        <v>0</v>
      </c>
    </row>
    <row r="23" spans="1:18" ht="12.75">
      <c r="A23" t="s">
        <v>35</v>
      </c>
      <c r="B23" s="264" t="s">
        <v>34</v>
      </c>
      <c r="C23" s="265" t="s">
        <v>251</v>
      </c>
      <c r="D23" s="266">
        <f>2945+2500</f>
        <v>5445</v>
      </c>
      <c r="E23" s="266">
        <f>+D23+604</f>
        <v>6049</v>
      </c>
      <c r="F23" s="266">
        <v>2945</v>
      </c>
      <c r="G23" s="266">
        <f>+F23+187+91</f>
        <v>3223</v>
      </c>
      <c r="H23" s="266">
        <v>2945</v>
      </c>
      <c r="I23" s="266">
        <f aca="true" t="shared" si="6" ref="I23:N23">+H23</f>
        <v>2945</v>
      </c>
      <c r="J23" s="266">
        <f t="shared" si="6"/>
        <v>2945</v>
      </c>
      <c r="K23" s="266">
        <f t="shared" si="6"/>
        <v>2945</v>
      </c>
      <c r="L23" s="266">
        <f t="shared" si="6"/>
        <v>2945</v>
      </c>
      <c r="M23" s="266">
        <f t="shared" si="6"/>
        <v>2945</v>
      </c>
      <c r="N23" s="266">
        <f t="shared" si="6"/>
        <v>2945</v>
      </c>
      <c r="O23" s="266">
        <f>+N23+4</f>
        <v>2949</v>
      </c>
      <c r="P23" s="277">
        <f t="shared" si="5"/>
        <v>41226</v>
      </c>
      <c r="Q23" s="85">
        <f>+4_mell!F31</f>
        <v>41226</v>
      </c>
      <c r="R23" s="85">
        <f t="shared" si="2"/>
        <v>0</v>
      </c>
    </row>
    <row r="24" spans="1:18" ht="12.75">
      <c r="A24" t="s">
        <v>36</v>
      </c>
      <c r="B24" s="264" t="s">
        <v>35</v>
      </c>
      <c r="C24" s="265" t="s">
        <v>324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5"/>
        <v>0</v>
      </c>
      <c r="R24" s="85">
        <f t="shared" si="2"/>
        <v>0</v>
      </c>
    </row>
    <row r="25" spans="1:18" ht="12.75">
      <c r="A25" t="s">
        <v>37</v>
      </c>
      <c r="B25" s="264" t="s">
        <v>36</v>
      </c>
      <c r="C25" s="265" t="s">
        <v>325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5"/>
        <v>0</v>
      </c>
      <c r="R25" s="85">
        <f t="shared" si="2"/>
        <v>0</v>
      </c>
    </row>
    <row r="26" spans="1:18" ht="12.75">
      <c r="A26" t="s">
        <v>40</v>
      </c>
      <c r="B26" s="264" t="s">
        <v>37</v>
      </c>
      <c r="C26" s="265" t="s">
        <v>326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5"/>
        <v>0</v>
      </c>
      <c r="R26" s="85">
        <f t="shared" si="2"/>
        <v>0</v>
      </c>
    </row>
    <row r="27" spans="1:18" ht="12.75">
      <c r="A27" t="s">
        <v>42</v>
      </c>
      <c r="B27" s="264" t="s">
        <v>40</v>
      </c>
      <c r="C27" s="270" t="s">
        <v>327</v>
      </c>
      <c r="D27" s="266">
        <v>9435</v>
      </c>
      <c r="E27" s="266">
        <f>+D27</f>
        <v>9435</v>
      </c>
      <c r="F27" s="266">
        <f aca="true" t="shared" si="7" ref="F27:N27">+E27</f>
        <v>9435</v>
      </c>
      <c r="G27" s="266">
        <f t="shared" si="7"/>
        <v>9435</v>
      </c>
      <c r="H27" s="266">
        <f t="shared" si="7"/>
        <v>9435</v>
      </c>
      <c r="I27" s="266">
        <f t="shared" si="7"/>
        <v>9435</v>
      </c>
      <c r="J27" s="266">
        <f t="shared" si="7"/>
        <v>9435</v>
      </c>
      <c r="K27" s="266">
        <f t="shared" si="7"/>
        <v>9435</v>
      </c>
      <c r="L27" s="266">
        <f t="shared" si="7"/>
        <v>9435</v>
      </c>
      <c r="M27" s="266">
        <f t="shared" si="7"/>
        <v>9435</v>
      </c>
      <c r="N27" s="266">
        <f t="shared" si="7"/>
        <v>9435</v>
      </c>
      <c r="O27" s="266">
        <f>+N27-4+9</f>
        <v>9440</v>
      </c>
      <c r="P27" s="277">
        <f>SUM(D27:O27)</f>
        <v>113225</v>
      </c>
      <c r="Q27" s="85">
        <f>+4_mell!I31</f>
        <v>113225</v>
      </c>
      <c r="R27" s="85">
        <f t="shared" si="2"/>
        <v>0</v>
      </c>
    </row>
    <row r="28" spans="1:18" ht="12.75">
      <c r="A28" t="s">
        <v>43</v>
      </c>
      <c r="B28" s="264" t="s">
        <v>42</v>
      </c>
      <c r="C28" s="265" t="s">
        <v>328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77">
        <f t="shared" si="5"/>
        <v>0</v>
      </c>
      <c r="R28" s="85">
        <f t="shared" si="2"/>
        <v>0</v>
      </c>
    </row>
    <row r="29" spans="1:18" ht="12.75">
      <c r="A29" t="s">
        <v>44</v>
      </c>
      <c r="B29" s="264" t="s">
        <v>43</v>
      </c>
      <c r="C29" s="265" t="s">
        <v>329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 t="shared" si="5"/>
        <v>0</v>
      </c>
      <c r="R29" s="85">
        <f t="shared" si="2"/>
        <v>0</v>
      </c>
    </row>
    <row r="30" spans="1:18" ht="12.75">
      <c r="A30" t="s">
        <v>45</v>
      </c>
      <c r="B30" s="264" t="s">
        <v>44</v>
      </c>
      <c r="C30" s="265" t="s">
        <v>330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77">
        <f t="shared" si="5"/>
        <v>0</v>
      </c>
      <c r="R30" s="85">
        <f t="shared" si="2"/>
        <v>0</v>
      </c>
    </row>
    <row r="31" spans="1:18" ht="13.5" thickBot="1">
      <c r="A31" t="s">
        <v>46</v>
      </c>
      <c r="B31" s="264" t="s">
        <v>45</v>
      </c>
      <c r="C31" s="265" t="s">
        <v>331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77">
        <f>SUM(D31:O31)</f>
        <v>0</v>
      </c>
      <c r="R31" s="85">
        <f t="shared" si="2"/>
        <v>0</v>
      </c>
    </row>
    <row r="32" spans="1:18" ht="13.5" thickBot="1">
      <c r="A32" t="s">
        <v>47</v>
      </c>
      <c r="B32" s="278" t="s">
        <v>46</v>
      </c>
      <c r="C32" s="272" t="s">
        <v>332</v>
      </c>
      <c r="D32" s="273">
        <f>SUM(D21:D31)</f>
        <v>25650</v>
      </c>
      <c r="E32" s="273">
        <f aca="true" t="shared" si="8" ref="E32:O32">SUM(E21:E31)</f>
        <v>27254</v>
      </c>
      <c r="F32" s="273">
        <f t="shared" si="8"/>
        <v>24132</v>
      </c>
      <c r="G32" s="273">
        <f t="shared" si="8"/>
        <v>23402</v>
      </c>
      <c r="H32" s="273">
        <f t="shared" si="8"/>
        <v>23075</v>
      </c>
      <c r="I32" s="273">
        <f t="shared" si="8"/>
        <v>23075</v>
      </c>
      <c r="J32" s="273">
        <f t="shared" si="8"/>
        <v>24438</v>
      </c>
      <c r="K32" s="273">
        <f t="shared" si="8"/>
        <v>25018</v>
      </c>
      <c r="L32" s="273">
        <f t="shared" si="8"/>
        <v>23518</v>
      </c>
      <c r="M32" s="273">
        <f t="shared" si="8"/>
        <v>24001</v>
      </c>
      <c r="N32" s="273">
        <f t="shared" si="8"/>
        <v>23655</v>
      </c>
      <c r="O32" s="273">
        <f t="shared" si="8"/>
        <v>23479</v>
      </c>
      <c r="P32" s="273">
        <f>SUM(P21:P31)</f>
        <v>290697</v>
      </c>
      <c r="Q32" s="706">
        <f>+4_mell!M31</f>
        <v>290697</v>
      </c>
      <c r="R32" s="85">
        <f t="shared" si="2"/>
        <v>0</v>
      </c>
    </row>
    <row r="33" spans="1:18" ht="13.5" thickBot="1">
      <c r="A33" t="s">
        <v>48</v>
      </c>
      <c r="B33" s="278" t="s">
        <v>47</v>
      </c>
      <c r="C33" s="280" t="s">
        <v>333</v>
      </c>
      <c r="D33" s="281">
        <f>+D19-D32</f>
        <v>0</v>
      </c>
      <c r="E33" s="281">
        <f aca="true" t="shared" si="9" ref="E33:P33">+E19-E32</f>
        <v>0</v>
      </c>
      <c r="F33" s="281">
        <f t="shared" si="9"/>
        <v>0</v>
      </c>
      <c r="G33" s="281">
        <f t="shared" si="9"/>
        <v>0</v>
      </c>
      <c r="H33" s="281">
        <f t="shared" si="9"/>
        <v>0</v>
      </c>
      <c r="I33" s="281">
        <f t="shared" si="9"/>
        <v>0</v>
      </c>
      <c r="J33" s="281">
        <f t="shared" si="9"/>
        <v>0</v>
      </c>
      <c r="K33" s="281">
        <f t="shared" si="9"/>
        <v>0</v>
      </c>
      <c r="L33" s="281">
        <f t="shared" si="9"/>
        <v>0</v>
      </c>
      <c r="M33" s="281">
        <f t="shared" si="9"/>
        <v>0</v>
      </c>
      <c r="N33" s="281">
        <f t="shared" si="9"/>
        <v>0</v>
      </c>
      <c r="O33" s="281">
        <f t="shared" si="9"/>
        <v>0</v>
      </c>
      <c r="P33" s="281">
        <f t="shared" si="9"/>
        <v>0</v>
      </c>
      <c r="R33" s="85">
        <f t="shared" si="2"/>
        <v>0</v>
      </c>
    </row>
    <row r="34" spans="2:16" ht="15.75">
      <c r="B34" s="28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383">
        <f>+P32-P19</f>
        <v>0</v>
      </c>
    </row>
    <row r="35" spans="2:16" ht="15.75">
      <c r="B35" s="251"/>
      <c r="C35" s="283"/>
      <c r="D35" s="284"/>
      <c r="E35" s="28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1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10/2014.(VI.27.) Önkormányzati költségvetési rendelethez</oddHeader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C2">
      <selection activeCell="I29" sqref="I29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57"/>
      <c r="P1" s="757"/>
    </row>
    <row r="2" spans="2:16" ht="15.75">
      <c r="B2" s="758" t="s">
        <v>357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2:16" ht="15.75">
      <c r="B3" s="758" t="s">
        <v>424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395" t="s">
        <v>12</v>
      </c>
      <c r="C5" s="396" t="s">
        <v>13</v>
      </c>
      <c r="D5" s="396" t="s">
        <v>14</v>
      </c>
      <c r="E5" s="396" t="s">
        <v>15</v>
      </c>
      <c r="F5" s="396" t="s">
        <v>16</v>
      </c>
      <c r="G5" s="396" t="s">
        <v>17</v>
      </c>
      <c r="H5" s="396" t="s">
        <v>18</v>
      </c>
      <c r="I5" s="396" t="s">
        <v>63</v>
      </c>
      <c r="J5" s="396" t="s">
        <v>367</v>
      </c>
      <c r="K5" s="396" t="s">
        <v>361</v>
      </c>
      <c r="L5" s="396" t="s">
        <v>362</v>
      </c>
      <c r="M5" s="396" t="s">
        <v>364</v>
      </c>
      <c r="N5" s="396" t="s">
        <v>368</v>
      </c>
      <c r="O5" s="396" t="s">
        <v>369</v>
      </c>
      <c r="P5" s="396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53" t="s">
        <v>97</v>
      </c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7" ht="12.75">
      <c r="A9" t="s">
        <v>23</v>
      </c>
      <c r="B9" s="264" t="s">
        <v>22</v>
      </c>
      <c r="C9" s="265" t="s">
        <v>315</v>
      </c>
      <c r="D9" s="266">
        <v>7147</v>
      </c>
      <c r="E9" s="266">
        <f>+D9</f>
        <v>7147</v>
      </c>
      <c r="F9" s="266">
        <f aca="true" t="shared" si="0" ref="F9:N9">+E9</f>
        <v>7147</v>
      </c>
      <c r="G9" s="266">
        <f t="shared" si="0"/>
        <v>7147</v>
      </c>
      <c r="H9" s="266">
        <f t="shared" si="0"/>
        <v>7147</v>
      </c>
      <c r="I9" s="266">
        <f t="shared" si="0"/>
        <v>7147</v>
      </c>
      <c r="J9" s="266">
        <f t="shared" si="0"/>
        <v>7147</v>
      </c>
      <c r="K9" s="266">
        <f t="shared" si="0"/>
        <v>7147</v>
      </c>
      <c r="L9" s="266">
        <f t="shared" si="0"/>
        <v>7147</v>
      </c>
      <c r="M9" s="266">
        <f t="shared" si="0"/>
        <v>7147</v>
      </c>
      <c r="N9" s="266">
        <f t="shared" si="0"/>
        <v>7147</v>
      </c>
      <c r="O9" s="266">
        <f>+N9+4</f>
        <v>7151</v>
      </c>
      <c r="P9" s="267">
        <f>SUM(D9:O9)</f>
        <v>85768</v>
      </c>
      <c r="Q9">
        <f>+3_mell!D8</f>
        <v>85768</v>
      </c>
    </row>
    <row r="10" spans="1:16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aca="true" t="shared" si="1" ref="P10:P16">SUM(D10:O10)</f>
        <v>0</v>
      </c>
    </row>
    <row r="11" spans="1:16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</row>
    <row r="12" spans="1:16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0</v>
      </c>
    </row>
    <row r="13" spans="1:17" ht="12.75">
      <c r="A13" t="s">
        <v>27</v>
      </c>
      <c r="B13" s="264" t="s">
        <v>26</v>
      </c>
      <c r="C13" s="265" t="s">
        <v>319</v>
      </c>
      <c r="D13" s="266"/>
      <c r="E13" s="266"/>
      <c r="F13" s="266">
        <v>27490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7">
        <f t="shared" si="1"/>
        <v>27490</v>
      </c>
      <c r="Q13">
        <f>+3_mell!G8</f>
        <v>27490</v>
      </c>
    </row>
    <row r="14" spans="1:16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</row>
    <row r="15" spans="1:17" ht="22.5">
      <c r="A15" t="s">
        <v>29</v>
      </c>
      <c r="B15" s="264" t="s">
        <v>28</v>
      </c>
      <c r="C15" s="270" t="s">
        <v>321</v>
      </c>
      <c r="D15" s="266"/>
      <c r="E15" s="266">
        <v>1355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1355</v>
      </c>
      <c r="Q15">
        <f>+3_mell!E8</f>
        <v>1355</v>
      </c>
    </row>
    <row r="16" spans="1:17" ht="13.5" thickBot="1">
      <c r="A16" t="s">
        <v>30</v>
      </c>
      <c r="B16" s="264" t="s">
        <v>29</v>
      </c>
      <c r="C16" s="265" t="s">
        <v>222</v>
      </c>
      <c r="D16" s="266">
        <f>+D30-D8-D9-D10-D11-D12-D13-D14</f>
        <v>17641</v>
      </c>
      <c r="E16" s="266">
        <f>+E30-E8-E9-E10-E11-E12-E13-E14-E15</f>
        <v>19787</v>
      </c>
      <c r="F16" s="266">
        <f aca="true" t="shared" si="2" ref="F16:O16">+F30-F8-F9-F10-F11-F12-F13-F14</f>
        <v>-6265</v>
      </c>
      <c r="G16" s="266">
        <f t="shared" si="2"/>
        <v>7846</v>
      </c>
      <c r="H16" s="266">
        <f t="shared" si="2"/>
        <v>8746</v>
      </c>
      <c r="I16" s="266">
        <f t="shared" si="2"/>
        <v>8475</v>
      </c>
      <c r="J16" s="266">
        <f t="shared" si="2"/>
        <v>7846</v>
      </c>
      <c r="K16" s="266">
        <f t="shared" si="2"/>
        <v>8160</v>
      </c>
      <c r="L16" s="266">
        <f t="shared" si="2"/>
        <v>8160</v>
      </c>
      <c r="M16" s="266">
        <f t="shared" si="2"/>
        <v>8160</v>
      </c>
      <c r="N16" s="266">
        <f t="shared" si="2"/>
        <v>8160</v>
      </c>
      <c r="O16" s="266">
        <f t="shared" si="2"/>
        <v>8157</v>
      </c>
      <c r="P16" s="267">
        <f t="shared" si="1"/>
        <v>104873</v>
      </c>
      <c r="Q16" s="85">
        <f>+3_mell!J8</f>
        <v>104873</v>
      </c>
    </row>
    <row r="17" spans="1:17" ht="13.5" thickBot="1">
      <c r="A17" t="s">
        <v>31</v>
      </c>
      <c r="B17" s="257" t="s">
        <v>30</v>
      </c>
      <c r="C17" s="272" t="s">
        <v>322</v>
      </c>
      <c r="D17" s="273">
        <f>SUM(D8:D16)</f>
        <v>24788</v>
      </c>
      <c r="E17" s="273">
        <f aca="true" t="shared" si="3" ref="E17:P17">SUM(E8:E16)</f>
        <v>28289</v>
      </c>
      <c r="F17" s="273">
        <f t="shared" si="3"/>
        <v>28372</v>
      </c>
      <c r="G17" s="273">
        <f t="shared" si="3"/>
        <v>14993</v>
      </c>
      <c r="H17" s="273">
        <f t="shared" si="3"/>
        <v>15893</v>
      </c>
      <c r="I17" s="273">
        <f t="shared" si="3"/>
        <v>15622</v>
      </c>
      <c r="J17" s="273">
        <f t="shared" si="3"/>
        <v>14993</v>
      </c>
      <c r="K17" s="273">
        <f t="shared" si="3"/>
        <v>15307</v>
      </c>
      <c r="L17" s="273">
        <f t="shared" si="3"/>
        <v>15307</v>
      </c>
      <c r="M17" s="273">
        <f t="shared" si="3"/>
        <v>15307</v>
      </c>
      <c r="N17" s="273">
        <f t="shared" si="3"/>
        <v>15307</v>
      </c>
      <c r="O17" s="273">
        <f t="shared" si="3"/>
        <v>15308</v>
      </c>
      <c r="P17" s="273">
        <f t="shared" si="3"/>
        <v>219486</v>
      </c>
      <c r="Q17" s="706">
        <f>+3_mell!L8</f>
        <v>219486</v>
      </c>
    </row>
    <row r="18" spans="1:16" ht="13.5" thickBot="1">
      <c r="A18" t="s">
        <v>32</v>
      </c>
      <c r="B18" s="257" t="s">
        <v>31</v>
      </c>
      <c r="C18" s="753" t="s">
        <v>125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6"/>
    </row>
    <row r="19" spans="1:20" ht="12.75">
      <c r="A19" t="s">
        <v>33</v>
      </c>
      <c r="B19" s="275" t="s">
        <v>32</v>
      </c>
      <c r="C19" s="276" t="s">
        <v>215</v>
      </c>
      <c r="D19" s="269">
        <f>3508+114</f>
        <v>3622</v>
      </c>
      <c r="E19" s="269">
        <f>+D19+1</f>
        <v>3623</v>
      </c>
      <c r="F19" s="269">
        <v>3508</v>
      </c>
      <c r="G19" s="269">
        <f aca="true" t="shared" si="4" ref="G19:N19">+F19</f>
        <v>3508</v>
      </c>
      <c r="H19" s="269">
        <f t="shared" si="4"/>
        <v>3508</v>
      </c>
      <c r="I19" s="269">
        <f t="shared" si="4"/>
        <v>3508</v>
      </c>
      <c r="J19" s="269">
        <f t="shared" si="4"/>
        <v>3508</v>
      </c>
      <c r="K19" s="269">
        <f>+J19+247</f>
        <v>3755</v>
      </c>
      <c r="L19" s="269">
        <f t="shared" si="4"/>
        <v>3755</v>
      </c>
      <c r="M19" s="269">
        <f t="shared" si="4"/>
        <v>3755</v>
      </c>
      <c r="N19" s="269">
        <f t="shared" si="4"/>
        <v>3755</v>
      </c>
      <c r="O19" s="269">
        <f>+N19+1+2</f>
        <v>3758</v>
      </c>
      <c r="P19" s="277">
        <f>SUM(D19:O19)</f>
        <v>43563</v>
      </c>
      <c r="Q19">
        <f>+4_mell!D7</f>
        <v>43563</v>
      </c>
      <c r="R19" s="85">
        <f>+Q19-P19</f>
        <v>0</v>
      </c>
      <c r="S19">
        <f>+R19/5</f>
        <v>0</v>
      </c>
      <c r="T19" s="85">
        <f>+Q19-P19</f>
        <v>0</v>
      </c>
    </row>
    <row r="20" spans="1:20" ht="24.75" customHeight="1">
      <c r="A20" t="s">
        <v>34</v>
      </c>
      <c r="B20" s="264" t="s">
        <v>33</v>
      </c>
      <c r="C20" s="270" t="s">
        <v>323</v>
      </c>
      <c r="D20" s="266">
        <f>948+31</f>
        <v>979</v>
      </c>
      <c r="E20" s="266">
        <f>+D20</f>
        <v>979</v>
      </c>
      <c r="F20" s="266">
        <v>948</v>
      </c>
      <c r="G20" s="266">
        <f aca="true" t="shared" si="5" ref="G20:N20">+F20</f>
        <v>948</v>
      </c>
      <c r="H20" s="266">
        <f t="shared" si="5"/>
        <v>948</v>
      </c>
      <c r="I20" s="266">
        <f t="shared" si="5"/>
        <v>948</v>
      </c>
      <c r="J20" s="266">
        <f t="shared" si="5"/>
        <v>948</v>
      </c>
      <c r="K20" s="266">
        <f>+J20+67</f>
        <v>1015</v>
      </c>
      <c r="L20" s="266">
        <f t="shared" si="5"/>
        <v>1015</v>
      </c>
      <c r="M20" s="266">
        <f t="shared" si="5"/>
        <v>1015</v>
      </c>
      <c r="N20" s="266">
        <f t="shared" si="5"/>
        <v>1015</v>
      </c>
      <c r="O20" s="266">
        <f>+N20-1</f>
        <v>1014</v>
      </c>
      <c r="P20" s="277">
        <f>SUM(D20:O20)</f>
        <v>11772</v>
      </c>
      <c r="Q20" s="705">
        <f>+4_mell!E7</f>
        <v>11772</v>
      </c>
      <c r="R20" s="85">
        <f>+Q20-P20</f>
        <v>0</v>
      </c>
      <c r="S20">
        <f>+R20/5</f>
        <v>0</v>
      </c>
      <c r="T20" s="85">
        <f>+Q20-P20</f>
        <v>0</v>
      </c>
    </row>
    <row r="21" spans="1:18" ht="12.75">
      <c r="A21" t="s">
        <v>35</v>
      </c>
      <c r="B21" s="264" t="s">
        <v>34</v>
      </c>
      <c r="C21" s="265" t="s">
        <v>251</v>
      </c>
      <c r="D21" s="266">
        <f>10537+9650</f>
        <v>20187</v>
      </c>
      <c r="E21" s="266">
        <f>+D21+3500</f>
        <v>23687</v>
      </c>
      <c r="F21" s="266">
        <f>+E21+229</f>
        <v>23916</v>
      </c>
      <c r="G21" s="266">
        <v>10537</v>
      </c>
      <c r="H21" s="266">
        <f>+G21+900</f>
        <v>11437</v>
      </c>
      <c r="I21" s="266">
        <f>10537+110</f>
        <v>10647</v>
      </c>
      <c r="J21" s="266">
        <v>10537</v>
      </c>
      <c r="K21" s="266">
        <f>+J21</f>
        <v>10537</v>
      </c>
      <c r="L21" s="266">
        <f>+K21</f>
        <v>10537</v>
      </c>
      <c r="M21" s="266">
        <f>+L21</f>
        <v>10537</v>
      </c>
      <c r="N21" s="266">
        <f>+M21</f>
        <v>10537</v>
      </c>
      <c r="O21" s="266">
        <f>+N21-1</f>
        <v>10536</v>
      </c>
      <c r="P21" s="277">
        <f aca="true" t="shared" si="6" ref="P21:P28">SUM(D21:O21)</f>
        <v>163632</v>
      </c>
      <c r="Q21" s="85">
        <f>+4_mell!F7</f>
        <v>163632</v>
      </c>
      <c r="R21" s="85">
        <f>+Q21-P21</f>
        <v>0</v>
      </c>
    </row>
    <row r="22" spans="1:16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6"/>
        <v>0</v>
      </c>
    </row>
    <row r="23" spans="1:16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6"/>
        <v>0</v>
      </c>
    </row>
    <row r="24" spans="1:16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6"/>
        <v>0</v>
      </c>
    </row>
    <row r="25" spans="1:16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6"/>
        <v>0</v>
      </c>
    </row>
    <row r="26" spans="1:16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6"/>
        <v>0</v>
      </c>
    </row>
    <row r="27" spans="1:16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6"/>
        <v>0</v>
      </c>
    </row>
    <row r="28" spans="1:17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/>
      <c r="H28" s="266"/>
      <c r="I28" s="266">
        <v>519</v>
      </c>
      <c r="J28" s="266"/>
      <c r="K28" s="266"/>
      <c r="L28" s="266"/>
      <c r="M28" s="266"/>
      <c r="N28" s="266"/>
      <c r="O28" s="266"/>
      <c r="P28" s="277">
        <f t="shared" si="6"/>
        <v>519</v>
      </c>
      <c r="Q28">
        <f>+4_mell!L7</f>
        <v>519</v>
      </c>
    </row>
    <row r="29" spans="1:16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</row>
    <row r="30" spans="1:16" ht="13.5" thickBot="1">
      <c r="A30" t="s">
        <v>47</v>
      </c>
      <c r="B30" s="278" t="s">
        <v>46</v>
      </c>
      <c r="C30" s="272" t="s">
        <v>332</v>
      </c>
      <c r="D30" s="273">
        <f>SUM(D19:D29)</f>
        <v>24788</v>
      </c>
      <c r="E30" s="273">
        <f aca="true" t="shared" si="7" ref="E30:O30">SUM(E19:E29)</f>
        <v>28289</v>
      </c>
      <c r="F30" s="273">
        <f t="shared" si="7"/>
        <v>28372</v>
      </c>
      <c r="G30" s="273">
        <f t="shared" si="7"/>
        <v>14993</v>
      </c>
      <c r="H30" s="273">
        <f t="shared" si="7"/>
        <v>15893</v>
      </c>
      <c r="I30" s="273">
        <f t="shared" si="7"/>
        <v>15622</v>
      </c>
      <c r="J30" s="273">
        <f t="shared" si="7"/>
        <v>14993</v>
      </c>
      <c r="K30" s="273">
        <f t="shared" si="7"/>
        <v>15307</v>
      </c>
      <c r="L30" s="273">
        <f t="shared" si="7"/>
        <v>15307</v>
      </c>
      <c r="M30" s="273">
        <f t="shared" si="7"/>
        <v>15307</v>
      </c>
      <c r="N30" s="273">
        <f t="shared" si="7"/>
        <v>15307</v>
      </c>
      <c r="O30" s="273">
        <f t="shared" si="7"/>
        <v>15308</v>
      </c>
      <c r="P30" s="279">
        <f>SUM(P19:P29)</f>
        <v>219486</v>
      </c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8" ref="E31:P31">+E30-E17</f>
        <v>0</v>
      </c>
      <c r="F31" s="281">
        <f t="shared" si="8"/>
        <v>0</v>
      </c>
      <c r="G31" s="281">
        <f t="shared" si="8"/>
        <v>0</v>
      </c>
      <c r="H31" s="281">
        <f t="shared" si="8"/>
        <v>0</v>
      </c>
      <c r="I31" s="281">
        <f t="shared" si="8"/>
        <v>0</v>
      </c>
      <c r="J31" s="281">
        <f t="shared" si="8"/>
        <v>0</v>
      </c>
      <c r="K31" s="281">
        <f t="shared" si="8"/>
        <v>0</v>
      </c>
      <c r="L31" s="281">
        <f t="shared" si="8"/>
        <v>0</v>
      </c>
      <c r="M31" s="281">
        <f t="shared" si="8"/>
        <v>0</v>
      </c>
      <c r="N31" s="281">
        <f t="shared" si="8"/>
        <v>0</v>
      </c>
      <c r="O31" s="281">
        <f t="shared" si="8"/>
        <v>0</v>
      </c>
      <c r="P31" s="281">
        <f t="shared" si="8"/>
        <v>0</v>
      </c>
    </row>
    <row r="32" spans="2:16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1"/>
    </row>
    <row r="33" spans="2:16" ht="15.75">
      <c r="B33" s="251"/>
      <c r="C33" s="283"/>
      <c r="D33" s="285">
        <f>-D31</f>
        <v>0</v>
      </c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383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10/2014.(VI.27.) Önkormányzati költségvetési rendelethez&amp;R&amp;D</oddHeader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G13" sqref="G13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57"/>
      <c r="P1" s="757"/>
    </row>
    <row r="2" spans="2:16" ht="15.75">
      <c r="B2" s="758" t="s">
        <v>358</v>
      </c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</row>
    <row r="3" spans="2:16" ht="15.75">
      <c r="B3" s="758" t="s">
        <v>424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395" t="s">
        <v>12</v>
      </c>
      <c r="C5" s="396" t="s">
        <v>13</v>
      </c>
      <c r="D5" s="396" t="s">
        <v>14</v>
      </c>
      <c r="E5" s="396" t="s">
        <v>15</v>
      </c>
      <c r="F5" s="396" t="s">
        <v>16</v>
      </c>
      <c r="G5" s="396" t="s">
        <v>17</v>
      </c>
      <c r="H5" s="396" t="s">
        <v>18</v>
      </c>
      <c r="I5" s="396" t="s">
        <v>63</v>
      </c>
      <c r="J5" s="396" t="s">
        <v>371</v>
      </c>
      <c r="K5" s="396" t="s">
        <v>361</v>
      </c>
      <c r="L5" s="396" t="s">
        <v>362</v>
      </c>
      <c r="M5" s="396" t="s">
        <v>364</v>
      </c>
      <c r="N5" s="396" t="s">
        <v>368</v>
      </c>
      <c r="O5" s="396" t="s">
        <v>369</v>
      </c>
      <c r="P5" s="396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53" t="s">
        <v>97</v>
      </c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8" ht="12.75">
      <c r="A9" t="s">
        <v>23</v>
      </c>
      <c r="B9" s="264" t="s">
        <v>22</v>
      </c>
      <c r="C9" s="265" t="s">
        <v>315</v>
      </c>
      <c r="D9" s="266">
        <v>183</v>
      </c>
      <c r="E9" s="266">
        <f>+D9</f>
        <v>183</v>
      </c>
      <c r="F9" s="266">
        <f aca="true" t="shared" si="0" ref="F9:N9">+E9</f>
        <v>183</v>
      </c>
      <c r="G9" s="266">
        <f t="shared" si="0"/>
        <v>183</v>
      </c>
      <c r="H9" s="266">
        <f t="shared" si="0"/>
        <v>183</v>
      </c>
      <c r="I9" s="266">
        <f t="shared" si="0"/>
        <v>183</v>
      </c>
      <c r="J9" s="266">
        <f t="shared" si="0"/>
        <v>183</v>
      </c>
      <c r="K9" s="266">
        <f t="shared" si="0"/>
        <v>183</v>
      </c>
      <c r="L9" s="266">
        <f t="shared" si="0"/>
        <v>183</v>
      </c>
      <c r="M9" s="266">
        <f t="shared" si="0"/>
        <v>183</v>
      </c>
      <c r="N9" s="266">
        <f t="shared" si="0"/>
        <v>183</v>
      </c>
      <c r="O9" s="266">
        <f>+N9+6-2</f>
        <v>187</v>
      </c>
      <c r="P9" s="267">
        <f aca="true" t="shared" si="1" ref="P9:P15">SUM(D9:O9)</f>
        <v>2200</v>
      </c>
      <c r="Q9">
        <f>+3_mell!D18</f>
        <v>2200</v>
      </c>
      <c r="R9" s="85">
        <f>+Q9-P9</f>
        <v>0</v>
      </c>
    </row>
    <row r="10" spans="1:18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t="shared" si="1"/>
        <v>0</v>
      </c>
      <c r="R10" s="85">
        <f aca="true" t="shared" si="2" ref="R10:R17">+Q10-P10</f>
        <v>0</v>
      </c>
    </row>
    <row r="11" spans="1:18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  <c r="R11" s="85">
        <f t="shared" si="2"/>
        <v>0</v>
      </c>
    </row>
    <row r="12" spans="1:18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>
        <v>1100</v>
      </c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1100</v>
      </c>
      <c r="Q12" s="85">
        <f>+3_mell!H18</f>
        <v>1100</v>
      </c>
      <c r="R12" s="85">
        <f t="shared" si="2"/>
        <v>0</v>
      </c>
    </row>
    <row r="13" spans="1:18" ht="12.75">
      <c r="A13" t="s">
        <v>27</v>
      </c>
      <c r="B13" s="264" t="s">
        <v>26</v>
      </c>
      <c r="C13" s="265" t="s">
        <v>319</v>
      </c>
      <c r="D13" s="266"/>
      <c r="E13" s="266">
        <v>445</v>
      </c>
      <c r="F13" s="266">
        <v>1000</v>
      </c>
      <c r="G13" s="266"/>
      <c r="H13" s="266">
        <v>1000</v>
      </c>
      <c r="I13" s="266"/>
      <c r="J13" s="266"/>
      <c r="K13" s="266"/>
      <c r="L13" s="266"/>
      <c r="M13" s="266"/>
      <c r="N13" s="266"/>
      <c r="O13" s="266"/>
      <c r="P13" s="267">
        <f t="shared" si="1"/>
        <v>2445</v>
      </c>
      <c r="Q13" s="85">
        <f>+3_mell!F18+3_mell!G18</f>
        <v>2445</v>
      </c>
      <c r="R13" s="85">
        <f t="shared" si="2"/>
        <v>0</v>
      </c>
    </row>
    <row r="14" spans="1:18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  <c r="R14" s="85">
        <f t="shared" si="2"/>
        <v>0</v>
      </c>
    </row>
    <row r="15" spans="1:18" ht="22.5">
      <c r="A15" t="s">
        <v>29</v>
      </c>
      <c r="B15" s="264" t="s">
        <v>28</v>
      </c>
      <c r="C15" s="270" t="s">
        <v>321</v>
      </c>
      <c r="D15" s="266"/>
      <c r="E15" s="266">
        <v>268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268</v>
      </c>
      <c r="Q15">
        <f>+3_mell!E18</f>
        <v>268</v>
      </c>
      <c r="R15" s="85">
        <f t="shared" si="2"/>
        <v>0</v>
      </c>
    </row>
    <row r="16" spans="1:18" ht="13.5" thickBot="1">
      <c r="A16" t="s">
        <v>30</v>
      </c>
      <c r="B16" s="264" t="s">
        <v>29</v>
      </c>
      <c r="C16" s="265" t="s">
        <v>222</v>
      </c>
      <c r="D16" s="266">
        <f>+D30-D8-D9-D10-D11-D12-D13-D14-D15</f>
        <v>2131</v>
      </c>
      <c r="E16" s="266">
        <f aca="true" t="shared" si="3" ref="E16:O16">+E30-E8-E9-E10-E11-E12-E13-E14-E15</f>
        <v>1208</v>
      </c>
      <c r="F16" s="266">
        <f t="shared" si="3"/>
        <v>1192</v>
      </c>
      <c r="G16" s="266">
        <f t="shared" si="3"/>
        <v>2495</v>
      </c>
      <c r="H16" s="266">
        <f t="shared" si="3"/>
        <v>3310</v>
      </c>
      <c r="I16" s="266">
        <f t="shared" si="3"/>
        <v>2005</v>
      </c>
      <c r="J16" s="266">
        <f t="shared" si="3"/>
        <v>1551</v>
      </c>
      <c r="K16" s="266">
        <f t="shared" si="3"/>
        <v>1551</v>
      </c>
      <c r="L16" s="266">
        <f t="shared" si="3"/>
        <v>2251</v>
      </c>
      <c r="M16" s="266">
        <f t="shared" si="3"/>
        <v>1551</v>
      </c>
      <c r="N16" s="266">
        <f t="shared" si="3"/>
        <v>1551</v>
      </c>
      <c r="O16" s="266">
        <f t="shared" si="3"/>
        <v>1557</v>
      </c>
      <c r="P16" s="271">
        <f>SUM(D16:O16)</f>
        <v>22353</v>
      </c>
      <c r="Q16" s="85">
        <f>+3_mell!J18</f>
        <v>22353</v>
      </c>
      <c r="R16" s="85">
        <f t="shared" si="2"/>
        <v>0</v>
      </c>
    </row>
    <row r="17" spans="1:18" ht="13.5" thickBot="1">
      <c r="A17" t="s">
        <v>31</v>
      </c>
      <c r="B17" s="257" t="s">
        <v>30</v>
      </c>
      <c r="C17" s="272" t="s">
        <v>322</v>
      </c>
      <c r="D17" s="273">
        <f>SUM(D8:D16)</f>
        <v>2314</v>
      </c>
      <c r="E17" s="273">
        <f aca="true" t="shared" si="4" ref="E17:P17">SUM(E8:E16)</f>
        <v>2104</v>
      </c>
      <c r="F17" s="273">
        <f t="shared" si="4"/>
        <v>2375</v>
      </c>
      <c r="G17" s="273">
        <f t="shared" si="4"/>
        <v>3778</v>
      </c>
      <c r="H17" s="273">
        <f t="shared" si="4"/>
        <v>4493</v>
      </c>
      <c r="I17" s="273">
        <f t="shared" si="4"/>
        <v>2188</v>
      </c>
      <c r="J17" s="273">
        <f t="shared" si="4"/>
        <v>1734</v>
      </c>
      <c r="K17" s="273">
        <f t="shared" si="4"/>
        <v>1734</v>
      </c>
      <c r="L17" s="273">
        <f t="shared" si="4"/>
        <v>2434</v>
      </c>
      <c r="M17" s="273">
        <f t="shared" si="4"/>
        <v>1734</v>
      </c>
      <c r="N17" s="273">
        <f t="shared" si="4"/>
        <v>1734</v>
      </c>
      <c r="O17" s="273">
        <f t="shared" si="4"/>
        <v>1744</v>
      </c>
      <c r="P17" s="273">
        <f t="shared" si="4"/>
        <v>28366</v>
      </c>
      <c r="Q17" s="706">
        <f>SUM(Q9:Q16)</f>
        <v>28366</v>
      </c>
      <c r="R17" s="85">
        <f t="shared" si="2"/>
        <v>0</v>
      </c>
    </row>
    <row r="18" spans="1:16" ht="13.5" thickBot="1">
      <c r="A18" t="s">
        <v>32</v>
      </c>
      <c r="B18" s="257" t="s">
        <v>31</v>
      </c>
      <c r="C18" s="753" t="s">
        <v>125</v>
      </c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6"/>
    </row>
    <row r="19" spans="1:19" ht="12.75">
      <c r="A19" t="s">
        <v>33</v>
      </c>
      <c r="B19" s="275" t="s">
        <v>32</v>
      </c>
      <c r="C19" s="276" t="s">
        <v>215</v>
      </c>
      <c r="D19" s="269">
        <f>784+15</f>
        <v>799</v>
      </c>
      <c r="E19" s="269">
        <f>+D19+1</f>
        <v>800</v>
      </c>
      <c r="F19" s="269">
        <f>784+213</f>
        <v>997</v>
      </c>
      <c r="G19" s="269">
        <f aca="true" t="shared" si="5" ref="G19:N19">+F19</f>
        <v>997</v>
      </c>
      <c r="H19" s="269">
        <f t="shared" si="5"/>
        <v>997</v>
      </c>
      <c r="I19" s="269">
        <v>784</v>
      </c>
      <c r="J19" s="269">
        <f t="shared" si="5"/>
        <v>784</v>
      </c>
      <c r="K19" s="269">
        <f t="shared" si="5"/>
        <v>784</v>
      </c>
      <c r="L19" s="269">
        <f t="shared" si="5"/>
        <v>784</v>
      </c>
      <c r="M19" s="269">
        <f t="shared" si="5"/>
        <v>784</v>
      </c>
      <c r="N19" s="269">
        <f t="shared" si="5"/>
        <v>784</v>
      </c>
      <c r="O19" s="269">
        <f>+N19+1+1</f>
        <v>786</v>
      </c>
      <c r="P19" s="277">
        <f>SUM(D19:O19)</f>
        <v>10080</v>
      </c>
      <c r="Q19">
        <f>+4_mell!D17</f>
        <v>10080</v>
      </c>
      <c r="R19" s="116">
        <f>+Q19-P19</f>
        <v>0</v>
      </c>
      <c r="S19">
        <f>+R19/3</f>
        <v>0</v>
      </c>
    </row>
    <row r="20" spans="1:19" ht="24.75" customHeight="1">
      <c r="A20" t="s">
        <v>34</v>
      </c>
      <c r="B20" s="264" t="s">
        <v>33</v>
      </c>
      <c r="C20" s="270" t="s">
        <v>323</v>
      </c>
      <c r="D20" s="266">
        <f>211+5</f>
        <v>216</v>
      </c>
      <c r="E20" s="266">
        <f>+D20-1</f>
        <v>215</v>
      </c>
      <c r="F20" s="266">
        <f>211+46</f>
        <v>257</v>
      </c>
      <c r="G20" s="266">
        <f aca="true" t="shared" si="6" ref="G20:N20">+F20</f>
        <v>257</v>
      </c>
      <c r="H20" s="266">
        <f t="shared" si="6"/>
        <v>257</v>
      </c>
      <c r="I20" s="266">
        <v>211</v>
      </c>
      <c r="J20" s="266">
        <f t="shared" si="6"/>
        <v>211</v>
      </c>
      <c r="K20" s="266">
        <f t="shared" si="6"/>
        <v>211</v>
      </c>
      <c r="L20" s="266">
        <f t="shared" si="6"/>
        <v>211</v>
      </c>
      <c r="M20" s="266">
        <f t="shared" si="6"/>
        <v>211</v>
      </c>
      <c r="N20" s="266">
        <f t="shared" si="6"/>
        <v>211</v>
      </c>
      <c r="O20" s="266">
        <f>+N20+7-1</f>
        <v>217</v>
      </c>
      <c r="P20" s="277">
        <f aca="true" t="shared" si="7" ref="P20:P28">SUM(D20:O20)</f>
        <v>2685</v>
      </c>
      <c r="Q20">
        <f>+4_mell!E17</f>
        <v>2685</v>
      </c>
      <c r="R20" s="116">
        <f>+Q20-P20</f>
        <v>0</v>
      </c>
      <c r="S20">
        <f>+R20/3</f>
        <v>0</v>
      </c>
    </row>
    <row r="21" spans="1:18" ht="12.75">
      <c r="A21" t="s">
        <v>35</v>
      </c>
      <c r="B21" s="264" t="s">
        <v>34</v>
      </c>
      <c r="C21" s="265" t="s">
        <v>251</v>
      </c>
      <c r="D21" s="266">
        <f>739+560</f>
        <v>1299</v>
      </c>
      <c r="E21" s="266">
        <f>739+350</f>
        <v>1089</v>
      </c>
      <c r="F21" s="266">
        <f>+E21+32</f>
        <v>1121</v>
      </c>
      <c r="G21" s="266">
        <f>739+685</f>
        <v>1424</v>
      </c>
      <c r="H21" s="266">
        <f>739+1500</f>
        <v>2239</v>
      </c>
      <c r="I21" s="266">
        <v>739</v>
      </c>
      <c r="J21" s="266">
        <f>+I21</f>
        <v>739</v>
      </c>
      <c r="K21" s="266">
        <f>+J21</f>
        <v>739</v>
      </c>
      <c r="L21" s="266">
        <f>+K21+700</f>
        <v>1439</v>
      </c>
      <c r="M21" s="266">
        <f>+K21</f>
        <v>739</v>
      </c>
      <c r="N21" s="266">
        <f>+M21</f>
        <v>739</v>
      </c>
      <c r="O21" s="266">
        <f>+N21-3+5</f>
        <v>741</v>
      </c>
      <c r="P21" s="277">
        <f t="shared" si="7"/>
        <v>13047</v>
      </c>
      <c r="Q21" s="85">
        <f>+4_mell!F17</f>
        <v>13047</v>
      </c>
      <c r="R21" s="116">
        <f aca="true" t="shared" si="8" ref="R21:R29">+Q21-P21</f>
        <v>0</v>
      </c>
    </row>
    <row r="22" spans="1:18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7"/>
        <v>0</v>
      </c>
      <c r="R22" s="116">
        <f t="shared" si="8"/>
        <v>0</v>
      </c>
    </row>
    <row r="23" spans="1:18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7"/>
        <v>0</v>
      </c>
      <c r="R23" s="116">
        <f t="shared" si="8"/>
        <v>0</v>
      </c>
    </row>
    <row r="24" spans="1:18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>
        <v>454</v>
      </c>
      <c r="J24" s="266"/>
      <c r="K24" s="266"/>
      <c r="L24" s="266"/>
      <c r="M24" s="266"/>
      <c r="N24" s="266"/>
      <c r="O24" s="266"/>
      <c r="P24" s="277">
        <f t="shared" si="7"/>
        <v>454</v>
      </c>
      <c r="Q24">
        <f>+4_mell!H17</f>
        <v>454</v>
      </c>
      <c r="R24" s="116">
        <f t="shared" si="8"/>
        <v>0</v>
      </c>
    </row>
    <row r="25" spans="1:18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7"/>
        <v>0</v>
      </c>
      <c r="R25" s="116">
        <f t="shared" si="8"/>
        <v>0</v>
      </c>
    </row>
    <row r="26" spans="1:18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7"/>
        <v>0</v>
      </c>
      <c r="R26" s="116">
        <f t="shared" si="8"/>
        <v>0</v>
      </c>
    </row>
    <row r="27" spans="1:18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7"/>
        <v>0</v>
      </c>
      <c r="R27" s="116">
        <f t="shared" si="8"/>
        <v>0</v>
      </c>
    </row>
    <row r="28" spans="1:18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>
        <v>1100</v>
      </c>
      <c r="H28" s="266">
        <v>1000</v>
      </c>
      <c r="I28" s="266"/>
      <c r="J28" s="266"/>
      <c r="K28" s="266"/>
      <c r="L28" s="266"/>
      <c r="M28" s="266"/>
      <c r="N28" s="266"/>
      <c r="O28" s="266"/>
      <c r="P28" s="277">
        <f t="shared" si="7"/>
        <v>2100</v>
      </c>
      <c r="Q28">
        <f>+4_mell!L17</f>
        <v>2100</v>
      </c>
      <c r="R28" s="116">
        <f t="shared" si="8"/>
        <v>0</v>
      </c>
    </row>
    <row r="29" spans="1:18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  <c r="R29" s="116">
        <f t="shared" si="8"/>
        <v>0</v>
      </c>
    </row>
    <row r="30" spans="1:17" ht="13.5" thickBot="1">
      <c r="A30" t="s">
        <v>47</v>
      </c>
      <c r="B30" s="278" t="s">
        <v>46</v>
      </c>
      <c r="C30" s="272" t="s">
        <v>332</v>
      </c>
      <c r="D30" s="273">
        <f>SUM(D19:D29)</f>
        <v>2314</v>
      </c>
      <c r="E30" s="273">
        <f aca="true" t="shared" si="9" ref="E30:O30">SUM(E19:E29)</f>
        <v>2104</v>
      </c>
      <c r="F30" s="273">
        <f t="shared" si="9"/>
        <v>2375</v>
      </c>
      <c r="G30" s="273">
        <f t="shared" si="9"/>
        <v>3778</v>
      </c>
      <c r="H30" s="273">
        <f t="shared" si="9"/>
        <v>4493</v>
      </c>
      <c r="I30" s="273">
        <f t="shared" si="9"/>
        <v>2188</v>
      </c>
      <c r="J30" s="273">
        <f t="shared" si="9"/>
        <v>1734</v>
      </c>
      <c r="K30" s="273">
        <f t="shared" si="9"/>
        <v>1734</v>
      </c>
      <c r="L30" s="273">
        <f t="shared" si="9"/>
        <v>2434</v>
      </c>
      <c r="M30" s="273">
        <f t="shared" si="9"/>
        <v>1734</v>
      </c>
      <c r="N30" s="273">
        <f t="shared" si="9"/>
        <v>1734</v>
      </c>
      <c r="O30" s="273">
        <f t="shared" si="9"/>
        <v>1744</v>
      </c>
      <c r="P30" s="279">
        <f>SUM(P19:P29)</f>
        <v>28366</v>
      </c>
      <c r="Q30" s="613">
        <f>SUM(Q19:Q29)</f>
        <v>28366</v>
      </c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10" ref="E31:P31">+E30-E17</f>
        <v>0</v>
      </c>
      <c r="F31" s="281">
        <f t="shared" si="10"/>
        <v>0</v>
      </c>
      <c r="G31" s="281">
        <f t="shared" si="10"/>
        <v>0</v>
      </c>
      <c r="H31" s="281">
        <f t="shared" si="10"/>
        <v>0</v>
      </c>
      <c r="I31" s="281">
        <f t="shared" si="10"/>
        <v>0</v>
      </c>
      <c r="J31" s="281">
        <f t="shared" si="10"/>
        <v>0</v>
      </c>
      <c r="K31" s="281">
        <f t="shared" si="10"/>
        <v>0</v>
      </c>
      <c r="L31" s="281">
        <f t="shared" si="10"/>
        <v>0</v>
      </c>
      <c r="M31" s="281">
        <f t="shared" si="10"/>
        <v>0</v>
      </c>
      <c r="N31" s="281">
        <f t="shared" si="10"/>
        <v>0</v>
      </c>
      <c r="O31" s="281">
        <f t="shared" si="10"/>
        <v>0</v>
      </c>
      <c r="P31" s="281">
        <f t="shared" si="10"/>
        <v>0</v>
      </c>
    </row>
    <row r="32" spans="2:17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383">
        <f>+P30-P17</f>
        <v>0</v>
      </c>
      <c r="Q32" s="85">
        <f>+Q30-Q17</f>
        <v>0</v>
      </c>
    </row>
    <row r="33" spans="2:16" ht="15.75">
      <c r="B33" s="251"/>
      <c r="C33" s="283"/>
      <c r="D33" s="285"/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1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10/2014.(VI.27.) Önkormányzati költségvetési rendelethez&amp;R&amp;D</oddHeader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A1">
      <selection activeCell="P40" sqref="P40"/>
    </sheetView>
  </sheetViews>
  <sheetFormatPr defaultColWidth="9.140625" defaultRowHeight="12.75"/>
  <cols>
    <col min="1" max="1" width="5.421875" style="112" customWidth="1"/>
    <col min="2" max="2" width="4.00390625" style="112" customWidth="1"/>
    <col min="3" max="3" width="33.28125" style="112" customWidth="1"/>
    <col min="4" max="4" width="17.57421875" style="112" customWidth="1"/>
    <col min="5" max="5" width="9.57421875" style="112" bestFit="1" customWidth="1"/>
    <col min="6" max="7" width="14.7109375" style="112" customWidth="1"/>
    <col min="8" max="8" width="9.421875" style="112" customWidth="1"/>
    <col min="9" max="10" width="9.421875" style="112" hidden="1" customWidth="1"/>
    <col min="11" max="11" width="11.140625" style="112" bestFit="1" customWidth="1"/>
    <col min="12" max="12" width="9.421875" style="112" bestFit="1" customWidth="1"/>
    <col min="13" max="13" width="6.7109375" style="112" customWidth="1"/>
    <col min="14" max="14" width="9.28125" style="112" bestFit="1" customWidth="1"/>
    <col min="15" max="16384" width="9.140625" style="112" customWidth="1"/>
  </cols>
  <sheetData>
    <row r="1" spans="1:14" ht="14.25">
      <c r="A1" s="765" t="s">
        <v>162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</row>
    <row r="2" spans="1:14" ht="15" customHeight="1" thickBot="1">
      <c r="A2" s="112" t="s">
        <v>11</v>
      </c>
      <c r="B2" s="113" t="s">
        <v>12</v>
      </c>
      <c r="C2" s="113" t="s">
        <v>13</v>
      </c>
      <c r="D2" s="113" t="s">
        <v>14</v>
      </c>
      <c r="E2" s="113" t="s">
        <v>15</v>
      </c>
      <c r="F2" s="113" t="s">
        <v>16</v>
      </c>
      <c r="G2" s="113"/>
      <c r="H2" s="113" t="s">
        <v>17</v>
      </c>
      <c r="I2" s="113" t="s">
        <v>18</v>
      </c>
      <c r="J2" s="113" t="s">
        <v>366</v>
      </c>
      <c r="K2" s="113" t="s">
        <v>19</v>
      </c>
      <c r="L2" s="113" t="s">
        <v>361</v>
      </c>
      <c r="M2" s="112" t="s">
        <v>362</v>
      </c>
      <c r="N2" s="112" t="s">
        <v>364</v>
      </c>
    </row>
    <row r="3" spans="1:14" ht="18" customHeight="1">
      <c r="A3" s="112" t="s">
        <v>20</v>
      </c>
      <c r="B3" s="227" t="s">
        <v>163</v>
      </c>
      <c r="C3" s="228"/>
      <c r="D3" s="228"/>
      <c r="E3" s="228"/>
      <c r="F3" s="214"/>
      <c r="G3" s="531"/>
      <c r="H3" s="762">
        <v>2013</v>
      </c>
      <c r="I3" s="763"/>
      <c r="J3" s="764"/>
      <c r="K3" s="222">
        <v>2014</v>
      </c>
      <c r="L3" s="222">
        <v>2015</v>
      </c>
      <c r="M3" s="222">
        <v>2016</v>
      </c>
      <c r="N3" s="222">
        <v>2017</v>
      </c>
    </row>
    <row r="4" spans="1:14" ht="15" thickBot="1">
      <c r="A4" s="112" t="s">
        <v>21</v>
      </c>
      <c r="B4" s="237"/>
      <c r="C4" s="236"/>
      <c r="D4" s="236"/>
      <c r="E4" s="218"/>
      <c r="F4" s="248">
        <v>241.06</v>
      </c>
      <c r="G4" s="532"/>
      <c r="H4" s="537"/>
      <c r="I4" s="218" t="s">
        <v>268</v>
      </c>
      <c r="J4" s="538" t="s">
        <v>267</v>
      </c>
      <c r="K4" s="224"/>
      <c r="L4" s="224"/>
      <c r="M4" s="226"/>
      <c r="N4" s="226"/>
    </row>
    <row r="5" spans="2:14" ht="15">
      <c r="B5" s="229"/>
      <c r="C5" s="230"/>
      <c r="D5" s="230"/>
      <c r="E5" s="216"/>
      <c r="F5" s="217"/>
      <c r="G5" s="533"/>
      <c r="H5" s="215"/>
      <c r="I5" s="535"/>
      <c r="J5" s="536"/>
      <c r="K5" s="223"/>
      <c r="L5" s="223"/>
      <c r="M5" s="225"/>
      <c r="N5" s="225"/>
    </row>
    <row r="6" spans="1:14" ht="60">
      <c r="A6" s="112" t="s">
        <v>22</v>
      </c>
      <c r="B6" s="229"/>
      <c r="C6" s="231" t="s">
        <v>164</v>
      </c>
      <c r="D6" s="231" t="s">
        <v>165</v>
      </c>
      <c r="E6" s="232" t="s">
        <v>166</v>
      </c>
      <c r="F6" s="233" t="s">
        <v>167</v>
      </c>
      <c r="G6" s="539" t="s">
        <v>459</v>
      </c>
      <c r="H6" s="215">
        <f>+I6+J6</f>
        <v>24408</v>
      </c>
      <c r="I6" s="215">
        <v>16272</v>
      </c>
      <c r="J6" s="217">
        <v>8136</v>
      </c>
      <c r="K6" s="223">
        <f>675277.56*F4/1000</f>
        <v>162782.4086136</v>
      </c>
      <c r="L6" s="223">
        <v>0</v>
      </c>
      <c r="M6" s="225">
        <v>0</v>
      </c>
      <c r="N6" s="225">
        <v>0</v>
      </c>
    </row>
    <row r="7" spans="1:14" ht="64.5" customHeight="1">
      <c r="A7" s="112" t="s">
        <v>23</v>
      </c>
      <c r="B7" s="229"/>
      <c r="C7" s="231" t="s">
        <v>168</v>
      </c>
      <c r="D7" s="231" t="s">
        <v>169</v>
      </c>
      <c r="E7" s="216">
        <v>80000</v>
      </c>
      <c r="F7" s="233" t="s">
        <v>231</v>
      </c>
      <c r="G7" s="539" t="s">
        <v>459</v>
      </c>
      <c r="H7" s="215">
        <f>+I7+J7</f>
        <v>1050</v>
      </c>
      <c r="I7" s="215"/>
      <c r="J7" s="217">
        <v>1050</v>
      </c>
      <c r="K7" s="223">
        <v>70000</v>
      </c>
      <c r="L7" s="223">
        <v>0</v>
      </c>
      <c r="M7" s="225">
        <v>0</v>
      </c>
      <c r="N7" s="225">
        <v>0</v>
      </c>
    </row>
    <row r="8" spans="2:14" ht="7.5" customHeight="1" thickBot="1">
      <c r="B8" s="229"/>
      <c r="C8" s="230"/>
      <c r="D8" s="230"/>
      <c r="E8" s="216"/>
      <c r="F8" s="217"/>
      <c r="G8" s="533"/>
      <c r="H8" s="215"/>
      <c r="I8" s="215"/>
      <c r="J8" s="217"/>
      <c r="K8" s="223"/>
      <c r="L8" s="223"/>
      <c r="M8" s="225"/>
      <c r="N8" s="225"/>
    </row>
    <row r="9" spans="1:14" ht="15" thickBot="1">
      <c r="A9" s="112" t="s">
        <v>24</v>
      </c>
      <c r="B9" s="238" t="s">
        <v>170</v>
      </c>
      <c r="C9" s="239"/>
      <c r="D9" s="239"/>
      <c r="E9" s="220"/>
      <c r="F9" s="221"/>
      <c r="G9" s="534"/>
      <c r="H9" s="219">
        <f aca="true" t="shared" si="0" ref="H9:N9">SUM(H6:H8)</f>
        <v>25458</v>
      </c>
      <c r="I9" s="219">
        <f t="shared" si="0"/>
        <v>16272</v>
      </c>
      <c r="J9" s="219">
        <f t="shared" si="0"/>
        <v>9186</v>
      </c>
      <c r="K9" s="219">
        <f t="shared" si="0"/>
        <v>232782.4086136</v>
      </c>
      <c r="L9" s="219">
        <f t="shared" si="0"/>
        <v>0</v>
      </c>
      <c r="M9" s="219">
        <f t="shared" si="0"/>
        <v>0</v>
      </c>
      <c r="N9" s="219">
        <f t="shared" si="0"/>
        <v>0</v>
      </c>
    </row>
    <row r="10" spans="2:14" ht="14.25">
      <c r="B10" s="561"/>
      <c r="C10" s="562"/>
      <c r="D10" s="562"/>
      <c r="E10" s="563"/>
      <c r="F10" s="564"/>
      <c r="G10" s="565"/>
      <c r="H10" s="566"/>
      <c r="I10" s="566"/>
      <c r="J10" s="565"/>
      <c r="K10" s="567"/>
      <c r="L10" s="567"/>
      <c r="M10" s="567"/>
      <c r="N10" s="569"/>
    </row>
    <row r="11" spans="1:14" ht="14.25">
      <c r="A11" s="112" t="s">
        <v>25</v>
      </c>
      <c r="B11" s="568" t="s">
        <v>472</v>
      </c>
      <c r="C11" s="562"/>
      <c r="D11" s="562"/>
      <c r="E11" s="563"/>
      <c r="F11" s="564"/>
      <c r="G11" s="565"/>
      <c r="H11" s="566"/>
      <c r="I11" s="566"/>
      <c r="J11" s="565"/>
      <c r="K11" s="567"/>
      <c r="L11" s="567"/>
      <c r="M11" s="567"/>
      <c r="N11" s="570"/>
    </row>
    <row r="12" spans="1:14" ht="57">
      <c r="A12" s="112" t="s">
        <v>26</v>
      </c>
      <c r="B12" s="561"/>
      <c r="C12" s="469" t="s">
        <v>471</v>
      </c>
      <c r="D12" s="562"/>
      <c r="E12" s="563"/>
      <c r="F12" s="564"/>
      <c r="G12" s="565"/>
      <c r="H12" s="566"/>
      <c r="I12" s="566"/>
      <c r="J12" s="565"/>
      <c r="K12" s="567"/>
      <c r="L12" s="567">
        <v>48548</v>
      </c>
      <c r="M12" s="567"/>
      <c r="N12" s="570"/>
    </row>
    <row r="13" spans="2:14" ht="15" thickBot="1">
      <c r="B13" s="561"/>
      <c r="C13" s="469"/>
      <c r="D13" s="562"/>
      <c r="E13" s="563"/>
      <c r="F13" s="564"/>
      <c r="G13" s="565"/>
      <c r="H13" s="566"/>
      <c r="I13" s="566"/>
      <c r="J13" s="565"/>
      <c r="K13" s="567"/>
      <c r="L13" s="567"/>
      <c r="M13" s="567"/>
      <c r="N13" s="570"/>
    </row>
    <row r="14" spans="1:14" ht="15" thickBot="1">
      <c r="A14" s="112" t="s">
        <v>27</v>
      </c>
      <c r="B14" s="238" t="s">
        <v>473</v>
      </c>
      <c r="C14" s="571"/>
      <c r="D14" s="239"/>
      <c r="E14" s="220"/>
      <c r="F14" s="221"/>
      <c r="G14" s="534"/>
      <c r="H14" s="219"/>
      <c r="I14" s="219"/>
      <c r="J14" s="534"/>
      <c r="K14" s="572"/>
      <c r="L14" s="572">
        <f>SUM(L12:L13)</f>
        <v>48548</v>
      </c>
      <c r="M14" s="572"/>
      <c r="N14" s="573"/>
    </row>
    <row r="15" spans="2:14" ht="15">
      <c r="B15" s="574"/>
      <c r="C15" s="575"/>
      <c r="D15" s="575"/>
      <c r="E15" s="576"/>
      <c r="F15" s="577"/>
      <c r="G15" s="533"/>
      <c r="H15" s="215"/>
      <c r="I15" s="215"/>
      <c r="J15" s="536"/>
      <c r="K15" s="223"/>
      <c r="L15" s="223"/>
      <c r="M15" s="225"/>
      <c r="N15" s="225"/>
    </row>
    <row r="16" spans="1:14" ht="15">
      <c r="A16" s="112" t="s">
        <v>28</v>
      </c>
      <c r="B16" s="235" t="s">
        <v>171</v>
      </c>
      <c r="C16" s="230"/>
      <c r="D16" s="230"/>
      <c r="E16" s="216"/>
      <c r="F16" s="217"/>
      <c r="G16" s="533"/>
      <c r="H16" s="215"/>
      <c r="I16" s="215"/>
      <c r="J16" s="217"/>
      <c r="K16" s="223"/>
      <c r="L16" s="223"/>
      <c r="M16" s="225"/>
      <c r="N16" s="225"/>
    </row>
    <row r="17" spans="2:14" ht="7.5" customHeight="1">
      <c r="B17" s="234"/>
      <c r="C17" s="230"/>
      <c r="D17" s="230"/>
      <c r="E17" s="216"/>
      <c r="F17" s="217"/>
      <c r="G17" s="533"/>
      <c r="H17" s="215"/>
      <c r="I17" s="215"/>
      <c r="J17" s="217"/>
      <c r="K17" s="223"/>
      <c r="L17" s="223"/>
      <c r="M17" s="225"/>
      <c r="N17" s="225"/>
    </row>
    <row r="18" spans="1:14" ht="15">
      <c r="A18" s="112" t="s">
        <v>29</v>
      </c>
      <c r="B18" s="229"/>
      <c r="C18" s="231" t="str">
        <f>+C6</f>
        <v>"BATTONYA 2027" kötvény</v>
      </c>
      <c r="D18" s="230"/>
      <c r="E18" s="216"/>
      <c r="F18" s="217"/>
      <c r="G18" s="533"/>
      <c r="H18" s="215">
        <f>+I18+J18</f>
        <v>7644</v>
      </c>
      <c r="I18" s="215">
        <v>5096</v>
      </c>
      <c r="J18" s="217">
        <v>2548</v>
      </c>
      <c r="K18" s="223">
        <f>+9_mell!F14</f>
        <v>1867</v>
      </c>
      <c r="L18" s="223">
        <v>0</v>
      </c>
      <c r="M18" s="223">
        <v>0</v>
      </c>
      <c r="N18" s="223">
        <v>0</v>
      </c>
    </row>
    <row r="19" spans="2:14" ht="9" customHeight="1">
      <c r="B19" s="585"/>
      <c r="C19" s="231"/>
      <c r="D19" s="230"/>
      <c r="E19" s="216"/>
      <c r="F19" s="586"/>
      <c r="G19" s="533"/>
      <c r="H19" s="215"/>
      <c r="I19" s="215"/>
      <c r="J19" s="217"/>
      <c r="K19" s="223"/>
      <c r="L19" s="223"/>
      <c r="M19" s="223"/>
      <c r="N19" s="223"/>
    </row>
    <row r="20" spans="1:14" ht="60">
      <c r="A20" s="112" t="s">
        <v>30</v>
      </c>
      <c r="B20" s="587"/>
      <c r="C20" s="231" t="s">
        <v>168</v>
      </c>
      <c r="D20" s="231" t="s">
        <v>169</v>
      </c>
      <c r="E20" s="216"/>
      <c r="F20" s="588"/>
      <c r="G20" s="533"/>
      <c r="H20" s="215">
        <f>+I20+J20</f>
        <v>6450</v>
      </c>
      <c r="I20" s="215">
        <v>4300</v>
      </c>
      <c r="J20" s="217">
        <v>2150</v>
      </c>
      <c r="K20" s="223">
        <f>+9_mell!F13</f>
        <v>1200</v>
      </c>
      <c r="L20" s="223">
        <v>0</v>
      </c>
      <c r="M20" s="225">
        <v>0</v>
      </c>
      <c r="N20" s="225">
        <v>0</v>
      </c>
    </row>
    <row r="21" spans="2:14" ht="7.5" customHeight="1" thickBot="1">
      <c r="B21" s="578"/>
      <c r="C21" s="579"/>
      <c r="D21" s="579"/>
      <c r="E21" s="580"/>
      <c r="F21" s="581"/>
      <c r="G21" s="533"/>
      <c r="H21" s="215"/>
      <c r="I21" s="215"/>
      <c r="J21" s="217"/>
      <c r="K21" s="223"/>
      <c r="L21" s="223"/>
      <c r="M21" s="225"/>
      <c r="N21" s="226"/>
    </row>
    <row r="22" spans="1:14" ht="15" thickBot="1">
      <c r="A22" s="112" t="s">
        <v>31</v>
      </c>
      <c r="B22" s="238" t="s">
        <v>172</v>
      </c>
      <c r="C22" s="239"/>
      <c r="D22" s="239"/>
      <c r="E22" s="220"/>
      <c r="F22" s="221"/>
      <c r="G22" s="534"/>
      <c r="H22" s="219">
        <f aca="true" t="shared" si="1" ref="H22:N22">SUM(H18:H21)</f>
        <v>14094</v>
      </c>
      <c r="I22" s="219">
        <f t="shared" si="1"/>
        <v>9396</v>
      </c>
      <c r="J22" s="219">
        <f t="shared" si="1"/>
        <v>4698</v>
      </c>
      <c r="K22" s="219">
        <f t="shared" si="1"/>
        <v>3067</v>
      </c>
      <c r="L22" s="219">
        <f>SUM(L18:L21)</f>
        <v>0</v>
      </c>
      <c r="M22" s="219">
        <f t="shared" si="1"/>
        <v>0</v>
      </c>
      <c r="N22" s="407">
        <f t="shared" si="1"/>
        <v>0</v>
      </c>
    </row>
    <row r="23" spans="2:14" ht="9" customHeight="1" thickBot="1">
      <c r="B23" s="229"/>
      <c r="C23" s="230"/>
      <c r="D23" s="230"/>
      <c r="E23" s="216"/>
      <c r="F23" s="217"/>
      <c r="G23" s="533"/>
      <c r="H23" s="215"/>
      <c r="I23" s="215"/>
      <c r="J23" s="217"/>
      <c r="K23" s="223"/>
      <c r="L23" s="223"/>
      <c r="M23" s="225"/>
      <c r="N23" s="225"/>
    </row>
    <row r="24" spans="1:14" ht="15" thickBot="1">
      <c r="A24" s="112" t="s">
        <v>32</v>
      </c>
      <c r="B24" s="238" t="s">
        <v>173</v>
      </c>
      <c r="C24" s="239"/>
      <c r="D24" s="239"/>
      <c r="E24" s="220"/>
      <c r="F24" s="221"/>
      <c r="G24" s="534"/>
      <c r="H24" s="219">
        <f aca="true" t="shared" si="2" ref="H24:N24">H22+H9</f>
        <v>39552</v>
      </c>
      <c r="I24" s="219">
        <f t="shared" si="2"/>
        <v>25668</v>
      </c>
      <c r="J24" s="219">
        <f t="shared" si="2"/>
        <v>13884</v>
      </c>
      <c r="K24" s="219">
        <f t="shared" si="2"/>
        <v>235849.4086136</v>
      </c>
      <c r="L24" s="219">
        <f>L22+L9+L14</f>
        <v>48548</v>
      </c>
      <c r="M24" s="219">
        <f t="shared" si="2"/>
        <v>0</v>
      </c>
      <c r="N24" s="407">
        <f t="shared" si="2"/>
        <v>0</v>
      </c>
    </row>
    <row r="25" spans="2:14" ht="15">
      <c r="B25" s="113"/>
      <c r="C25" s="113"/>
      <c r="D25" s="113"/>
      <c r="E25" s="115"/>
      <c r="F25" s="115"/>
      <c r="G25" s="115"/>
      <c r="H25" s="115"/>
      <c r="I25" s="115"/>
      <c r="J25" s="115"/>
      <c r="K25" s="115"/>
      <c r="L25" s="115"/>
      <c r="M25" s="114"/>
      <c r="N25" s="114"/>
    </row>
    <row r="26" spans="5:14" ht="14.25"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10/2014.(VI.27.)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29" sqref="E29"/>
    </sheetView>
  </sheetViews>
  <sheetFormatPr defaultColWidth="9.140625" defaultRowHeight="12.75"/>
  <cols>
    <col min="1" max="1" width="9.28125" style="85" bestFit="1" customWidth="1"/>
    <col min="2" max="4" width="10.28125" style="85" bestFit="1" customWidth="1"/>
    <col min="5" max="7" width="9.421875" style="85" bestFit="1" customWidth="1"/>
    <col min="8" max="8" width="11.28125" style="676" bestFit="1" customWidth="1"/>
    <col min="9" max="9" width="10.28125" style="85" bestFit="1" customWidth="1"/>
    <col min="10" max="10" width="11.140625" style="85" bestFit="1" customWidth="1"/>
    <col min="11" max="11" width="9.28125" style="85" bestFit="1" customWidth="1"/>
    <col min="12" max="12" width="15.8515625" style="85" customWidth="1"/>
    <col min="13" max="13" width="9.140625" style="85" customWidth="1"/>
    <col min="14" max="14" width="9.28125" style="85" bestFit="1" customWidth="1"/>
    <col min="15" max="16384" width="9.140625" style="85" customWidth="1"/>
  </cols>
  <sheetData>
    <row r="1" spans="8:11" ht="12.75">
      <c r="H1" s="676" t="s">
        <v>571</v>
      </c>
      <c r="J1" s="85" t="s">
        <v>668</v>
      </c>
      <c r="K1" s="85" t="s">
        <v>57</v>
      </c>
    </row>
    <row r="2" spans="1:14" ht="12.75">
      <c r="A2" s="85" t="s">
        <v>621</v>
      </c>
      <c r="B2" s="85">
        <v>11825714</v>
      </c>
      <c r="C2" s="85">
        <v>3441345</v>
      </c>
      <c r="D2" s="85">
        <v>2702070</v>
      </c>
      <c r="E2" s="85">
        <v>2118482</v>
      </c>
      <c r="F2" s="85">
        <v>330102</v>
      </c>
      <c r="G2" s="85">
        <v>1157596</v>
      </c>
      <c r="H2" s="676">
        <f>SUM(B2:G2)</f>
        <v>21575309</v>
      </c>
      <c r="J2" s="85">
        <f>+H2/1.135</f>
        <v>19009082.81938326</v>
      </c>
      <c r="K2" s="85">
        <f>+J2*13.5%</f>
        <v>2566226.18061674</v>
      </c>
      <c r="L2" s="85">
        <f>SUM(J2:K2)</f>
        <v>21575309</v>
      </c>
      <c r="N2" s="85">
        <f>+L2-H2</f>
        <v>0</v>
      </c>
    </row>
    <row r="3" spans="1:12" ht="12.75">
      <c r="A3" s="708">
        <v>41759</v>
      </c>
      <c r="B3" s="85">
        <v>12583617</v>
      </c>
      <c r="C3" s="85">
        <v>3843478</v>
      </c>
      <c r="D3" s="85">
        <v>2699436</v>
      </c>
      <c r="E3" s="85">
        <v>2040904</v>
      </c>
      <c r="F3" s="85">
        <v>330102</v>
      </c>
      <c r="G3" s="85">
        <v>1147661</v>
      </c>
      <c r="H3" s="676">
        <f>SUM(B3:G3)</f>
        <v>22645198</v>
      </c>
      <c r="J3" s="85">
        <f>+H3/1.135</f>
        <v>19951716.29955947</v>
      </c>
      <c r="K3" s="85">
        <f>+J3*13.5%</f>
        <v>2693481.700440529</v>
      </c>
      <c r="L3" s="85">
        <f>SUM(J3:K3)</f>
        <v>22645198</v>
      </c>
    </row>
    <row r="4" spans="1:12" ht="12.75">
      <c r="A4" s="708">
        <v>41729</v>
      </c>
      <c r="B4" s="85">
        <v>12695902</v>
      </c>
      <c r="C4" s="85">
        <v>3972227</v>
      </c>
      <c r="D4" s="85">
        <v>2803431</v>
      </c>
      <c r="E4" s="85">
        <v>2095135</v>
      </c>
      <c r="F4" s="85">
        <v>328322</v>
      </c>
      <c r="G4" s="85">
        <v>1147815</v>
      </c>
      <c r="H4" s="676">
        <f>SUM(B4:G4)</f>
        <v>23042832</v>
      </c>
      <c r="J4" s="85">
        <f>+H4/1.135</f>
        <v>20302054.62555066</v>
      </c>
      <c r="K4" s="85">
        <f>+J4*13.5%</f>
        <v>2740777.374449339</v>
      </c>
      <c r="L4" s="85">
        <f>SUM(J4:K4)</f>
        <v>23042832</v>
      </c>
    </row>
    <row r="5" spans="1:12" ht="12.75">
      <c r="A5" s="708">
        <v>41698</v>
      </c>
      <c r="B5" s="85">
        <v>12744846</v>
      </c>
      <c r="C5" s="85">
        <v>3878193</v>
      </c>
      <c r="D5" s="85">
        <v>2622843</v>
      </c>
      <c r="E5" s="85">
        <v>2676849</v>
      </c>
      <c r="F5" s="85">
        <v>330102</v>
      </c>
      <c r="G5" s="85">
        <v>1681075</v>
      </c>
      <c r="H5" s="676">
        <f>SUM(B5:G5)</f>
        <v>23933908</v>
      </c>
      <c r="J5" s="85">
        <f>+H5/1.135</f>
        <v>21087143.612334803</v>
      </c>
      <c r="K5" s="85">
        <f>+J5*13.5%</f>
        <v>2846764.3876651987</v>
      </c>
      <c r="L5" s="85">
        <f>SUM(J5:K5)</f>
        <v>23933908</v>
      </c>
    </row>
    <row r="6" spans="1:12" ht="12.75">
      <c r="A6" s="708">
        <v>41676</v>
      </c>
      <c r="B6" s="85">
        <v>12303792</v>
      </c>
      <c r="C6" s="85">
        <v>3857895</v>
      </c>
      <c r="D6" s="85">
        <v>4093606</v>
      </c>
      <c r="H6" s="676">
        <f>SUM(B6:G6)</f>
        <v>20255293</v>
      </c>
      <c r="J6" s="85">
        <f>+H6/1.135</f>
        <v>17846073.127753302</v>
      </c>
      <c r="K6" s="85">
        <f>+J6*13.5%</f>
        <v>2409219.872246696</v>
      </c>
      <c r="L6" s="85">
        <f>SUM(J6:K6)</f>
        <v>20255293</v>
      </c>
    </row>
    <row r="8" spans="2:8" ht="12.75">
      <c r="B8" s="85">
        <f aca="true" t="shared" si="0" ref="B8:H8">SUM(B2:B7)</f>
        <v>62153871</v>
      </c>
      <c r="C8" s="85">
        <f t="shared" si="0"/>
        <v>18993138</v>
      </c>
      <c r="D8" s="85">
        <f t="shared" si="0"/>
        <v>14921386</v>
      </c>
      <c r="E8" s="85">
        <f t="shared" si="0"/>
        <v>8931370</v>
      </c>
      <c r="F8" s="85">
        <f t="shared" si="0"/>
        <v>1318628</v>
      </c>
      <c r="G8" s="85">
        <f t="shared" si="0"/>
        <v>5134147</v>
      </c>
      <c r="H8" s="85">
        <f t="shared" si="0"/>
        <v>111452540</v>
      </c>
    </row>
    <row r="9" ht="12.75">
      <c r="H9" s="676">
        <f>SUM(B8:G8)</f>
        <v>111452540</v>
      </c>
    </row>
    <row r="11" spans="8:9" ht="12.75">
      <c r="H11" s="676">
        <f>+H9/113.5%</f>
        <v>98196070.4845815</v>
      </c>
      <c r="I11" s="85">
        <f>+H11*13.5%</f>
        <v>13256469.515418503</v>
      </c>
    </row>
    <row r="13" ht="12.75">
      <c r="H13" s="676">
        <v>98196</v>
      </c>
    </row>
    <row r="14" ht="12.75">
      <c r="H14" s="676">
        <v>13257</v>
      </c>
    </row>
    <row r="15" ht="12.75">
      <c r="H15" s="676">
        <f>SUM(H13:H14)</f>
        <v>111453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E45" sqref="E45"/>
    </sheetView>
  </sheetViews>
  <sheetFormatPr defaultColWidth="9.140625" defaultRowHeight="12.75"/>
  <cols>
    <col min="1" max="1" width="14.28125" style="0" bestFit="1" customWidth="1"/>
    <col min="2" max="2" width="14.00390625" style="0" customWidth="1"/>
    <col min="8" max="8" width="9.57421875" style="0" bestFit="1" customWidth="1"/>
    <col min="9" max="9" width="10.7109375" style="0" bestFit="1" customWidth="1"/>
    <col min="13" max="13" width="5.57421875" style="0" customWidth="1"/>
    <col min="14" max="15" width="9.140625" style="0" hidden="1" customWidth="1"/>
  </cols>
  <sheetData>
    <row r="1" spans="4:15" ht="12.75">
      <c r="D1">
        <f>+D2/2</f>
        <v>1526.3</v>
      </c>
      <c r="E1" t="s">
        <v>585</v>
      </c>
      <c r="F1" t="s">
        <v>586</v>
      </c>
      <c r="G1" t="s">
        <v>588</v>
      </c>
      <c r="H1" t="s">
        <v>589</v>
      </c>
      <c r="I1" t="s">
        <v>590</v>
      </c>
      <c r="J1" t="s">
        <v>591</v>
      </c>
      <c r="K1" t="s">
        <v>592</v>
      </c>
      <c r="L1" t="s">
        <v>566</v>
      </c>
      <c r="M1" t="s">
        <v>567</v>
      </c>
      <c r="N1" t="s">
        <v>573</v>
      </c>
      <c r="O1" t="s">
        <v>574</v>
      </c>
    </row>
    <row r="2" ht="12.75">
      <c r="D2">
        <f>+D3/5</f>
        <v>3052.6</v>
      </c>
    </row>
    <row r="3" spans="1:17" ht="12.75">
      <c r="A3" t="s">
        <v>669</v>
      </c>
      <c r="B3" t="s">
        <v>670</v>
      </c>
      <c r="C3" t="s">
        <v>542</v>
      </c>
      <c r="D3">
        <v>15263</v>
      </c>
      <c r="E3">
        <v>1526</v>
      </c>
      <c r="F3">
        <v>3053</v>
      </c>
      <c r="G3">
        <f>+F3</f>
        <v>3053</v>
      </c>
      <c r="H3">
        <f>+G3</f>
        <v>3053</v>
      </c>
      <c r="I3">
        <f>+H3</f>
        <v>3053</v>
      </c>
      <c r="J3">
        <v>1525</v>
      </c>
      <c r="P3">
        <f>SUM(E3:O3)</f>
        <v>15263</v>
      </c>
      <c r="Q3">
        <f>+P3-D3</f>
        <v>0</v>
      </c>
    </row>
    <row r="4" spans="3:17" ht="12.75">
      <c r="C4" t="s">
        <v>57</v>
      </c>
      <c r="D4">
        <v>2060</v>
      </c>
      <c r="E4">
        <v>206</v>
      </c>
      <c r="F4">
        <v>412</v>
      </c>
      <c r="G4">
        <v>412</v>
      </c>
      <c r="H4">
        <v>412</v>
      </c>
      <c r="I4">
        <v>412</v>
      </c>
      <c r="J4">
        <v>206</v>
      </c>
      <c r="P4">
        <f>SUM(E4:O4)</f>
        <v>2060</v>
      </c>
      <c r="Q4">
        <f>+P4-D4</f>
        <v>0</v>
      </c>
    </row>
    <row r="5" spans="3:17" ht="12.75">
      <c r="C5" s="707" t="s">
        <v>58</v>
      </c>
      <c r="D5" s="707">
        <v>3464</v>
      </c>
      <c r="E5" s="707"/>
      <c r="F5" s="707">
        <v>2500</v>
      </c>
      <c r="G5" s="707">
        <v>964</v>
      </c>
      <c r="H5" s="707"/>
      <c r="I5" s="707"/>
      <c r="J5" s="707"/>
      <c r="K5" s="707"/>
      <c r="L5" s="707"/>
      <c r="M5" s="707"/>
      <c r="N5" s="707"/>
      <c r="O5" s="707"/>
      <c r="P5" s="707">
        <f>SUM(E5:O5)</f>
        <v>3464</v>
      </c>
      <c r="Q5" s="707">
        <f>+P5-D5</f>
        <v>0</v>
      </c>
    </row>
    <row r="6" spans="3:17" ht="12.75">
      <c r="C6" s="82" t="s">
        <v>61</v>
      </c>
      <c r="D6" s="82">
        <f>SUM(D3:D5)</f>
        <v>20787</v>
      </c>
      <c r="E6" s="82">
        <f aca="true" t="shared" si="0" ref="E6:O6">SUM(E3:E5)</f>
        <v>1732</v>
      </c>
      <c r="F6" s="82">
        <f t="shared" si="0"/>
        <v>5965</v>
      </c>
      <c r="G6" s="82">
        <f t="shared" si="0"/>
        <v>4429</v>
      </c>
      <c r="H6" s="82">
        <f t="shared" si="0"/>
        <v>3465</v>
      </c>
      <c r="I6" s="82">
        <f t="shared" si="0"/>
        <v>3465</v>
      </c>
      <c r="J6" s="82">
        <f t="shared" si="0"/>
        <v>1731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>SUM(E6:O6)</f>
        <v>20787</v>
      </c>
      <c r="Q6" s="82">
        <f>+P6-D6</f>
        <v>0</v>
      </c>
    </row>
    <row r="8" spans="4:15" ht="12.75">
      <c r="D8">
        <f>+D9/2</f>
        <v>1387.7</v>
      </c>
      <c r="E8" t="s">
        <v>585</v>
      </c>
      <c r="F8" t="s">
        <v>586</v>
      </c>
      <c r="G8" t="s">
        <v>588</v>
      </c>
      <c r="H8" t="s">
        <v>589</v>
      </c>
      <c r="I8" t="s">
        <v>590</v>
      </c>
      <c r="J8" t="s">
        <v>591</v>
      </c>
      <c r="K8" t="s">
        <v>592</v>
      </c>
      <c r="L8" t="s">
        <v>566</v>
      </c>
      <c r="M8" t="s">
        <v>567</v>
      </c>
      <c r="N8" t="s">
        <v>573</v>
      </c>
      <c r="O8" t="s">
        <v>574</v>
      </c>
    </row>
    <row r="9" spans="1:4" ht="12.75">
      <c r="A9" t="s">
        <v>671</v>
      </c>
      <c r="B9" t="s">
        <v>670</v>
      </c>
      <c r="D9">
        <f>+D10/5</f>
        <v>2775.4</v>
      </c>
    </row>
    <row r="10" spans="3:17" ht="12.75">
      <c r="C10" t="s">
        <v>542</v>
      </c>
      <c r="D10">
        <v>13877</v>
      </c>
      <c r="E10">
        <v>1388</v>
      </c>
      <c r="F10">
        <v>2775</v>
      </c>
      <c r="G10">
        <f>+F10</f>
        <v>2775</v>
      </c>
      <c r="H10">
        <f>+G10</f>
        <v>2775</v>
      </c>
      <c r="I10">
        <f>+H10</f>
        <v>2775</v>
      </c>
      <c r="J10">
        <v>1389</v>
      </c>
      <c r="P10">
        <f>SUM(E10:O10)</f>
        <v>13877</v>
      </c>
      <c r="Q10">
        <f>+P10-D10</f>
        <v>0</v>
      </c>
    </row>
    <row r="11" spans="3:17" ht="12.75">
      <c r="C11" t="s">
        <v>57</v>
      </c>
      <c r="D11">
        <v>1874</v>
      </c>
      <c r="E11">
        <v>187</v>
      </c>
      <c r="F11">
        <v>375</v>
      </c>
      <c r="G11">
        <v>375</v>
      </c>
      <c r="H11">
        <v>375</v>
      </c>
      <c r="I11">
        <v>375</v>
      </c>
      <c r="J11">
        <v>187</v>
      </c>
      <c r="P11">
        <f>SUM(E11:O11)</f>
        <v>1874</v>
      </c>
      <c r="Q11">
        <f>+P11-D11</f>
        <v>0</v>
      </c>
    </row>
    <row r="12" spans="3:17" ht="12.75">
      <c r="C12" s="707" t="s">
        <v>58</v>
      </c>
      <c r="D12" s="707">
        <v>3150</v>
      </c>
      <c r="E12" s="707"/>
      <c r="F12" s="707">
        <v>964</v>
      </c>
      <c r="G12" s="707">
        <v>2186</v>
      </c>
      <c r="H12" s="707"/>
      <c r="I12" s="707"/>
      <c r="J12" s="707"/>
      <c r="K12" s="707"/>
      <c r="L12" s="707"/>
      <c r="M12" s="707"/>
      <c r="N12" s="707"/>
      <c r="O12" s="707"/>
      <c r="P12" s="707">
        <f>SUM(E12:O12)</f>
        <v>3150</v>
      </c>
      <c r="Q12" s="707">
        <f>+P12-D12</f>
        <v>0</v>
      </c>
    </row>
    <row r="13" spans="3:17" ht="12.75">
      <c r="C13" s="82" t="s">
        <v>61</v>
      </c>
      <c r="D13" s="82">
        <f aca="true" t="shared" si="1" ref="D13:O13">SUM(D10:D12)</f>
        <v>18901</v>
      </c>
      <c r="E13" s="82">
        <f t="shared" si="1"/>
        <v>1575</v>
      </c>
      <c r="F13" s="82">
        <f t="shared" si="1"/>
        <v>4114</v>
      </c>
      <c r="G13" s="82">
        <f t="shared" si="1"/>
        <v>5336</v>
      </c>
      <c r="H13" s="82">
        <f t="shared" si="1"/>
        <v>3150</v>
      </c>
      <c r="I13" s="82">
        <f t="shared" si="1"/>
        <v>3150</v>
      </c>
      <c r="J13" s="82">
        <f t="shared" si="1"/>
        <v>1576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82">
        <f>SUM(E13:O13)</f>
        <v>18901</v>
      </c>
      <c r="Q13" s="82">
        <f>+P13-D13</f>
        <v>0</v>
      </c>
    </row>
    <row r="15" spans="4:15" ht="12.75">
      <c r="D15">
        <f>+D16/2</f>
        <v>885.8</v>
      </c>
      <c r="E15" t="s">
        <v>585</v>
      </c>
      <c r="F15" t="s">
        <v>586</v>
      </c>
      <c r="G15" t="s">
        <v>588</v>
      </c>
      <c r="H15" t="s">
        <v>589</v>
      </c>
      <c r="I15" t="s">
        <v>590</v>
      </c>
      <c r="J15" t="s">
        <v>591</v>
      </c>
      <c r="K15" t="s">
        <v>592</v>
      </c>
      <c r="L15" t="s">
        <v>566</v>
      </c>
      <c r="M15" t="s">
        <v>567</v>
      </c>
      <c r="N15" t="s">
        <v>573</v>
      </c>
      <c r="O15" t="s">
        <v>574</v>
      </c>
    </row>
    <row r="16" spans="1:4" ht="12.75">
      <c r="A16" t="s">
        <v>672</v>
      </c>
      <c r="B16" t="s">
        <v>673</v>
      </c>
      <c r="D16">
        <f>+D17/5</f>
        <v>1771.6</v>
      </c>
    </row>
    <row r="17" spans="3:17" ht="12.75">
      <c r="C17" t="s">
        <v>542</v>
      </c>
      <c r="D17">
        <v>8858</v>
      </c>
      <c r="G17">
        <v>1771</v>
      </c>
      <c r="H17">
        <f>+G17</f>
        <v>1771</v>
      </c>
      <c r="I17">
        <f>+H17</f>
        <v>1771</v>
      </c>
      <c r="J17">
        <f>+I17</f>
        <v>1771</v>
      </c>
      <c r="K17">
        <v>1774</v>
      </c>
      <c r="P17">
        <f>SUM(E17:O17)</f>
        <v>8858</v>
      </c>
      <c r="Q17">
        <f>+P17-D17</f>
        <v>0</v>
      </c>
    </row>
    <row r="18" spans="3:17" ht="12.75">
      <c r="C18" t="s">
        <v>57</v>
      </c>
      <c r="D18">
        <v>1192</v>
      </c>
      <c r="G18">
        <v>239</v>
      </c>
      <c r="H18">
        <v>239</v>
      </c>
      <c r="I18">
        <v>239</v>
      </c>
      <c r="J18">
        <v>239</v>
      </c>
      <c r="K18">
        <v>236</v>
      </c>
      <c r="P18">
        <f>SUM(E18:O18)</f>
        <v>1192</v>
      </c>
      <c r="Q18">
        <f>+P18-D18</f>
        <v>0</v>
      </c>
    </row>
    <row r="19" spans="3:17" ht="12.75">
      <c r="C19" s="707" t="s">
        <v>58</v>
      </c>
      <c r="D19" s="707">
        <v>2005</v>
      </c>
      <c r="E19" s="707"/>
      <c r="F19" s="707"/>
      <c r="G19" s="707">
        <v>1500</v>
      </c>
      <c r="H19" s="707">
        <v>505</v>
      </c>
      <c r="I19" s="707"/>
      <c r="J19" s="707"/>
      <c r="K19" s="707"/>
      <c r="L19" s="707"/>
      <c r="M19" s="707"/>
      <c r="N19" s="707"/>
      <c r="O19" s="707"/>
      <c r="P19" s="707">
        <f>SUM(E19:O19)</f>
        <v>2005</v>
      </c>
      <c r="Q19" s="707">
        <f>+P19-D19</f>
        <v>0</v>
      </c>
    </row>
    <row r="20" spans="3:17" ht="12.75">
      <c r="C20" s="82" t="s">
        <v>61</v>
      </c>
      <c r="D20" s="82">
        <f aca="true" t="shared" si="2" ref="D20:O20">SUM(D17:D19)</f>
        <v>12055</v>
      </c>
      <c r="E20" s="82">
        <f t="shared" si="2"/>
        <v>0</v>
      </c>
      <c r="F20" s="82">
        <f t="shared" si="2"/>
        <v>0</v>
      </c>
      <c r="G20" s="82">
        <f t="shared" si="2"/>
        <v>3510</v>
      </c>
      <c r="H20" s="82">
        <f t="shared" si="2"/>
        <v>2515</v>
      </c>
      <c r="I20" s="82">
        <f t="shared" si="2"/>
        <v>2010</v>
      </c>
      <c r="J20" s="82">
        <f t="shared" si="2"/>
        <v>2010</v>
      </c>
      <c r="K20" s="82">
        <f t="shared" si="2"/>
        <v>2010</v>
      </c>
      <c r="L20" s="82">
        <f t="shared" si="2"/>
        <v>0</v>
      </c>
      <c r="M20" s="82">
        <f t="shared" si="2"/>
        <v>0</v>
      </c>
      <c r="N20" s="82">
        <f t="shared" si="2"/>
        <v>0</v>
      </c>
      <c r="O20" s="82">
        <f t="shared" si="2"/>
        <v>0</v>
      </c>
      <c r="P20" s="82">
        <f>SUM(E20:O20)</f>
        <v>12055</v>
      </c>
      <c r="Q20" s="82">
        <f>+P20-D20</f>
        <v>0</v>
      </c>
    </row>
    <row r="23" spans="3:17" ht="12.75">
      <c r="C23" t="s">
        <v>61</v>
      </c>
      <c r="D23">
        <f>+D20+D13+D6</f>
        <v>51743</v>
      </c>
      <c r="E23">
        <f aca="true" t="shared" si="3" ref="E23:O23">+E20+E13+E6</f>
        <v>3307</v>
      </c>
      <c r="F23">
        <f t="shared" si="3"/>
        <v>10079</v>
      </c>
      <c r="G23">
        <f t="shared" si="3"/>
        <v>13275</v>
      </c>
      <c r="H23">
        <f t="shared" si="3"/>
        <v>9130</v>
      </c>
      <c r="I23">
        <f t="shared" si="3"/>
        <v>8625</v>
      </c>
      <c r="J23">
        <f t="shared" si="3"/>
        <v>5317</v>
      </c>
      <c r="K23">
        <f t="shared" si="3"/>
        <v>2010</v>
      </c>
      <c r="L23">
        <f t="shared" si="3"/>
        <v>0</v>
      </c>
      <c r="M23">
        <f t="shared" si="3"/>
        <v>0</v>
      </c>
      <c r="N23">
        <f t="shared" si="3"/>
        <v>0</v>
      </c>
      <c r="O23">
        <f t="shared" si="3"/>
        <v>0</v>
      </c>
      <c r="P23">
        <f>SUM(E23:O23)</f>
        <v>51743</v>
      </c>
      <c r="Q23">
        <f>+P23-D23</f>
        <v>0</v>
      </c>
    </row>
    <row r="24" spans="3:17" ht="12.75">
      <c r="C24" t="s">
        <v>542</v>
      </c>
      <c r="D24">
        <f>+D17+D10+D3</f>
        <v>37998</v>
      </c>
      <c r="E24">
        <f aca="true" t="shared" si="4" ref="E24:O24">+E17+E10+E3</f>
        <v>2914</v>
      </c>
      <c r="F24">
        <f t="shared" si="4"/>
        <v>5828</v>
      </c>
      <c r="G24">
        <f t="shared" si="4"/>
        <v>7599</v>
      </c>
      <c r="H24">
        <f t="shared" si="4"/>
        <v>7599</v>
      </c>
      <c r="I24">
        <f t="shared" si="4"/>
        <v>7599</v>
      </c>
      <c r="J24">
        <f t="shared" si="4"/>
        <v>4685</v>
      </c>
      <c r="K24">
        <f t="shared" si="4"/>
        <v>1774</v>
      </c>
      <c r="L24">
        <f t="shared" si="4"/>
        <v>0</v>
      </c>
      <c r="M24">
        <f t="shared" si="4"/>
        <v>0</v>
      </c>
      <c r="N24">
        <f t="shared" si="4"/>
        <v>0</v>
      </c>
      <c r="O24">
        <f t="shared" si="4"/>
        <v>0</v>
      </c>
      <c r="P24">
        <f>SUM(E24:O24)</f>
        <v>37998</v>
      </c>
      <c r="Q24">
        <f>+P24-D24</f>
        <v>0</v>
      </c>
    </row>
    <row r="25" spans="3:17" ht="12.75">
      <c r="C25" t="s">
        <v>57</v>
      </c>
      <c r="D25">
        <f aca="true" t="shared" si="5" ref="D25:K26">+D18+D11+D4</f>
        <v>5126</v>
      </c>
      <c r="E25">
        <f t="shared" si="5"/>
        <v>393</v>
      </c>
      <c r="F25">
        <f t="shared" si="5"/>
        <v>787</v>
      </c>
      <c r="G25">
        <f t="shared" si="5"/>
        <v>1026</v>
      </c>
      <c r="H25">
        <f t="shared" si="5"/>
        <v>1026</v>
      </c>
      <c r="I25">
        <f t="shared" si="5"/>
        <v>1026</v>
      </c>
      <c r="J25">
        <f t="shared" si="5"/>
        <v>632</v>
      </c>
      <c r="K25">
        <f t="shared" si="5"/>
        <v>236</v>
      </c>
      <c r="P25">
        <f>SUM(E25:O25)</f>
        <v>5126</v>
      </c>
      <c r="Q25">
        <f>+P25-D25</f>
        <v>0</v>
      </c>
    </row>
    <row r="26" spans="3:17" ht="12.75">
      <c r="C26" s="707" t="s">
        <v>58</v>
      </c>
      <c r="D26" s="707">
        <f t="shared" si="5"/>
        <v>8619</v>
      </c>
      <c r="E26" s="707">
        <f t="shared" si="5"/>
        <v>0</v>
      </c>
      <c r="F26" s="707">
        <f t="shared" si="5"/>
        <v>3464</v>
      </c>
      <c r="G26" s="707">
        <f t="shared" si="5"/>
        <v>4650</v>
      </c>
      <c r="H26" s="707">
        <f t="shared" si="5"/>
        <v>505</v>
      </c>
      <c r="I26" s="707">
        <f t="shared" si="5"/>
        <v>0</v>
      </c>
      <c r="J26" s="707">
        <f t="shared" si="5"/>
        <v>0</v>
      </c>
      <c r="K26" s="707">
        <f t="shared" si="5"/>
        <v>0</v>
      </c>
      <c r="L26" s="707"/>
      <c r="M26" s="707"/>
      <c r="N26" s="707"/>
      <c r="O26" s="707"/>
      <c r="P26" s="707">
        <f>SUM(E26:O26)</f>
        <v>8619</v>
      </c>
      <c r="Q26" s="707">
        <f>+P26-D26</f>
        <v>0</v>
      </c>
    </row>
    <row r="27" spans="4:17" ht="12.75">
      <c r="D27">
        <f>SUM(D24:D26)</f>
        <v>51743</v>
      </c>
      <c r="E27">
        <f aca="true" t="shared" si="6" ref="E27:Q27">SUM(E24:E26)</f>
        <v>3307</v>
      </c>
      <c r="F27">
        <f t="shared" si="6"/>
        <v>10079</v>
      </c>
      <c r="G27">
        <f t="shared" si="6"/>
        <v>13275</v>
      </c>
      <c r="H27">
        <f t="shared" si="6"/>
        <v>9130</v>
      </c>
      <c r="I27">
        <f t="shared" si="6"/>
        <v>8625</v>
      </c>
      <c r="J27">
        <f t="shared" si="6"/>
        <v>5317</v>
      </c>
      <c r="K27">
        <f t="shared" si="6"/>
        <v>2010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51743</v>
      </c>
      <c r="Q27">
        <f t="shared" si="6"/>
        <v>0</v>
      </c>
    </row>
    <row r="29" spans="4:16" ht="12.75">
      <c r="D29">
        <f>+D27-D23</f>
        <v>0</v>
      </c>
      <c r="E29">
        <f aca="true" t="shared" si="7" ref="E29:P29">+E27-E23</f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0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  <c r="P29">
        <f t="shared" si="7"/>
        <v>0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view="pageBreakPreview" zoomScale="60" workbookViewId="0" topLeftCell="A10">
      <selection activeCell="N63" sqref="N63"/>
    </sheetView>
  </sheetViews>
  <sheetFormatPr defaultColWidth="9.140625" defaultRowHeight="12.75"/>
  <cols>
    <col min="1" max="1" width="4.57421875" style="0" customWidth="1"/>
    <col min="2" max="2" width="18.28125" style="0" customWidth="1"/>
    <col min="14" max="14" width="18.7109375" style="0" bestFit="1" customWidth="1"/>
  </cols>
  <sheetData>
    <row r="1" spans="6:26" s="399" customFormat="1" ht="12.75">
      <c r="F1" s="713" t="s">
        <v>536</v>
      </c>
      <c r="G1" s="713"/>
      <c r="I1" s="713" t="s">
        <v>537</v>
      </c>
      <c r="J1" s="713"/>
      <c r="K1" s="661" t="s">
        <v>538</v>
      </c>
      <c r="L1" s="661" t="s">
        <v>539</v>
      </c>
      <c r="M1" s="662"/>
      <c r="N1" s="663"/>
      <c r="S1" s="713" t="s">
        <v>540</v>
      </c>
      <c r="T1" s="713"/>
      <c r="Y1" s="662"/>
      <c r="Z1" s="662">
        <f>+Y4-Y1</f>
        <v>0</v>
      </c>
    </row>
    <row r="2" spans="2:25" s="399" customFormat="1" ht="12.75">
      <c r="B2" s="664" t="s">
        <v>541</v>
      </c>
      <c r="C2" s="399" t="s">
        <v>542</v>
      </c>
      <c r="D2" s="661" t="s">
        <v>234</v>
      </c>
      <c r="E2" s="399" t="s">
        <v>58</v>
      </c>
      <c r="F2" s="399" t="s">
        <v>7</v>
      </c>
      <c r="G2" s="399" t="s">
        <v>39</v>
      </c>
      <c r="H2" s="399" t="s">
        <v>62</v>
      </c>
      <c r="I2" s="399" t="s">
        <v>543</v>
      </c>
      <c r="J2" s="399" t="s">
        <v>544</v>
      </c>
      <c r="K2" s="399" t="s">
        <v>545</v>
      </c>
      <c r="L2" s="399" t="s">
        <v>546</v>
      </c>
      <c r="M2" s="399" t="s">
        <v>61</v>
      </c>
      <c r="N2" s="663"/>
      <c r="O2" s="399" t="s">
        <v>547</v>
      </c>
      <c r="P2" s="399" t="s">
        <v>548</v>
      </c>
      <c r="Q2" s="399" t="s">
        <v>293</v>
      </c>
      <c r="R2" s="399" t="s">
        <v>265</v>
      </c>
      <c r="S2" s="399" t="s">
        <v>7</v>
      </c>
      <c r="T2" s="399" t="s">
        <v>9</v>
      </c>
      <c r="U2" s="399" t="s">
        <v>549</v>
      </c>
      <c r="V2" s="399" t="s">
        <v>550</v>
      </c>
      <c r="W2" s="399" t="s">
        <v>538</v>
      </c>
      <c r="Y2" s="399" t="s">
        <v>61</v>
      </c>
    </row>
    <row r="4" spans="13:26" ht="12.75">
      <c r="M4">
        <f aca="true" t="shared" si="0" ref="M4:M31">SUM(C4:L4)</f>
        <v>0</v>
      </c>
      <c r="N4">
        <f aca="true" t="shared" si="1" ref="N4:N31">+B4</f>
        <v>0</v>
      </c>
      <c r="Y4">
        <f aca="true" t="shared" si="2" ref="Y4:Y12">SUM(O4:X4)</f>
        <v>0</v>
      </c>
      <c r="Z4">
        <f aca="true" t="shared" si="3" ref="Z4:Z11">+Y4-M4</f>
        <v>0</v>
      </c>
    </row>
    <row r="5" spans="1:26" ht="25.5">
      <c r="A5">
        <v>1</v>
      </c>
      <c r="B5" s="84" t="s">
        <v>556</v>
      </c>
      <c r="C5">
        <v>503</v>
      </c>
      <c r="D5">
        <v>136</v>
      </c>
      <c r="M5">
        <f t="shared" si="0"/>
        <v>639</v>
      </c>
      <c r="N5" s="84" t="str">
        <f t="shared" si="1"/>
        <v>ágazati pótlék ESZESZ 1.065.374</v>
      </c>
      <c r="R5">
        <f>1065-426</f>
        <v>639</v>
      </c>
      <c r="Y5">
        <f t="shared" si="2"/>
        <v>639</v>
      </c>
      <c r="Z5">
        <f t="shared" si="3"/>
        <v>0</v>
      </c>
    </row>
    <row r="6" spans="1:26" ht="12.75">
      <c r="A6">
        <v>2</v>
      </c>
      <c r="B6" t="s">
        <v>557</v>
      </c>
      <c r="M6">
        <f t="shared" si="0"/>
        <v>0</v>
      </c>
      <c r="N6" t="str">
        <f t="shared" si="1"/>
        <v>bérkompenzáció</v>
      </c>
      <c r="R6">
        <v>1401</v>
      </c>
      <c r="Y6">
        <f t="shared" si="2"/>
        <v>1401</v>
      </c>
      <c r="Z6">
        <f t="shared" si="3"/>
        <v>1401</v>
      </c>
    </row>
    <row r="7" spans="2:26" ht="12.75">
      <c r="B7" s="161" t="s">
        <v>560</v>
      </c>
      <c r="C7">
        <v>40</v>
      </c>
      <c r="D7">
        <v>11</v>
      </c>
      <c r="M7">
        <f t="shared" si="0"/>
        <v>51</v>
      </c>
      <c r="N7" t="str">
        <f t="shared" si="1"/>
        <v>ÖK</v>
      </c>
      <c r="Y7">
        <f t="shared" si="2"/>
        <v>0</v>
      </c>
      <c r="Z7">
        <f t="shared" si="3"/>
        <v>-51</v>
      </c>
    </row>
    <row r="8" spans="2:26" ht="12.75">
      <c r="B8" s="161" t="s">
        <v>561</v>
      </c>
      <c r="C8">
        <v>469</v>
      </c>
      <c r="D8">
        <v>126</v>
      </c>
      <c r="M8">
        <f t="shared" si="0"/>
        <v>595</v>
      </c>
      <c r="N8" t="str">
        <f t="shared" si="1"/>
        <v>eszesz</v>
      </c>
      <c r="Y8">
        <f t="shared" si="2"/>
        <v>0</v>
      </c>
      <c r="Z8">
        <f t="shared" si="3"/>
        <v>-595</v>
      </c>
    </row>
    <row r="9" spans="2:26" ht="12.75">
      <c r="B9" s="161" t="s">
        <v>562</v>
      </c>
      <c r="C9">
        <v>370</v>
      </c>
      <c r="D9">
        <v>100</v>
      </c>
      <c r="M9">
        <f t="shared" si="0"/>
        <v>470</v>
      </c>
      <c r="N9" t="str">
        <f t="shared" si="1"/>
        <v>vsz</v>
      </c>
      <c r="Y9">
        <f t="shared" si="2"/>
        <v>0</v>
      </c>
      <c r="Z9">
        <f t="shared" si="3"/>
        <v>-470</v>
      </c>
    </row>
    <row r="10" spans="2:26" ht="12.75">
      <c r="B10" s="161" t="s">
        <v>563</v>
      </c>
      <c r="C10">
        <v>178</v>
      </c>
      <c r="D10">
        <v>48</v>
      </c>
      <c r="M10">
        <f t="shared" si="0"/>
        <v>226</v>
      </c>
      <c r="N10" t="str">
        <f t="shared" si="1"/>
        <v>ph</v>
      </c>
      <c r="Y10">
        <f t="shared" si="2"/>
        <v>0</v>
      </c>
      <c r="Z10">
        <f t="shared" si="3"/>
        <v>-226</v>
      </c>
    </row>
    <row r="11" spans="2:27" ht="12.75">
      <c r="B11" s="161" t="s">
        <v>564</v>
      </c>
      <c r="C11">
        <v>46</v>
      </c>
      <c r="D11">
        <v>13</v>
      </c>
      <c r="M11">
        <f t="shared" si="0"/>
        <v>59</v>
      </c>
      <c r="N11" t="str">
        <f t="shared" si="1"/>
        <v>könyvtár </v>
      </c>
      <c r="Y11">
        <f t="shared" si="2"/>
        <v>0</v>
      </c>
      <c r="Z11">
        <f t="shared" si="3"/>
        <v>-59</v>
      </c>
      <c r="AA11">
        <f>SUM(Z7:Z11)</f>
        <v>-1401</v>
      </c>
    </row>
    <row r="12" spans="1:26" ht="12.75">
      <c r="A12">
        <v>3</v>
      </c>
      <c r="B12" t="s">
        <v>559</v>
      </c>
      <c r="M12">
        <f t="shared" si="0"/>
        <v>0</v>
      </c>
      <c r="N12" t="str">
        <f t="shared" si="1"/>
        <v>egyes jövpótló</v>
      </c>
      <c r="R12">
        <f>59008-24129</f>
        <v>34879</v>
      </c>
      <c r="S12">
        <v>-34879</v>
      </c>
      <c r="Y12">
        <f t="shared" si="2"/>
        <v>0</v>
      </c>
      <c r="Z12">
        <f aca="true" t="shared" si="4" ref="Z12:Z31">+Y12-M12</f>
        <v>0</v>
      </c>
    </row>
    <row r="13" spans="1:26" ht="12.75">
      <c r="A13">
        <v>4</v>
      </c>
      <c r="B13" t="s">
        <v>554</v>
      </c>
      <c r="E13">
        <v>1010</v>
      </c>
      <c r="M13">
        <f t="shared" si="0"/>
        <v>1010</v>
      </c>
      <c r="N13" t="str">
        <f t="shared" si="1"/>
        <v>átmeneti ivóvízellátás</v>
      </c>
      <c r="R13">
        <v>1010</v>
      </c>
      <c r="Y13">
        <f>SUM(O13:X13)</f>
        <v>1010</v>
      </c>
      <c r="Z13">
        <f t="shared" si="4"/>
        <v>0</v>
      </c>
    </row>
    <row r="14" spans="1:26" ht="12.75">
      <c r="A14">
        <v>5</v>
      </c>
      <c r="B14" t="s">
        <v>614</v>
      </c>
      <c r="M14">
        <f t="shared" si="0"/>
        <v>0</v>
      </c>
      <c r="N14" t="str">
        <f t="shared" si="1"/>
        <v>könyvtár  </v>
      </c>
      <c r="Y14">
        <f>SUM(O14:X14)</f>
        <v>0</v>
      </c>
      <c r="Z14">
        <f t="shared" si="4"/>
        <v>0</v>
      </c>
    </row>
    <row r="15" spans="2:26" ht="25.5">
      <c r="B15" s="675" t="s">
        <v>551</v>
      </c>
      <c r="E15">
        <v>800</v>
      </c>
      <c r="M15">
        <f t="shared" si="0"/>
        <v>800</v>
      </c>
      <c r="N15" s="84" t="str">
        <f t="shared" si="1"/>
        <v>érdekeltségnövelő múzeum</v>
      </c>
      <c r="R15">
        <v>800</v>
      </c>
      <c r="Y15">
        <f>SUM(O15:X15)</f>
        <v>800</v>
      </c>
      <c r="Z15">
        <f t="shared" si="4"/>
        <v>0</v>
      </c>
    </row>
    <row r="16" spans="2:26" ht="12.75">
      <c r="B16" s="161" t="s">
        <v>552</v>
      </c>
      <c r="E16">
        <v>281</v>
      </c>
      <c r="M16">
        <f t="shared" si="0"/>
        <v>281</v>
      </c>
      <c r="N16" t="str">
        <f t="shared" si="1"/>
        <v>közműv. Érd.növ.</v>
      </c>
      <c r="R16">
        <v>281</v>
      </c>
      <c r="Y16">
        <f>SUM(O16:X16)</f>
        <v>281</v>
      </c>
      <c r="Z16">
        <f t="shared" si="4"/>
        <v>0</v>
      </c>
    </row>
    <row r="17" spans="2:26" ht="12.75">
      <c r="B17" s="161" t="s">
        <v>553</v>
      </c>
      <c r="E17">
        <v>338</v>
      </c>
      <c r="M17">
        <f t="shared" si="0"/>
        <v>338</v>
      </c>
      <c r="N17" t="str">
        <f t="shared" si="1"/>
        <v>könyvtári érd.növ.</v>
      </c>
      <c r="R17">
        <v>338</v>
      </c>
      <c r="Y17">
        <f>SUM(O17:X17)</f>
        <v>338</v>
      </c>
      <c r="Z17">
        <f t="shared" si="4"/>
        <v>0</v>
      </c>
    </row>
    <row r="18" spans="1:26" ht="12.75">
      <c r="A18">
        <v>6</v>
      </c>
      <c r="B18" t="s">
        <v>555</v>
      </c>
      <c r="M18">
        <f t="shared" si="0"/>
        <v>0</v>
      </c>
      <c r="N18" t="str">
        <f t="shared" si="1"/>
        <v>határátkelő</v>
      </c>
      <c r="R18">
        <v>885</v>
      </c>
      <c r="W18">
        <v>-885</v>
      </c>
      <c r="Y18">
        <f aca="true" t="shared" si="5" ref="Y18:Y31">SUM(O18:X18)</f>
        <v>0</v>
      </c>
      <c r="Z18">
        <f aca="true" t="shared" si="6" ref="Z18:Z24">+Y18-M18</f>
        <v>0</v>
      </c>
    </row>
    <row r="19" spans="1:26" ht="12.75">
      <c r="A19">
        <v>7</v>
      </c>
      <c r="B19" t="s">
        <v>558</v>
      </c>
      <c r="C19">
        <v>757</v>
      </c>
      <c r="D19">
        <v>209</v>
      </c>
      <c r="E19">
        <f>7+25</f>
        <v>32</v>
      </c>
      <c r="M19">
        <f t="shared" si="0"/>
        <v>998</v>
      </c>
      <c r="N19" t="str">
        <f t="shared" si="1"/>
        <v>EP választás</v>
      </c>
      <c r="S19">
        <v>998</v>
      </c>
      <c r="Y19">
        <f t="shared" si="5"/>
        <v>998</v>
      </c>
      <c r="Z19">
        <f t="shared" si="6"/>
        <v>0</v>
      </c>
    </row>
    <row r="20" spans="1:26" ht="12.75">
      <c r="A20">
        <v>8</v>
      </c>
      <c r="B20" s="674" t="s">
        <v>609</v>
      </c>
      <c r="M20">
        <f t="shared" si="0"/>
        <v>0</v>
      </c>
      <c r="N20" t="str">
        <f t="shared" si="1"/>
        <v>közmunka</v>
      </c>
      <c r="Y20">
        <f t="shared" si="5"/>
        <v>0</v>
      </c>
      <c r="Z20">
        <f t="shared" si="6"/>
        <v>0</v>
      </c>
    </row>
    <row r="21" spans="2:26" ht="12.75">
      <c r="B21" s="161" t="s">
        <v>610</v>
      </c>
      <c r="C21">
        <v>13877</v>
      </c>
      <c r="D21">
        <v>1874</v>
      </c>
      <c r="E21">
        <v>3150</v>
      </c>
      <c r="M21">
        <f t="shared" si="0"/>
        <v>18901</v>
      </c>
      <c r="N21" t="str">
        <f t="shared" si="1"/>
        <v>építőipari</v>
      </c>
      <c r="S21">
        <v>18901</v>
      </c>
      <c r="Y21">
        <f t="shared" si="5"/>
        <v>18901</v>
      </c>
      <c r="Z21">
        <f t="shared" si="6"/>
        <v>0</v>
      </c>
    </row>
    <row r="22" spans="2:26" ht="12.75">
      <c r="B22" s="161" t="s">
        <v>611</v>
      </c>
      <c r="C22">
        <v>15263</v>
      </c>
      <c r="D22">
        <v>2060</v>
      </c>
      <c r="E22">
        <v>3464</v>
      </c>
      <c r="M22">
        <f t="shared" si="0"/>
        <v>20787</v>
      </c>
      <c r="N22" t="str">
        <f t="shared" si="1"/>
        <v>közösségi tér</v>
      </c>
      <c r="S22">
        <v>20787</v>
      </c>
      <c r="Y22">
        <f t="shared" si="5"/>
        <v>20787</v>
      </c>
      <c r="Z22">
        <f t="shared" si="6"/>
        <v>0</v>
      </c>
    </row>
    <row r="23" spans="2:26" ht="12.75">
      <c r="B23" s="161" t="s">
        <v>612</v>
      </c>
      <c r="C23">
        <v>8858</v>
      </c>
      <c r="D23">
        <f>1196-4</f>
        <v>1192</v>
      </c>
      <c r="E23">
        <v>2005</v>
      </c>
      <c r="M23">
        <f t="shared" si="0"/>
        <v>12055</v>
      </c>
      <c r="N23" t="str">
        <f t="shared" si="1"/>
        <v>favágó és faültető</v>
      </c>
      <c r="S23">
        <v>12055</v>
      </c>
      <c r="Y23">
        <f t="shared" si="5"/>
        <v>12055</v>
      </c>
      <c r="Z23">
        <f t="shared" si="6"/>
        <v>0</v>
      </c>
    </row>
    <row r="24" spans="2:26" ht="12.75">
      <c r="B24" s="161" t="s">
        <v>613</v>
      </c>
      <c r="E24">
        <v>1689</v>
      </c>
      <c r="M24">
        <f t="shared" si="0"/>
        <v>1689</v>
      </c>
      <c r="N24" t="str">
        <f t="shared" si="1"/>
        <v>eszközök</v>
      </c>
      <c r="W24">
        <v>1689</v>
      </c>
      <c r="Y24">
        <f t="shared" si="5"/>
        <v>1689</v>
      </c>
      <c r="Z24">
        <f t="shared" si="6"/>
        <v>0</v>
      </c>
    </row>
    <row r="25" spans="1:25" ht="25.5">
      <c r="A25">
        <v>9</v>
      </c>
      <c r="B25" s="675" t="s">
        <v>622</v>
      </c>
      <c r="C25">
        <v>98196</v>
      </c>
      <c r="D25">
        <v>13257</v>
      </c>
      <c r="M25">
        <f t="shared" si="0"/>
        <v>111453</v>
      </c>
      <c r="N25" s="84" t="str">
        <f t="shared" si="1"/>
        <v>13 évről áthúzódó közmunka</v>
      </c>
      <c r="S25">
        <v>111453</v>
      </c>
      <c r="Y25">
        <f t="shared" si="5"/>
        <v>111453</v>
      </c>
    </row>
    <row r="26" spans="1:26" ht="12.75">
      <c r="A26">
        <v>10</v>
      </c>
      <c r="B26" s="161" t="s">
        <v>616</v>
      </c>
      <c r="E26">
        <v>7175</v>
      </c>
      <c r="M26">
        <f t="shared" si="0"/>
        <v>7175</v>
      </c>
      <c r="N26" t="str">
        <f t="shared" si="1"/>
        <v>szoc.nyári gy.étk.</v>
      </c>
      <c r="R26">
        <v>7175</v>
      </c>
      <c r="Y26">
        <f t="shared" si="5"/>
        <v>7175</v>
      </c>
      <c r="Z26">
        <f t="shared" si="4"/>
        <v>0</v>
      </c>
    </row>
    <row r="27" spans="2:26" ht="38.25">
      <c r="B27" s="675" t="s">
        <v>627</v>
      </c>
      <c r="F27">
        <v>280</v>
      </c>
      <c r="M27">
        <f t="shared" si="0"/>
        <v>280</v>
      </c>
      <c r="N27" s="84" t="str">
        <f t="shared" si="1"/>
        <v>infra    tám ,megelőlegezés ÖK könyvtárnak</v>
      </c>
      <c r="W27">
        <v>280</v>
      </c>
      <c r="Y27">
        <f t="shared" si="5"/>
        <v>280</v>
      </c>
      <c r="Z27">
        <f t="shared" si="4"/>
        <v>0</v>
      </c>
    </row>
    <row r="28" spans="2:26" ht="12.75">
      <c r="B28" s="161" t="s">
        <v>628</v>
      </c>
      <c r="E28">
        <v>280</v>
      </c>
      <c r="M28">
        <f t="shared" si="0"/>
        <v>280</v>
      </c>
      <c r="N28" t="str">
        <f t="shared" si="1"/>
        <v>könyvtár</v>
      </c>
      <c r="S28">
        <v>280</v>
      </c>
      <c r="Y28">
        <f t="shared" si="5"/>
        <v>280</v>
      </c>
      <c r="Z28">
        <f t="shared" si="4"/>
        <v>0</v>
      </c>
    </row>
    <row r="29" spans="2:26" ht="12.75">
      <c r="B29" s="161" t="s">
        <v>623</v>
      </c>
      <c r="M29">
        <f t="shared" si="0"/>
        <v>0</v>
      </c>
      <c r="N29" s="84" t="str">
        <f t="shared" si="1"/>
        <v>MAZSIHISZ</v>
      </c>
      <c r="S29">
        <v>39</v>
      </c>
      <c r="W29">
        <v>-39</v>
      </c>
      <c r="Y29">
        <f t="shared" si="5"/>
        <v>0</v>
      </c>
      <c r="Z29">
        <f t="shared" si="4"/>
        <v>0</v>
      </c>
    </row>
    <row r="30" spans="2:26" ht="12.75">
      <c r="B30" s="161" t="s">
        <v>660</v>
      </c>
      <c r="C30">
        <f>200*6+83</f>
        <v>1283</v>
      </c>
      <c r="D30">
        <f>324+43</f>
        <v>367</v>
      </c>
      <c r="M30">
        <f t="shared" si="0"/>
        <v>1650</v>
      </c>
      <c r="N30" s="84" t="str">
        <f t="shared" si="1"/>
        <v>pénzügy 1 fő </v>
      </c>
      <c r="W30">
        <v>1650</v>
      </c>
      <c r="Y30">
        <f t="shared" si="5"/>
        <v>1650</v>
      </c>
      <c r="Z30">
        <f t="shared" si="4"/>
        <v>0</v>
      </c>
    </row>
    <row r="31" spans="2:26" ht="25.5">
      <c r="B31" s="161" t="s">
        <v>626</v>
      </c>
      <c r="C31">
        <v>50</v>
      </c>
      <c r="D31">
        <v>13</v>
      </c>
      <c r="E31">
        <v>59</v>
      </c>
      <c r="M31">
        <f t="shared" si="0"/>
        <v>122</v>
      </c>
      <c r="N31" s="84" t="str">
        <f t="shared" si="1"/>
        <v>Ogyi képviselő választás</v>
      </c>
      <c r="S31">
        <v>122</v>
      </c>
      <c r="Y31">
        <f t="shared" si="5"/>
        <v>122</v>
      </c>
      <c r="Z31">
        <f t="shared" si="4"/>
        <v>0</v>
      </c>
    </row>
    <row r="32" spans="2:27" ht="12.75">
      <c r="B32" s="161" t="s">
        <v>565</v>
      </c>
      <c r="C32">
        <f>SUM(C5:C31)</f>
        <v>139890</v>
      </c>
      <c r="D32">
        <f aca="true" t="shared" si="7" ref="D32:AA32">SUM(D5:D31)</f>
        <v>19406</v>
      </c>
      <c r="E32">
        <f t="shared" si="7"/>
        <v>20283</v>
      </c>
      <c r="F32">
        <f t="shared" si="7"/>
        <v>280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179859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47408</v>
      </c>
      <c r="S32">
        <f t="shared" si="7"/>
        <v>129756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2695</v>
      </c>
      <c r="X32">
        <f t="shared" si="7"/>
        <v>0</v>
      </c>
      <c r="Y32">
        <f t="shared" si="7"/>
        <v>179859</v>
      </c>
      <c r="Z32">
        <f t="shared" si="7"/>
        <v>0</v>
      </c>
      <c r="AA32">
        <f t="shared" si="7"/>
        <v>-1401</v>
      </c>
    </row>
    <row r="33" spans="3:13" ht="12.75">
      <c r="C33">
        <v>271575</v>
      </c>
      <c r="D33">
        <v>66881</v>
      </c>
      <c r="E33">
        <v>292068</v>
      </c>
      <c r="F33">
        <v>183697</v>
      </c>
      <c r="I33">
        <v>80776</v>
      </c>
      <c r="M33">
        <f>SUM(C33:L33)</f>
        <v>894997</v>
      </c>
    </row>
    <row r="34" spans="2:13" ht="12.75">
      <c r="B34" s="161" t="s">
        <v>61</v>
      </c>
      <c r="C34">
        <f>SUM(C32:C33)</f>
        <v>411465</v>
      </c>
      <c r="D34">
        <f aca="true" t="shared" si="8" ref="D34:M34">SUM(D32:D33)</f>
        <v>86287</v>
      </c>
      <c r="E34">
        <f t="shared" si="8"/>
        <v>312351</v>
      </c>
      <c r="F34">
        <f t="shared" si="8"/>
        <v>183977</v>
      </c>
      <c r="G34">
        <f t="shared" si="8"/>
        <v>0</v>
      </c>
      <c r="H34">
        <f t="shared" si="8"/>
        <v>0</v>
      </c>
      <c r="I34">
        <f t="shared" si="8"/>
        <v>80776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1074856</v>
      </c>
    </row>
    <row r="35" spans="6:26" s="399" customFormat="1" ht="12.75">
      <c r="F35" s="713" t="s">
        <v>536</v>
      </c>
      <c r="G35" s="713"/>
      <c r="I35" s="713" t="s">
        <v>537</v>
      </c>
      <c r="J35" s="713"/>
      <c r="K35" s="661" t="s">
        <v>538</v>
      </c>
      <c r="L35" s="661" t="s">
        <v>539</v>
      </c>
      <c r="M35" s="662"/>
      <c r="N35" s="663"/>
      <c r="S35" s="713" t="s">
        <v>540</v>
      </c>
      <c r="T35" s="713"/>
      <c r="Y35" s="662"/>
      <c r="Z35" s="662">
        <f>+Y38-Y35</f>
        <v>0</v>
      </c>
    </row>
    <row r="36" spans="2:25" s="399" customFormat="1" ht="12.75">
      <c r="B36" s="664" t="s">
        <v>541</v>
      </c>
      <c r="C36" s="399" t="s">
        <v>542</v>
      </c>
      <c r="D36" s="661" t="s">
        <v>234</v>
      </c>
      <c r="E36" s="399" t="s">
        <v>58</v>
      </c>
      <c r="F36" s="399" t="s">
        <v>7</v>
      </c>
      <c r="G36" s="399" t="s">
        <v>39</v>
      </c>
      <c r="H36" s="399" t="s">
        <v>62</v>
      </c>
      <c r="I36" s="399" t="s">
        <v>543</v>
      </c>
      <c r="J36" s="399" t="s">
        <v>544</v>
      </c>
      <c r="K36" s="399" t="s">
        <v>545</v>
      </c>
      <c r="L36" s="399" t="s">
        <v>546</v>
      </c>
      <c r="M36" s="399" t="s">
        <v>61</v>
      </c>
      <c r="N36" s="663"/>
      <c r="O36" s="399" t="s">
        <v>547</v>
      </c>
      <c r="P36" s="399" t="s">
        <v>548</v>
      </c>
      <c r="Q36" s="399" t="s">
        <v>293</v>
      </c>
      <c r="R36" s="399" t="s">
        <v>265</v>
      </c>
      <c r="S36" s="399" t="s">
        <v>7</v>
      </c>
      <c r="T36" s="399" t="s">
        <v>9</v>
      </c>
      <c r="U36" s="399" t="s">
        <v>549</v>
      </c>
      <c r="V36" s="399" t="s">
        <v>550</v>
      </c>
      <c r="W36" s="399" t="s">
        <v>538</v>
      </c>
      <c r="Y36" s="399" t="s">
        <v>61</v>
      </c>
    </row>
    <row r="40" spans="2:26" ht="12.75">
      <c r="B40" s="161" t="s">
        <v>625</v>
      </c>
      <c r="E40">
        <v>800</v>
      </c>
      <c r="M40">
        <f>SUM(C40:L40)</f>
        <v>800</v>
      </c>
      <c r="N40" t="str">
        <f>+B40</f>
        <v>eszesz pályázat</v>
      </c>
      <c r="S40">
        <v>800</v>
      </c>
      <c r="Y40">
        <f>SUM(O40:X40)</f>
        <v>800</v>
      </c>
      <c r="Z40">
        <f>+Y40-M40</f>
        <v>0</v>
      </c>
    </row>
    <row r="41" spans="2:26" ht="12.75">
      <c r="B41" s="161" t="s">
        <v>625</v>
      </c>
      <c r="E41">
        <v>54</v>
      </c>
      <c r="M41">
        <f aca="true" t="shared" si="9" ref="M41:M55">SUM(C41:L41)</f>
        <v>54</v>
      </c>
      <c r="N41" t="str">
        <f aca="true" t="shared" si="10" ref="N41:N63">+B41</f>
        <v>eszesz pályázat</v>
      </c>
      <c r="S41">
        <v>54</v>
      </c>
      <c r="Y41">
        <f aca="true" t="shared" si="11" ref="Y41:Y55">SUM(O41:X41)</f>
        <v>54</v>
      </c>
      <c r="Z41">
        <f aca="true" t="shared" si="12" ref="Z41:Z55">+Y41-M41</f>
        <v>0</v>
      </c>
    </row>
    <row r="42" spans="2:26" ht="12.75">
      <c r="B42" s="161" t="s">
        <v>625</v>
      </c>
      <c r="E42">
        <v>1000</v>
      </c>
      <c r="M42">
        <f t="shared" si="9"/>
        <v>1000</v>
      </c>
      <c r="N42" t="str">
        <f t="shared" si="10"/>
        <v>eszesz pályázat</v>
      </c>
      <c r="S42">
        <v>1000</v>
      </c>
      <c r="Y42">
        <f t="shared" si="11"/>
        <v>1000</v>
      </c>
      <c r="Z42">
        <f t="shared" si="12"/>
        <v>0</v>
      </c>
    </row>
    <row r="43" spans="2:26" ht="12.75">
      <c r="B43" s="161" t="s">
        <v>651</v>
      </c>
      <c r="I43">
        <v>2650</v>
      </c>
      <c r="M43">
        <f t="shared" si="9"/>
        <v>2650</v>
      </c>
      <c r="N43" t="str">
        <f t="shared" si="10"/>
        <v>eszesz pótigény</v>
      </c>
      <c r="Y43">
        <f t="shared" si="11"/>
        <v>0</v>
      </c>
      <c r="Z43">
        <f t="shared" si="12"/>
        <v>-2650</v>
      </c>
    </row>
    <row r="44" spans="2:26" ht="12.75">
      <c r="B44" s="161" t="s">
        <v>652</v>
      </c>
      <c r="I44">
        <v>-2650</v>
      </c>
      <c r="M44">
        <f t="shared" si="9"/>
        <v>-2650</v>
      </c>
      <c r="N44" t="str">
        <f t="shared" si="10"/>
        <v>ÖK tól</v>
      </c>
      <c r="Y44">
        <f t="shared" si="11"/>
        <v>0</v>
      </c>
      <c r="Z44">
        <f t="shared" si="12"/>
        <v>2650</v>
      </c>
    </row>
    <row r="45" spans="2:26" ht="25.5">
      <c r="B45" s="675" t="s">
        <v>620</v>
      </c>
      <c r="E45">
        <v>400</v>
      </c>
      <c r="I45">
        <v>1100</v>
      </c>
      <c r="M45">
        <f t="shared" si="9"/>
        <v>1500</v>
      </c>
      <c r="N45" t="str">
        <f t="shared" si="10"/>
        <v>Könyvtár zsidó emlékmű</v>
      </c>
      <c r="S45">
        <v>1500</v>
      </c>
      <c r="Y45">
        <f t="shared" si="11"/>
        <v>1500</v>
      </c>
      <c r="Z45">
        <f t="shared" si="12"/>
        <v>0</v>
      </c>
    </row>
    <row r="46" spans="2:26" ht="25.5">
      <c r="B46" s="675" t="s">
        <v>656</v>
      </c>
      <c r="C46">
        <v>269</v>
      </c>
      <c r="D46">
        <v>36</v>
      </c>
      <c r="M46">
        <f t="shared" si="9"/>
        <v>305</v>
      </c>
      <c r="N46" t="str">
        <f t="shared" si="10"/>
        <v>könyvtár foglalkoztatás</v>
      </c>
      <c r="W46">
        <v>305</v>
      </c>
      <c r="Y46">
        <f t="shared" si="11"/>
        <v>305</v>
      </c>
      <c r="Z46">
        <f t="shared" si="12"/>
        <v>0</v>
      </c>
    </row>
    <row r="47" spans="2:26" ht="12.75">
      <c r="B47" s="675" t="s">
        <v>658</v>
      </c>
      <c r="C47">
        <v>325</v>
      </c>
      <c r="D47">
        <v>88</v>
      </c>
      <c r="M47">
        <f t="shared" si="9"/>
        <v>413</v>
      </c>
      <c r="N47" t="str">
        <f t="shared" si="10"/>
        <v>könyvtár béremelés</v>
      </c>
      <c r="W47">
        <v>413</v>
      </c>
      <c r="Y47">
        <f t="shared" si="11"/>
        <v>413</v>
      </c>
      <c r="Z47">
        <f t="shared" si="12"/>
        <v>0</v>
      </c>
    </row>
    <row r="48" spans="2:26" ht="12.75">
      <c r="B48" s="675" t="s">
        <v>657</v>
      </c>
      <c r="E48">
        <v>80</v>
      </c>
      <c r="M48">
        <f t="shared" si="9"/>
        <v>80</v>
      </c>
      <c r="N48" t="str">
        <f t="shared" si="10"/>
        <v>értéktár</v>
      </c>
      <c r="W48">
        <v>80</v>
      </c>
      <c r="Y48">
        <f t="shared" si="11"/>
        <v>80</v>
      </c>
      <c r="Z48">
        <f t="shared" si="12"/>
        <v>0</v>
      </c>
    </row>
    <row r="49" spans="2:26" ht="12.75">
      <c r="B49" s="161" t="s">
        <v>624</v>
      </c>
      <c r="E49">
        <v>6</v>
      </c>
      <c r="F49">
        <v>454</v>
      </c>
      <c r="M49">
        <f t="shared" si="9"/>
        <v>460</v>
      </c>
      <c r="N49" t="str">
        <f t="shared" si="10"/>
        <v>infrra srukt.pályázat</v>
      </c>
      <c r="S49">
        <v>460</v>
      </c>
      <c r="Y49">
        <f t="shared" si="11"/>
        <v>460</v>
      </c>
      <c r="Z49">
        <f t="shared" si="12"/>
        <v>0</v>
      </c>
    </row>
    <row r="50" spans="2:26" ht="12.75">
      <c r="B50" s="161" t="s">
        <v>653</v>
      </c>
      <c r="M50">
        <f t="shared" si="9"/>
        <v>0</v>
      </c>
      <c r="N50" t="str">
        <f t="shared" si="10"/>
        <v>ök-nál</v>
      </c>
      <c r="S50">
        <v>454</v>
      </c>
      <c r="W50">
        <v>-454</v>
      </c>
      <c r="Y50">
        <f t="shared" si="11"/>
        <v>0</v>
      </c>
      <c r="Z50">
        <f t="shared" si="12"/>
        <v>0</v>
      </c>
    </row>
    <row r="51" spans="2:26" ht="12.75">
      <c r="B51" s="161" t="s">
        <v>654</v>
      </c>
      <c r="M51">
        <f t="shared" si="9"/>
        <v>0</v>
      </c>
      <c r="N51" t="str">
        <f t="shared" si="10"/>
        <v>béremelés</v>
      </c>
      <c r="Y51">
        <f t="shared" si="11"/>
        <v>0</v>
      </c>
      <c r="Z51">
        <f t="shared" si="12"/>
        <v>0</v>
      </c>
    </row>
    <row r="52" spans="2:26" ht="12.75">
      <c r="B52" s="161" t="s">
        <v>561</v>
      </c>
      <c r="C52">
        <v>1165</v>
      </c>
      <c r="D52">
        <v>314</v>
      </c>
      <c r="M52">
        <f t="shared" si="9"/>
        <v>1479</v>
      </c>
      <c r="N52" t="str">
        <f t="shared" si="10"/>
        <v>eszesz</v>
      </c>
      <c r="W52">
        <v>1479</v>
      </c>
      <c r="Y52">
        <f t="shared" si="11"/>
        <v>1479</v>
      </c>
      <c r="Z52">
        <f t="shared" si="12"/>
        <v>0</v>
      </c>
    </row>
    <row r="53" spans="2:26" ht="12.75">
      <c r="B53" s="161" t="s">
        <v>562</v>
      </c>
      <c r="C53">
        <v>867</v>
      </c>
      <c r="D53">
        <v>234</v>
      </c>
      <c r="M53">
        <f t="shared" si="9"/>
        <v>1101</v>
      </c>
      <c r="N53" t="str">
        <f t="shared" si="10"/>
        <v>vsz</v>
      </c>
      <c r="W53">
        <v>1101</v>
      </c>
      <c r="Y53">
        <f t="shared" si="11"/>
        <v>1101</v>
      </c>
      <c r="Z53">
        <f t="shared" si="12"/>
        <v>0</v>
      </c>
    </row>
    <row r="54" spans="2:27" ht="12.75">
      <c r="B54" s="161" t="s">
        <v>562</v>
      </c>
      <c r="E54">
        <v>110</v>
      </c>
      <c r="I54">
        <v>519</v>
      </c>
      <c r="M54">
        <f t="shared" si="9"/>
        <v>629</v>
      </c>
      <c r="N54" t="str">
        <f t="shared" si="10"/>
        <v>vsz</v>
      </c>
      <c r="W54">
        <v>110</v>
      </c>
      <c r="Y54">
        <f t="shared" si="11"/>
        <v>110</v>
      </c>
      <c r="Z54">
        <f t="shared" si="12"/>
        <v>-519</v>
      </c>
      <c r="AA54">
        <f>SUM(W52:W53)</f>
        <v>2580</v>
      </c>
    </row>
    <row r="55" spans="2:26" ht="12.75">
      <c r="B55" s="161" t="s">
        <v>667</v>
      </c>
      <c r="I55">
        <v>-519</v>
      </c>
      <c r="M55">
        <f t="shared" si="9"/>
        <v>-519</v>
      </c>
      <c r="N55" t="str">
        <f t="shared" si="10"/>
        <v>ök-TÓL</v>
      </c>
      <c r="Y55">
        <f t="shared" si="11"/>
        <v>0</v>
      </c>
      <c r="Z55">
        <f t="shared" si="12"/>
        <v>519</v>
      </c>
    </row>
    <row r="56" spans="2:26" ht="12.75">
      <c r="B56" s="161" t="s">
        <v>655</v>
      </c>
      <c r="C56">
        <f>SUM(C40:C55)</f>
        <v>2626</v>
      </c>
      <c r="D56">
        <f aca="true" t="shared" si="13" ref="D56:M56">SUM(D40:D55)</f>
        <v>672</v>
      </c>
      <c r="E56">
        <f t="shared" si="13"/>
        <v>2450</v>
      </c>
      <c r="F56">
        <f t="shared" si="13"/>
        <v>454</v>
      </c>
      <c r="G56">
        <f t="shared" si="13"/>
        <v>0</v>
      </c>
      <c r="H56">
        <f t="shared" si="13"/>
        <v>0</v>
      </c>
      <c r="I56">
        <f t="shared" si="13"/>
        <v>1100</v>
      </c>
      <c r="J56">
        <f t="shared" si="13"/>
        <v>0</v>
      </c>
      <c r="K56">
        <f t="shared" si="13"/>
        <v>0</v>
      </c>
      <c r="L56">
        <f t="shared" si="13"/>
        <v>0</v>
      </c>
      <c r="M56">
        <f t="shared" si="13"/>
        <v>7302</v>
      </c>
      <c r="N56" t="str">
        <f t="shared" si="10"/>
        <v>külön döntések</v>
      </c>
      <c r="O56">
        <f>SUM(O40:O55)</f>
        <v>0</v>
      </c>
      <c r="P56">
        <f aca="true" t="shared" si="14" ref="P56:Z56">SUM(P40:P55)</f>
        <v>0</v>
      </c>
      <c r="Q56">
        <f t="shared" si="14"/>
        <v>0</v>
      </c>
      <c r="R56">
        <f t="shared" si="14"/>
        <v>0</v>
      </c>
      <c r="S56">
        <f t="shared" si="14"/>
        <v>4268</v>
      </c>
      <c r="T56">
        <f t="shared" si="14"/>
        <v>0</v>
      </c>
      <c r="U56">
        <f t="shared" si="14"/>
        <v>0</v>
      </c>
      <c r="V56">
        <f t="shared" si="14"/>
        <v>0</v>
      </c>
      <c r="W56">
        <f t="shared" si="14"/>
        <v>3034</v>
      </c>
      <c r="X56">
        <f t="shared" si="14"/>
        <v>0</v>
      </c>
      <c r="Y56">
        <f t="shared" si="14"/>
        <v>7302</v>
      </c>
      <c r="Z56">
        <f t="shared" si="14"/>
        <v>0</v>
      </c>
    </row>
    <row r="57" ht="12.75">
      <c r="N57">
        <f t="shared" si="10"/>
        <v>0</v>
      </c>
    </row>
    <row r="58" spans="3:26" ht="12.75">
      <c r="C58">
        <f>+C56+C34</f>
        <v>414091</v>
      </c>
      <c r="D58">
        <f aca="true" t="shared" si="15" ref="D58:Z58">+D56+D34</f>
        <v>86959</v>
      </c>
      <c r="E58">
        <f t="shared" si="15"/>
        <v>314801</v>
      </c>
      <c r="F58">
        <f t="shared" si="15"/>
        <v>184431</v>
      </c>
      <c r="G58">
        <f t="shared" si="15"/>
        <v>0</v>
      </c>
      <c r="H58">
        <f t="shared" si="15"/>
        <v>0</v>
      </c>
      <c r="I58">
        <f t="shared" si="15"/>
        <v>81876</v>
      </c>
      <c r="J58">
        <f t="shared" si="15"/>
        <v>0</v>
      </c>
      <c r="K58">
        <f t="shared" si="15"/>
        <v>0</v>
      </c>
      <c r="L58">
        <f t="shared" si="15"/>
        <v>0</v>
      </c>
      <c r="M58">
        <f t="shared" si="15"/>
        <v>1082158</v>
      </c>
      <c r="N58">
        <f t="shared" si="10"/>
        <v>0</v>
      </c>
      <c r="O58">
        <f t="shared" si="15"/>
        <v>0</v>
      </c>
      <c r="P58">
        <f t="shared" si="15"/>
        <v>0</v>
      </c>
      <c r="Q58">
        <f t="shared" si="15"/>
        <v>0</v>
      </c>
      <c r="R58">
        <f t="shared" si="15"/>
        <v>0</v>
      </c>
      <c r="S58">
        <f t="shared" si="15"/>
        <v>4268</v>
      </c>
      <c r="T58">
        <f t="shared" si="15"/>
        <v>0</v>
      </c>
      <c r="U58">
        <f t="shared" si="15"/>
        <v>0</v>
      </c>
      <c r="V58">
        <f t="shared" si="15"/>
        <v>0</v>
      </c>
      <c r="W58">
        <f t="shared" si="15"/>
        <v>3034</v>
      </c>
      <c r="X58">
        <f t="shared" si="15"/>
        <v>0</v>
      </c>
      <c r="Y58">
        <f t="shared" si="15"/>
        <v>7302</v>
      </c>
      <c r="Z58">
        <f t="shared" si="15"/>
        <v>0</v>
      </c>
    </row>
    <row r="59" ht="12.75">
      <c r="N59">
        <f t="shared" si="10"/>
        <v>0</v>
      </c>
    </row>
    <row r="60" spans="3:14" ht="12.75">
      <c r="C60">
        <f>+4_mell!D36</f>
        <v>414091</v>
      </c>
      <c r="D60">
        <f>+4_mell!E36</f>
        <v>86959</v>
      </c>
      <c r="E60">
        <f>+4_mell!F36</f>
        <v>314801</v>
      </c>
      <c r="F60" s="678">
        <f>+2_mell!F17+2_mell!F13+2_mell!F19</f>
        <v>184431</v>
      </c>
      <c r="I60" s="678">
        <f>+2_mell!F21</f>
        <v>81876</v>
      </c>
      <c r="M60">
        <f>SUM(C60:L60)</f>
        <v>1082158</v>
      </c>
      <c r="N60">
        <f t="shared" si="10"/>
        <v>0</v>
      </c>
    </row>
    <row r="61" ht="12.75">
      <c r="N61">
        <f t="shared" si="10"/>
        <v>0</v>
      </c>
    </row>
    <row r="62" spans="3:26" ht="12.75">
      <c r="C62">
        <f>+C60-C58</f>
        <v>0</v>
      </c>
      <c r="D62">
        <f aca="true" t="shared" si="16" ref="D62:Z62">+D60-D58</f>
        <v>0</v>
      </c>
      <c r="E62">
        <f t="shared" si="16"/>
        <v>0</v>
      </c>
      <c r="F62">
        <f t="shared" si="16"/>
        <v>0</v>
      </c>
      <c r="G62">
        <f t="shared" si="16"/>
        <v>0</v>
      </c>
      <c r="H62">
        <f t="shared" si="16"/>
        <v>0</v>
      </c>
      <c r="I62">
        <f t="shared" si="16"/>
        <v>0</v>
      </c>
      <c r="J62">
        <f t="shared" si="16"/>
        <v>0</v>
      </c>
      <c r="K62">
        <f t="shared" si="16"/>
        <v>0</v>
      </c>
      <c r="L62">
        <f t="shared" si="16"/>
        <v>0</v>
      </c>
      <c r="M62">
        <f t="shared" si="16"/>
        <v>0</v>
      </c>
      <c r="N62">
        <f t="shared" si="10"/>
        <v>0</v>
      </c>
      <c r="O62">
        <f t="shared" si="16"/>
        <v>0</v>
      </c>
      <c r="P62">
        <f t="shared" si="16"/>
        <v>0</v>
      </c>
      <c r="Q62">
        <f t="shared" si="16"/>
        <v>0</v>
      </c>
      <c r="R62">
        <f t="shared" si="16"/>
        <v>0</v>
      </c>
      <c r="S62">
        <f t="shared" si="16"/>
        <v>-4268</v>
      </c>
      <c r="T62">
        <f t="shared" si="16"/>
        <v>0</v>
      </c>
      <c r="U62">
        <f t="shared" si="16"/>
        <v>0</v>
      </c>
      <c r="V62">
        <f t="shared" si="16"/>
        <v>0</v>
      </c>
      <c r="W62">
        <f t="shared" si="16"/>
        <v>-3034</v>
      </c>
      <c r="X62">
        <f t="shared" si="16"/>
        <v>0</v>
      </c>
      <c r="Y62">
        <f t="shared" si="16"/>
        <v>-7302</v>
      </c>
      <c r="Z62">
        <f t="shared" si="16"/>
        <v>0</v>
      </c>
    </row>
    <row r="63" ht="12.75">
      <c r="N63">
        <f t="shared" si="10"/>
        <v>0</v>
      </c>
    </row>
    <row r="64" ht="12.75">
      <c r="M64" s="85">
        <f>+2_mell!F33</f>
        <v>1082158</v>
      </c>
    </row>
  </sheetData>
  <mergeCells count="6">
    <mergeCell ref="F1:G1"/>
    <mergeCell ref="I1:J1"/>
    <mergeCell ref="S1:T1"/>
    <mergeCell ref="F35:G35"/>
    <mergeCell ref="I35:J35"/>
    <mergeCell ref="S35:T35"/>
  </mergeCells>
  <printOptions/>
  <pageMargins left="0" right="0" top="0.984251968503937" bottom="0.984251968503937" header="0.5118110236220472" footer="0.5118110236220472"/>
  <pageSetup horizontalDpi="600" verticalDpi="600" orientation="landscape" paperSize="9" scale="83" r:id="rId1"/>
  <rowBreaks count="1" manualBreakCount="1">
    <brk id="34" max="26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3"/>
  <sheetViews>
    <sheetView zoomScalePageLayoutView="0" workbookViewId="0" topLeftCell="A70">
      <selection activeCell="F24" sqref="F24"/>
    </sheetView>
  </sheetViews>
  <sheetFormatPr defaultColWidth="9.140625" defaultRowHeight="15" customHeight="1"/>
  <cols>
    <col min="1" max="1" width="3.57421875" style="624" customWidth="1"/>
    <col min="2" max="2" width="4.57421875" style="624" customWidth="1"/>
    <col min="3" max="3" width="50.28125" style="624" customWidth="1"/>
    <col min="4" max="4" width="10.421875" style="634" hidden="1" customWidth="1"/>
    <col min="5" max="5" width="14.8515625" style="630" bestFit="1" customWidth="1"/>
    <col min="6" max="6" width="14.8515625" style="630" customWidth="1"/>
    <col min="7" max="10" width="15.00390625" style="630" customWidth="1"/>
    <col min="11" max="11" width="10.28125" style="635" bestFit="1" customWidth="1"/>
    <col min="12" max="12" width="16.57421875" style="630" bestFit="1" customWidth="1"/>
    <col min="13" max="13" width="13.140625" style="630" bestFit="1" customWidth="1"/>
    <col min="14" max="14" width="16.57421875" style="630" bestFit="1" customWidth="1"/>
    <col min="15" max="17" width="17.8515625" style="630" bestFit="1" customWidth="1"/>
    <col min="18" max="23" width="19.140625" style="630" customWidth="1"/>
    <col min="24" max="24" width="14.421875" style="630" bestFit="1" customWidth="1"/>
    <col min="25" max="25" width="22.28125" style="628" customWidth="1"/>
    <col min="26" max="26" width="19.00390625" style="628" customWidth="1"/>
    <col min="27" max="28" width="10.57421875" style="628" customWidth="1"/>
    <col min="29" max="36" width="14.421875" style="628" customWidth="1"/>
    <col min="37" max="37" width="14.421875" style="624" customWidth="1"/>
    <col min="38" max="38" width="14.57421875" style="624" customWidth="1"/>
    <col min="39" max="40" width="14.421875" style="624" customWidth="1"/>
    <col min="41" max="41" width="9.140625" style="624" customWidth="1"/>
    <col min="42" max="42" width="14.140625" style="624" customWidth="1"/>
    <col min="43" max="16384" width="9.140625" style="624" customWidth="1"/>
  </cols>
  <sheetData>
    <row r="1" spans="1:35" ht="15" customHeight="1">
      <c r="A1" s="624" t="s">
        <v>266</v>
      </c>
      <c r="C1" s="623"/>
      <c r="D1" s="631" t="s">
        <v>421</v>
      </c>
      <c r="E1" s="625" t="s">
        <v>377</v>
      </c>
      <c r="F1" s="625" t="s">
        <v>377</v>
      </c>
      <c r="G1" s="625"/>
      <c r="H1" s="625"/>
      <c r="I1" s="625"/>
      <c r="J1" s="625"/>
      <c r="K1" s="626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</row>
    <row r="2" spans="1:36" ht="15" customHeight="1">
      <c r="A2" s="677" t="s">
        <v>176</v>
      </c>
      <c r="C2" s="652"/>
      <c r="D2" s="631" t="s">
        <v>68</v>
      </c>
      <c r="E2" s="625" t="s">
        <v>68</v>
      </c>
      <c r="F2" s="625" t="s">
        <v>470</v>
      </c>
      <c r="G2" s="625"/>
      <c r="H2" s="625"/>
      <c r="I2" s="625"/>
      <c r="J2" s="625"/>
      <c r="K2" s="626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</row>
    <row r="3" spans="1:36" ht="9" customHeight="1">
      <c r="A3" s="677"/>
      <c r="C3" s="652"/>
      <c r="D3" s="631"/>
      <c r="E3" s="625"/>
      <c r="F3" s="625"/>
      <c r="G3" s="625"/>
      <c r="H3" s="625"/>
      <c r="I3" s="625"/>
      <c r="J3" s="625"/>
      <c r="K3" s="626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</row>
    <row r="4" spans="1:36" s="628" customFormat="1" ht="15" customHeight="1">
      <c r="A4" s="628" t="s">
        <v>11</v>
      </c>
      <c r="B4" s="627" t="s">
        <v>12</v>
      </c>
      <c r="C4" s="627" t="s">
        <v>13</v>
      </c>
      <c r="D4" s="625" t="s">
        <v>14</v>
      </c>
      <c r="E4" s="625" t="s">
        <v>14</v>
      </c>
      <c r="F4" s="625" t="s">
        <v>15</v>
      </c>
      <c r="G4" s="625"/>
      <c r="H4" s="625"/>
      <c r="I4" s="625"/>
      <c r="J4" s="625"/>
      <c r="K4" s="626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</row>
    <row r="5" spans="5:29" ht="9" customHeight="1">
      <c r="E5" s="625"/>
      <c r="F5" s="625"/>
      <c r="G5" s="625"/>
      <c r="H5" s="625"/>
      <c r="I5" s="625"/>
      <c r="J5" s="625"/>
      <c r="K5" s="626"/>
      <c r="L5" s="625"/>
      <c r="M5" s="625"/>
      <c r="N5" s="625"/>
      <c r="Q5" s="625"/>
      <c r="R5" s="625"/>
      <c r="S5" s="625"/>
      <c r="T5" s="625"/>
      <c r="U5" s="625"/>
      <c r="V5" s="625"/>
      <c r="W5" s="625"/>
      <c r="X5" s="625"/>
      <c r="Y5" s="627"/>
      <c r="Z5" s="627"/>
      <c r="AA5" s="627"/>
      <c r="AB5" s="627"/>
      <c r="AC5" s="627"/>
    </row>
    <row r="6" spans="1:41" s="623" customFormat="1" ht="15" customHeight="1">
      <c r="A6" s="624" t="s">
        <v>20</v>
      </c>
      <c r="B6" s="623" t="s">
        <v>98</v>
      </c>
      <c r="D6" s="631">
        <f>SUM(D7:D17)-D7-D11</f>
        <v>307125</v>
      </c>
      <c r="E6" s="632">
        <f>SUM(E7:E17)-E7-E11</f>
        <v>296199</v>
      </c>
      <c r="F6" s="632">
        <f>SUM(F7:F17)-F7-F11</f>
        <v>296199</v>
      </c>
      <c r="G6" s="632"/>
      <c r="H6" s="632"/>
      <c r="I6" s="632"/>
      <c r="J6" s="632"/>
      <c r="K6" s="633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AL6" s="624"/>
      <c r="AN6" s="624"/>
      <c r="AO6" s="624"/>
    </row>
    <row r="7" spans="1:36" ht="15" customHeight="1">
      <c r="A7" s="624" t="s">
        <v>21</v>
      </c>
      <c r="C7" s="624" t="s">
        <v>99</v>
      </c>
      <c r="D7" s="634">
        <f>SUM(D8:D10)</f>
        <v>114297</v>
      </c>
      <c r="E7" s="630">
        <f>SUM(E8:E10)</f>
        <v>99471</v>
      </c>
      <c r="F7" s="630">
        <f>SUM(F8:F10)</f>
        <v>99471</v>
      </c>
      <c r="O7" s="625"/>
      <c r="AJ7" s="627"/>
    </row>
    <row r="8" spans="1:36" ht="15" customHeight="1">
      <c r="A8" s="624" t="s">
        <v>22</v>
      </c>
      <c r="C8" s="653" t="s">
        <v>100</v>
      </c>
      <c r="D8" s="634">
        <f>+3_mell!D30-2100-500</f>
        <v>111697</v>
      </c>
      <c r="E8" s="630">
        <f>+3_mell!D32-2100-500</f>
        <v>96871</v>
      </c>
      <c r="F8" s="630">
        <f>+3_mell!D33-2100-500</f>
        <v>96871</v>
      </c>
      <c r="O8" s="625"/>
      <c r="AJ8" s="627"/>
    </row>
    <row r="9" spans="1:36" ht="15" customHeight="1">
      <c r="A9" s="624" t="s">
        <v>23</v>
      </c>
      <c r="C9" s="653" t="s">
        <v>101</v>
      </c>
      <c r="D9" s="634">
        <v>2100</v>
      </c>
      <c r="E9" s="630">
        <v>2100</v>
      </c>
      <c r="F9" s="630">
        <f>+E9</f>
        <v>2100</v>
      </c>
      <c r="O9" s="625"/>
      <c r="AJ9" s="627"/>
    </row>
    <row r="10" spans="1:36" ht="15" customHeight="1">
      <c r="A10" s="624" t="s">
        <v>24</v>
      </c>
      <c r="C10" s="653" t="s">
        <v>102</v>
      </c>
      <c r="D10" s="634">
        <v>500</v>
      </c>
      <c r="E10" s="630">
        <v>500</v>
      </c>
      <c r="F10" s="630">
        <f>+E10</f>
        <v>500</v>
      </c>
      <c r="O10" s="625"/>
      <c r="AJ10" s="627"/>
    </row>
    <row r="11" spans="1:36" ht="15" customHeight="1">
      <c r="A11" s="624" t="s">
        <v>25</v>
      </c>
      <c r="C11" s="624" t="s">
        <v>103</v>
      </c>
      <c r="D11" s="634">
        <f>SUM(D12:D12)</f>
        <v>15214</v>
      </c>
      <c r="E11" s="630">
        <f>SUM(E12:E12)</f>
        <v>15214</v>
      </c>
      <c r="F11" s="630">
        <f>SUM(F12:F12)</f>
        <v>15214</v>
      </c>
      <c r="AJ11" s="627"/>
    </row>
    <row r="12" spans="1:36" ht="15" customHeight="1">
      <c r="A12" s="624" t="s">
        <v>26</v>
      </c>
      <c r="C12" s="653" t="s">
        <v>104</v>
      </c>
      <c r="D12" s="654">
        <v>15214</v>
      </c>
      <c r="E12" s="630">
        <v>15214</v>
      </c>
      <c r="F12" s="630">
        <f aca="true" t="shared" si="0" ref="F12:F17">+E12</f>
        <v>15214</v>
      </c>
      <c r="O12" s="636"/>
      <c r="P12" s="625"/>
      <c r="Z12" s="630"/>
      <c r="AA12" s="630"/>
      <c r="AJ12" s="627"/>
    </row>
    <row r="13" spans="1:36" ht="15" customHeight="1">
      <c r="A13" s="624" t="s">
        <v>27</v>
      </c>
      <c r="C13" s="624" t="s">
        <v>105</v>
      </c>
      <c r="D13" s="634">
        <v>125000</v>
      </c>
      <c r="E13" s="630">
        <v>125000</v>
      </c>
      <c r="F13" s="630">
        <f t="shared" si="0"/>
        <v>125000</v>
      </c>
      <c r="Z13" s="630"/>
      <c r="AA13" s="630"/>
      <c r="AJ13" s="627"/>
    </row>
    <row r="14" spans="1:36" ht="15" customHeight="1">
      <c r="A14" s="624" t="s">
        <v>28</v>
      </c>
      <c r="C14" s="624" t="s">
        <v>106</v>
      </c>
      <c r="D14" s="634">
        <v>3</v>
      </c>
      <c r="E14" s="630">
        <v>3</v>
      </c>
      <c r="F14" s="630">
        <f t="shared" si="0"/>
        <v>3</v>
      </c>
      <c r="O14" s="636"/>
      <c r="P14" s="625"/>
      <c r="AJ14" s="627"/>
    </row>
    <row r="15" spans="1:36" ht="15" customHeight="1">
      <c r="A15" s="624" t="s">
        <v>29</v>
      </c>
      <c r="C15" s="624" t="s">
        <v>107</v>
      </c>
      <c r="D15" s="634">
        <v>2561</v>
      </c>
      <c r="E15" s="630">
        <v>2561</v>
      </c>
      <c r="F15" s="630">
        <f t="shared" si="0"/>
        <v>2561</v>
      </c>
      <c r="AJ15" s="627"/>
    </row>
    <row r="16" spans="1:36" ht="15" customHeight="1">
      <c r="A16" s="624" t="s">
        <v>30</v>
      </c>
      <c r="C16" s="624" t="s">
        <v>108</v>
      </c>
      <c r="D16" s="634">
        <v>2500</v>
      </c>
      <c r="E16" s="630">
        <v>2500</v>
      </c>
      <c r="F16" s="630">
        <f t="shared" si="0"/>
        <v>2500</v>
      </c>
      <c r="AD16" s="624"/>
      <c r="AE16" s="624"/>
      <c r="AF16" s="624"/>
      <c r="AJ16" s="627"/>
    </row>
    <row r="17" spans="1:36" ht="15" customHeight="1">
      <c r="A17" s="624" t="s">
        <v>31</v>
      </c>
      <c r="C17" s="624" t="s">
        <v>422</v>
      </c>
      <c r="D17" s="634">
        <v>47550</v>
      </c>
      <c r="E17" s="630">
        <f>7000+35000+9450</f>
        <v>51450</v>
      </c>
      <c r="F17" s="630">
        <f t="shared" si="0"/>
        <v>51450</v>
      </c>
      <c r="AD17" s="624"/>
      <c r="AE17" s="624"/>
      <c r="AF17" s="624"/>
      <c r="AJ17" s="627"/>
    </row>
    <row r="18" spans="30:36" ht="8.25" customHeight="1">
      <c r="AD18" s="624"/>
      <c r="AE18" s="624"/>
      <c r="AF18" s="624"/>
      <c r="AJ18" s="627"/>
    </row>
    <row r="19" spans="1:39" s="623" customFormat="1" ht="15" customHeight="1">
      <c r="A19" s="624" t="s">
        <v>32</v>
      </c>
      <c r="B19" s="623" t="s">
        <v>109</v>
      </c>
      <c r="D19" s="631">
        <f>+D20+D21</f>
        <v>9964</v>
      </c>
      <c r="E19" s="632">
        <f>+E20+E21</f>
        <v>9964</v>
      </c>
      <c r="F19" s="632">
        <f>+F20+F21</f>
        <v>9964</v>
      </c>
      <c r="G19" s="632"/>
      <c r="H19" s="632"/>
      <c r="I19" s="632"/>
      <c r="J19" s="632"/>
      <c r="K19" s="633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AK19" s="624"/>
      <c r="AL19" s="624"/>
      <c r="AM19" s="624"/>
    </row>
    <row r="20" spans="1:36" ht="15" customHeight="1">
      <c r="A20" s="624" t="s">
        <v>33</v>
      </c>
      <c r="C20" s="624" t="s">
        <v>110</v>
      </c>
      <c r="D20" s="634">
        <v>9814</v>
      </c>
      <c r="E20" s="637">
        <v>9814</v>
      </c>
      <c r="F20" s="637">
        <f>+E20</f>
        <v>9814</v>
      </c>
      <c r="G20" s="624"/>
      <c r="H20" s="624"/>
      <c r="I20" s="624"/>
      <c r="J20" s="624"/>
      <c r="Y20" s="630"/>
      <c r="Z20" s="630"/>
      <c r="AC20" s="630"/>
      <c r="AD20" s="630"/>
      <c r="AJ20" s="623"/>
    </row>
    <row r="21" spans="1:36" ht="15" customHeight="1">
      <c r="A21" s="624" t="s">
        <v>34</v>
      </c>
      <c r="C21" s="624" t="s">
        <v>111</v>
      </c>
      <c r="D21" s="634">
        <v>150</v>
      </c>
      <c r="E21" s="630">
        <v>150</v>
      </c>
      <c r="F21" s="630">
        <f>+E21</f>
        <v>150</v>
      </c>
      <c r="Y21" s="630"/>
      <c r="Z21" s="630"/>
      <c r="AC21" s="630"/>
      <c r="AD21" s="630"/>
      <c r="AJ21" s="623"/>
    </row>
    <row r="22" ht="15.75">
      <c r="AJ22" s="623"/>
    </row>
    <row r="23" spans="1:39" s="623" customFormat="1" ht="15" customHeight="1">
      <c r="A23" s="624" t="s">
        <v>35</v>
      </c>
      <c r="B23" s="623" t="s">
        <v>112</v>
      </c>
      <c r="D23" s="631">
        <f>SUM(D24:D24)</f>
        <v>251962</v>
      </c>
      <c r="E23" s="632">
        <f>SUM(E24:E24)</f>
        <v>241074</v>
      </c>
      <c r="F23" s="632">
        <f>SUM(F24:F36)-F25-F26-F35</f>
        <v>313996</v>
      </c>
      <c r="G23" s="632"/>
      <c r="H23" s="632"/>
      <c r="I23" s="632"/>
      <c r="J23" s="632"/>
      <c r="K23" s="633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AD23" s="632"/>
      <c r="AL23" s="624"/>
      <c r="AM23" s="624"/>
    </row>
    <row r="24" spans="1:36" ht="15" customHeight="1">
      <c r="A24" s="624" t="s">
        <v>36</v>
      </c>
      <c r="C24" s="624" t="s">
        <v>10</v>
      </c>
      <c r="D24" s="634">
        <v>251962</v>
      </c>
      <c r="E24" s="630">
        <f>240773+301</f>
        <v>241074</v>
      </c>
      <c r="F24" s="630">
        <f>+E24</f>
        <v>241074</v>
      </c>
      <c r="Y24" s="630"/>
      <c r="Z24" s="630"/>
      <c r="AA24" s="630"/>
      <c r="AC24" s="630"/>
      <c r="AD24" s="630"/>
      <c r="AJ24" s="627"/>
    </row>
    <row r="25" spans="1:36" ht="15" customHeight="1">
      <c r="A25" s="624" t="s">
        <v>37</v>
      </c>
      <c r="C25" s="624" t="s">
        <v>617</v>
      </c>
      <c r="F25" s="630">
        <f>+F26+F35</f>
        <v>13914</v>
      </c>
      <c r="Y25" s="630"/>
      <c r="Z25" s="630"/>
      <c r="AA25" s="630"/>
      <c r="AC25" s="630"/>
      <c r="AD25" s="630"/>
      <c r="AJ25" s="627"/>
    </row>
    <row r="26" spans="1:36" ht="15" customHeight="1">
      <c r="A26" s="624" t="s">
        <v>40</v>
      </c>
      <c r="C26" s="671" t="s">
        <v>593</v>
      </c>
      <c r="F26" s="630">
        <f>SUM(F27:F34)</f>
        <v>13914</v>
      </c>
      <c r="Y26" s="630"/>
      <c r="Z26" s="630"/>
      <c r="AA26" s="630"/>
      <c r="AC26" s="630"/>
      <c r="AD26" s="630"/>
      <c r="AJ26" s="627"/>
    </row>
    <row r="27" spans="1:36" ht="15" customHeight="1">
      <c r="A27" s="624" t="s">
        <v>42</v>
      </c>
      <c r="C27" s="624" t="s">
        <v>618</v>
      </c>
      <c r="F27" s="630">
        <f>426+639</f>
        <v>1065</v>
      </c>
      <c r="Y27" s="630"/>
      <c r="Z27" s="630"/>
      <c r="AA27" s="630"/>
      <c r="AC27" s="630"/>
      <c r="AD27" s="630"/>
      <c r="AJ27" s="627"/>
    </row>
    <row r="28" spans="1:36" ht="15" customHeight="1">
      <c r="A28" s="624" t="s">
        <v>43</v>
      </c>
      <c r="C28" s="624" t="s">
        <v>482</v>
      </c>
      <c r="F28" s="630">
        <f>959+1401</f>
        <v>2360</v>
      </c>
      <c r="Y28" s="630"/>
      <c r="Z28" s="630"/>
      <c r="AA28" s="630"/>
      <c r="AC28" s="630"/>
      <c r="AD28" s="630"/>
      <c r="AJ28" s="627"/>
    </row>
    <row r="29" spans="1:36" ht="15" customHeight="1">
      <c r="A29" s="624" t="s">
        <v>44</v>
      </c>
      <c r="C29" s="624" t="s">
        <v>596</v>
      </c>
      <c r="F29" s="624">
        <v>281</v>
      </c>
      <c r="Y29" s="630"/>
      <c r="Z29" s="630"/>
      <c r="AA29" s="630"/>
      <c r="AC29" s="630"/>
      <c r="AD29" s="630"/>
      <c r="AJ29" s="627"/>
    </row>
    <row r="30" spans="1:36" ht="15" customHeight="1">
      <c r="A30" s="624" t="s">
        <v>45</v>
      </c>
      <c r="C30" s="624" t="s">
        <v>597</v>
      </c>
      <c r="F30" s="624">
        <v>338</v>
      </c>
      <c r="Y30" s="630"/>
      <c r="Z30" s="630"/>
      <c r="AA30" s="630"/>
      <c r="AC30" s="630"/>
      <c r="AD30" s="630"/>
      <c r="AJ30" s="627"/>
    </row>
    <row r="31" spans="1:36" ht="15" customHeight="1">
      <c r="A31" s="624" t="s">
        <v>46</v>
      </c>
      <c r="C31" s="624" t="s">
        <v>598</v>
      </c>
      <c r="F31" s="624">
        <v>1010</v>
      </c>
      <c r="Y31" s="630"/>
      <c r="Z31" s="630"/>
      <c r="AA31" s="630"/>
      <c r="AC31" s="630"/>
      <c r="AD31" s="630"/>
      <c r="AJ31" s="627"/>
    </row>
    <row r="32" spans="1:36" ht="15" customHeight="1">
      <c r="A32" s="624" t="s">
        <v>47</v>
      </c>
      <c r="C32" s="624" t="s">
        <v>599</v>
      </c>
      <c r="F32" s="624">
        <v>885</v>
      </c>
      <c r="Y32" s="630"/>
      <c r="Z32" s="630"/>
      <c r="AA32" s="630"/>
      <c r="AC32" s="630"/>
      <c r="AD32" s="630"/>
      <c r="AJ32" s="627"/>
    </row>
    <row r="33" spans="1:36" ht="15" customHeight="1">
      <c r="A33" s="624" t="s">
        <v>48</v>
      </c>
      <c r="C33" s="624" t="s">
        <v>595</v>
      </c>
      <c r="F33" s="624">
        <v>800</v>
      </c>
      <c r="Y33" s="630"/>
      <c r="Z33" s="630"/>
      <c r="AA33" s="630"/>
      <c r="AC33" s="630"/>
      <c r="AD33" s="630"/>
      <c r="AJ33" s="627"/>
    </row>
    <row r="34" spans="1:36" ht="15" customHeight="1">
      <c r="A34" s="624" t="s">
        <v>49</v>
      </c>
      <c r="C34" s="624" t="s">
        <v>615</v>
      </c>
      <c r="F34" s="624">
        <v>7175</v>
      </c>
      <c r="Y34" s="630"/>
      <c r="Z34" s="630"/>
      <c r="AA34" s="630"/>
      <c r="AC34" s="630"/>
      <c r="AD34" s="630"/>
      <c r="AJ34" s="627"/>
    </row>
    <row r="35" spans="1:36" ht="15" customHeight="1">
      <c r="A35" s="624" t="s">
        <v>50</v>
      </c>
      <c r="C35" s="671" t="s">
        <v>594</v>
      </c>
      <c r="F35" s="624">
        <v>0</v>
      </c>
      <c r="Y35" s="630"/>
      <c r="Z35" s="630"/>
      <c r="AA35" s="630"/>
      <c r="AC35" s="630"/>
      <c r="AD35" s="630"/>
      <c r="AJ35" s="627"/>
    </row>
    <row r="36" spans="1:36" ht="15" customHeight="1">
      <c r="A36" s="624" t="s">
        <v>51</v>
      </c>
      <c r="C36" s="624" t="s">
        <v>483</v>
      </c>
      <c r="F36" s="630">
        <f>24129+34879</f>
        <v>59008</v>
      </c>
      <c r="Y36" s="630"/>
      <c r="Z36" s="630"/>
      <c r="AA36" s="630"/>
      <c r="AC36" s="630"/>
      <c r="AD36" s="630"/>
      <c r="AJ36" s="627"/>
    </row>
    <row r="37" spans="25:36" ht="15.75">
      <c r="Y37" s="630"/>
      <c r="Z37" s="630"/>
      <c r="AA37" s="630"/>
      <c r="AC37" s="630"/>
      <c r="AD37" s="630"/>
      <c r="AJ37" s="627"/>
    </row>
    <row r="38" spans="1:30" ht="14.25" customHeight="1">
      <c r="A38" s="624" t="s">
        <v>52</v>
      </c>
      <c r="B38" s="623" t="s">
        <v>113</v>
      </c>
      <c r="C38" s="623"/>
      <c r="D38" s="632">
        <f>+D40</f>
        <v>198097</v>
      </c>
      <c r="E38" s="632">
        <f>+E40</f>
        <v>150344</v>
      </c>
      <c r="F38" s="632">
        <f>+F40+F71</f>
        <v>370576</v>
      </c>
      <c r="G38" s="632"/>
      <c r="H38" s="632"/>
      <c r="I38" s="632"/>
      <c r="J38" s="632"/>
      <c r="K38" s="633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7"/>
      <c r="Z38" s="623"/>
      <c r="AA38" s="623"/>
      <c r="AB38" s="623"/>
      <c r="AC38" s="623"/>
      <c r="AD38" s="623"/>
    </row>
    <row r="39" spans="2:30" ht="9" customHeight="1">
      <c r="B39" s="623"/>
      <c r="C39" s="623"/>
      <c r="D39" s="631"/>
      <c r="E39" s="632"/>
      <c r="F39" s="632"/>
      <c r="G39" s="632"/>
      <c r="H39" s="632"/>
      <c r="I39" s="632"/>
      <c r="J39" s="632"/>
      <c r="K39" s="633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7"/>
      <c r="Z39" s="623"/>
      <c r="AA39" s="623"/>
      <c r="AB39" s="623"/>
      <c r="AC39" s="623"/>
      <c r="AD39" s="623"/>
    </row>
    <row r="40" spans="1:30" ht="15" customHeight="1">
      <c r="A40" s="624" t="s">
        <v>487</v>
      </c>
      <c r="B40" s="623"/>
      <c r="C40" s="629" t="s">
        <v>114</v>
      </c>
      <c r="D40" s="638">
        <f>SUM(D41:D46)</f>
        <v>198097</v>
      </c>
      <c r="E40" s="638">
        <f>SUM(E41:E47)</f>
        <v>150344</v>
      </c>
      <c r="F40" s="638">
        <f>SUM(F41:F70)-F50</f>
        <v>336170</v>
      </c>
      <c r="G40" s="638"/>
      <c r="H40" s="638"/>
      <c r="I40" s="638"/>
      <c r="J40" s="638"/>
      <c r="K40" s="639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40"/>
    </row>
    <row r="41" spans="1:29" ht="15" customHeight="1">
      <c r="A41" s="624" t="s">
        <v>488</v>
      </c>
      <c r="C41" s="624" t="s">
        <v>115</v>
      </c>
      <c r="D41" s="634">
        <v>34000</v>
      </c>
      <c r="E41" s="630">
        <f>+3_mell!F12</f>
        <v>32500</v>
      </c>
      <c r="F41" s="630">
        <f>+E41</f>
        <v>32500</v>
      </c>
      <c r="AC41" s="630"/>
    </row>
    <row r="42" spans="1:28" ht="15" customHeight="1">
      <c r="A42" s="624" t="s">
        <v>489</v>
      </c>
      <c r="C42" s="624" t="s">
        <v>116</v>
      </c>
      <c r="D42" s="634">
        <v>146826</v>
      </c>
      <c r="E42" s="630">
        <v>94553</v>
      </c>
      <c r="F42" s="630">
        <f>+E42-24129-34879</f>
        <v>35545</v>
      </c>
      <c r="R42" s="641"/>
      <c r="Y42" s="630"/>
      <c r="Z42" s="630"/>
      <c r="AA42" s="630"/>
      <c r="AB42" s="630"/>
    </row>
    <row r="43" spans="1:6" ht="15" customHeight="1">
      <c r="A43" s="624" t="s">
        <v>490</v>
      </c>
      <c r="C43" s="624" t="s">
        <v>117</v>
      </c>
      <c r="D43" s="634">
        <v>600</v>
      </c>
      <c r="E43" s="630">
        <v>600</v>
      </c>
      <c r="F43" s="630">
        <f>+E43</f>
        <v>600</v>
      </c>
    </row>
    <row r="44" spans="1:6" ht="15" customHeight="1">
      <c r="A44" s="624" t="s">
        <v>491</v>
      </c>
      <c r="C44" s="624" t="s">
        <v>118</v>
      </c>
      <c r="D44" s="634">
        <v>3000</v>
      </c>
      <c r="E44" s="630">
        <v>4500</v>
      </c>
      <c r="F44" s="630">
        <f>+E44</f>
        <v>4500</v>
      </c>
    </row>
    <row r="45" spans="1:6" ht="15" customHeight="1">
      <c r="A45" s="624" t="s">
        <v>492</v>
      </c>
      <c r="C45" s="624" t="s">
        <v>119</v>
      </c>
      <c r="D45" s="634">
        <v>8000</v>
      </c>
      <c r="E45" s="630">
        <v>8000</v>
      </c>
      <c r="F45" s="630">
        <f>+E45</f>
        <v>8000</v>
      </c>
    </row>
    <row r="46" spans="1:6" ht="15" customHeight="1">
      <c r="A46" s="624" t="s">
        <v>493</v>
      </c>
      <c r="C46" s="624" t="s">
        <v>230</v>
      </c>
      <c r="D46" s="634">
        <v>5671</v>
      </c>
      <c r="E46" s="630">
        <f>6900-655</f>
        <v>6245</v>
      </c>
      <c r="F46" s="630">
        <f>+E46</f>
        <v>6245</v>
      </c>
    </row>
    <row r="47" spans="1:6" ht="15" customHeight="1">
      <c r="A47" s="624" t="s">
        <v>494</v>
      </c>
      <c r="C47" s="624" t="s">
        <v>444</v>
      </c>
      <c r="E47" s="630">
        <f>3592+655-301</f>
        <v>3946</v>
      </c>
      <c r="F47" s="630">
        <f>+E47</f>
        <v>3946</v>
      </c>
    </row>
    <row r="48" spans="1:6" ht="15" customHeight="1">
      <c r="A48" s="624" t="s">
        <v>495</v>
      </c>
      <c r="C48" s="624" t="s">
        <v>227</v>
      </c>
      <c r="F48" s="630">
        <f>39316+18901+20787+12055+111453</f>
        <v>202512</v>
      </c>
    </row>
    <row r="49" spans="1:6" ht="15" customHeight="1">
      <c r="A49" s="624" t="s">
        <v>497</v>
      </c>
      <c r="C49" s="624" t="s">
        <v>486</v>
      </c>
      <c r="F49" s="630">
        <f>973+122</f>
        <v>1095</v>
      </c>
    </row>
    <row r="50" spans="1:6" ht="15" customHeight="1">
      <c r="A50" s="624" t="s">
        <v>529</v>
      </c>
      <c r="C50" s="642" t="s">
        <v>525</v>
      </c>
      <c r="F50" s="643">
        <f>SUM(F51:F58)</f>
        <v>35189</v>
      </c>
    </row>
    <row r="51" spans="1:6" ht="15" customHeight="1">
      <c r="A51" s="624" t="s">
        <v>530</v>
      </c>
      <c r="C51" s="644" t="s">
        <v>338</v>
      </c>
      <c r="F51" s="645">
        <v>5343</v>
      </c>
    </row>
    <row r="52" spans="1:6" ht="15" customHeight="1">
      <c r="A52" s="624" t="s">
        <v>531</v>
      </c>
      <c r="C52" s="644" t="s">
        <v>233</v>
      </c>
      <c r="F52" s="645">
        <v>2356</v>
      </c>
    </row>
    <row r="53" spans="1:35" ht="15" customHeight="1">
      <c r="A53" s="624" t="s">
        <v>266</v>
      </c>
      <c r="C53" s="623"/>
      <c r="D53" s="631" t="s">
        <v>421</v>
      </c>
      <c r="E53" s="625" t="s">
        <v>377</v>
      </c>
      <c r="F53" s="625" t="s">
        <v>377</v>
      </c>
      <c r="G53" s="625"/>
      <c r="H53" s="625"/>
      <c r="I53" s="625"/>
      <c r="J53" s="625"/>
      <c r="K53" s="626"/>
      <c r="L53" s="625"/>
      <c r="M53" s="625"/>
      <c r="N53" s="625"/>
      <c r="O53" s="625"/>
      <c r="P53" s="625"/>
      <c r="Q53" s="625"/>
      <c r="R53" s="625"/>
      <c r="S53" s="625"/>
      <c r="T53" s="625"/>
      <c r="U53" s="625"/>
      <c r="V53" s="625"/>
      <c r="W53" s="625"/>
      <c r="X53" s="625"/>
      <c r="Y53" s="627"/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</row>
    <row r="54" spans="1:36" ht="15" customHeight="1">
      <c r="A54" s="677" t="s">
        <v>176</v>
      </c>
      <c r="C54" s="652"/>
      <c r="D54" s="631" t="s">
        <v>68</v>
      </c>
      <c r="E54" s="625" t="s">
        <v>68</v>
      </c>
      <c r="F54" s="625" t="s">
        <v>470</v>
      </c>
      <c r="G54" s="625"/>
      <c r="H54" s="625"/>
      <c r="I54" s="625"/>
      <c r="J54" s="625"/>
      <c r="K54" s="626"/>
      <c r="L54" s="625"/>
      <c r="M54" s="625"/>
      <c r="N54" s="625"/>
      <c r="O54" s="625"/>
      <c r="P54" s="625"/>
      <c r="Q54" s="625"/>
      <c r="R54" s="625"/>
      <c r="S54" s="625"/>
      <c r="T54" s="625"/>
      <c r="U54" s="625"/>
      <c r="V54" s="625"/>
      <c r="W54" s="625"/>
      <c r="X54" s="625"/>
      <c r="Y54" s="627"/>
      <c r="Z54" s="627"/>
      <c r="AA54" s="627"/>
      <c r="AB54" s="627"/>
      <c r="AC54" s="627"/>
      <c r="AD54" s="627"/>
      <c r="AE54" s="627"/>
      <c r="AF54" s="627"/>
      <c r="AG54" s="627"/>
      <c r="AH54" s="627"/>
      <c r="AI54" s="627"/>
      <c r="AJ54" s="627"/>
    </row>
    <row r="55" spans="1:36" ht="9" customHeight="1">
      <c r="A55" s="677"/>
      <c r="C55" s="652"/>
      <c r="D55" s="631"/>
      <c r="E55" s="625"/>
      <c r="F55" s="625"/>
      <c r="G55" s="625"/>
      <c r="H55" s="625"/>
      <c r="I55" s="625"/>
      <c r="J55" s="625"/>
      <c r="K55" s="626"/>
      <c r="L55" s="625"/>
      <c r="M55" s="625"/>
      <c r="N55" s="625"/>
      <c r="O55" s="625"/>
      <c r="P55" s="625"/>
      <c r="Q55" s="625"/>
      <c r="R55" s="625"/>
      <c r="S55" s="625"/>
      <c r="T55" s="625"/>
      <c r="U55" s="625"/>
      <c r="V55" s="625"/>
      <c r="W55" s="625"/>
      <c r="X55" s="625"/>
      <c r="Y55" s="627"/>
      <c r="Z55" s="627"/>
      <c r="AA55" s="627"/>
      <c r="AB55" s="627"/>
      <c r="AC55" s="627"/>
      <c r="AD55" s="627"/>
      <c r="AE55" s="627"/>
      <c r="AF55" s="627"/>
      <c r="AG55" s="627"/>
      <c r="AH55" s="627"/>
      <c r="AI55" s="627"/>
      <c r="AJ55" s="627"/>
    </row>
    <row r="56" spans="1:36" s="628" customFormat="1" ht="15" customHeight="1">
      <c r="A56" s="628" t="s">
        <v>11</v>
      </c>
      <c r="B56" s="627" t="s">
        <v>12</v>
      </c>
      <c r="C56" s="627" t="s">
        <v>13</v>
      </c>
      <c r="D56" s="625" t="s">
        <v>14</v>
      </c>
      <c r="E56" s="625" t="s">
        <v>14</v>
      </c>
      <c r="F56" s="625" t="s">
        <v>15</v>
      </c>
      <c r="G56" s="625"/>
      <c r="H56" s="625"/>
      <c r="I56" s="625"/>
      <c r="J56" s="625"/>
      <c r="K56" s="626"/>
      <c r="L56" s="625"/>
      <c r="M56" s="625"/>
      <c r="N56" s="625"/>
      <c r="O56" s="625"/>
      <c r="P56" s="625"/>
      <c r="Q56" s="625"/>
      <c r="R56" s="625"/>
      <c r="S56" s="625"/>
      <c r="T56" s="625"/>
      <c r="U56" s="625"/>
      <c r="V56" s="625"/>
      <c r="W56" s="625"/>
      <c r="X56" s="625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</row>
    <row r="57" spans="2:36" s="628" customFormat="1" ht="15" customHeight="1">
      <c r="B57" s="627"/>
      <c r="C57" s="627"/>
      <c r="D57" s="625"/>
      <c r="E57" s="625"/>
      <c r="F57" s="625"/>
      <c r="G57" s="625"/>
      <c r="H57" s="625"/>
      <c r="I57" s="625"/>
      <c r="J57" s="625"/>
      <c r="K57" s="626"/>
      <c r="L57" s="625"/>
      <c r="M57" s="625"/>
      <c r="N57" s="625"/>
      <c r="O57" s="625"/>
      <c r="P57" s="625"/>
      <c r="Q57" s="625"/>
      <c r="R57" s="625"/>
      <c r="S57" s="625"/>
      <c r="T57" s="625"/>
      <c r="U57" s="625"/>
      <c r="V57" s="625"/>
      <c r="W57" s="625"/>
      <c r="X57" s="625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</row>
    <row r="58" spans="1:6" ht="15" customHeight="1">
      <c r="A58" s="624" t="s">
        <v>532</v>
      </c>
      <c r="C58" s="644" t="s">
        <v>273</v>
      </c>
      <c r="F58" s="645">
        <v>27490</v>
      </c>
    </row>
    <row r="59" spans="1:6" ht="15" customHeight="1">
      <c r="A59" s="624" t="s">
        <v>533</v>
      </c>
      <c r="C59" s="646" t="s">
        <v>526</v>
      </c>
      <c r="F59" s="643">
        <v>1248</v>
      </c>
    </row>
    <row r="60" spans="1:6" ht="15" customHeight="1">
      <c r="A60" s="624" t="s">
        <v>534</v>
      </c>
      <c r="C60" s="646" t="s">
        <v>558</v>
      </c>
      <c r="F60" s="643">
        <v>998</v>
      </c>
    </row>
    <row r="61" spans="1:6" ht="31.5">
      <c r="A61" s="624" t="s">
        <v>535</v>
      </c>
      <c r="C61" s="642" t="s">
        <v>629</v>
      </c>
      <c r="F61" s="624">
        <v>280</v>
      </c>
    </row>
    <row r="62" spans="1:6" ht="15.75">
      <c r="A62" s="624" t="s">
        <v>600</v>
      </c>
      <c r="C62" s="642" t="s">
        <v>630</v>
      </c>
      <c r="F62" s="624">
        <v>39</v>
      </c>
    </row>
    <row r="63" spans="1:6" ht="15.75">
      <c r="A63" s="624" t="s">
        <v>601</v>
      </c>
      <c r="C63" s="642" t="s">
        <v>634</v>
      </c>
      <c r="F63" s="624">
        <v>1000</v>
      </c>
    </row>
    <row r="64" spans="1:6" ht="15.75">
      <c r="A64" s="624" t="s">
        <v>602</v>
      </c>
      <c r="C64" s="642" t="s">
        <v>634</v>
      </c>
      <c r="F64" s="624">
        <v>800</v>
      </c>
    </row>
    <row r="65" spans="1:6" ht="15.75">
      <c r="A65" s="624" t="s">
        <v>603</v>
      </c>
      <c r="C65" s="642" t="s">
        <v>634</v>
      </c>
      <c r="F65" s="624">
        <v>54</v>
      </c>
    </row>
    <row r="66" spans="1:6" ht="31.5">
      <c r="A66" s="624" t="s">
        <v>604</v>
      </c>
      <c r="C66" s="642" t="s">
        <v>636</v>
      </c>
      <c r="F66" s="624">
        <v>400</v>
      </c>
    </row>
    <row r="67" spans="1:6" ht="31.5">
      <c r="A67" s="624" t="s">
        <v>605</v>
      </c>
      <c r="C67" s="642" t="s">
        <v>638</v>
      </c>
      <c r="F67" s="624">
        <v>305</v>
      </c>
    </row>
    <row r="68" spans="1:6" ht="31.5">
      <c r="A68" s="624" t="s">
        <v>606</v>
      </c>
      <c r="C68" s="642" t="s">
        <v>642</v>
      </c>
      <c r="F68" s="624">
        <v>460</v>
      </c>
    </row>
    <row r="69" spans="1:6" ht="31.5">
      <c r="A69" s="624" t="s">
        <v>607</v>
      </c>
      <c r="C69" s="642" t="s">
        <v>641</v>
      </c>
      <c r="F69" s="624">
        <v>454</v>
      </c>
    </row>
    <row r="70" spans="3:6" ht="15.75">
      <c r="C70" s="642"/>
      <c r="F70" s="624"/>
    </row>
    <row r="71" spans="1:6" ht="15" customHeight="1">
      <c r="A71" s="624" t="s">
        <v>608</v>
      </c>
      <c r="C71" s="629" t="s">
        <v>475</v>
      </c>
      <c r="F71" s="625">
        <f>SUM(F72:F75)</f>
        <v>34406</v>
      </c>
    </row>
    <row r="72" spans="1:6" ht="15" customHeight="1">
      <c r="A72" s="624" t="s">
        <v>631</v>
      </c>
      <c r="C72" s="624" t="s">
        <v>474</v>
      </c>
      <c r="F72" s="630">
        <v>26212</v>
      </c>
    </row>
    <row r="73" spans="1:6" ht="15" customHeight="1">
      <c r="A73" s="624" t="s">
        <v>632</v>
      </c>
      <c r="C73" s="624" t="s">
        <v>227</v>
      </c>
      <c r="F73" s="630">
        <v>6094</v>
      </c>
    </row>
    <row r="74" spans="1:6" ht="31.5">
      <c r="A74" s="624" t="s">
        <v>633</v>
      </c>
      <c r="C74" s="642" t="s">
        <v>527</v>
      </c>
      <c r="F74" s="630">
        <v>1000</v>
      </c>
    </row>
    <row r="75" spans="1:6" ht="31.5">
      <c r="A75" s="624" t="s">
        <v>643</v>
      </c>
      <c r="C75" s="642" t="s">
        <v>636</v>
      </c>
      <c r="F75" s="630">
        <v>1100</v>
      </c>
    </row>
    <row r="76" ht="15.75">
      <c r="C76" s="642"/>
    </row>
    <row r="77" spans="1:37" ht="15" customHeight="1">
      <c r="A77" s="624" t="s">
        <v>644</v>
      </c>
      <c r="B77" s="623" t="s">
        <v>135</v>
      </c>
      <c r="C77" s="623" t="s">
        <v>479</v>
      </c>
      <c r="D77" s="625">
        <f>SUM(D78:D78)</f>
        <v>150</v>
      </c>
      <c r="E77" s="625">
        <f>SUM(E78:E78)</f>
        <v>150</v>
      </c>
      <c r="F77" s="625">
        <f>SUM(F78:F78)</f>
        <v>150</v>
      </c>
      <c r="G77" s="625"/>
      <c r="H77" s="625"/>
      <c r="I77" s="625"/>
      <c r="J77" s="625"/>
      <c r="K77" s="626"/>
      <c r="L77" s="625"/>
      <c r="M77" s="625"/>
      <c r="N77" s="625"/>
      <c r="O77" s="625"/>
      <c r="P77" s="625"/>
      <c r="Q77" s="625"/>
      <c r="R77" s="625"/>
      <c r="S77" s="625"/>
      <c r="T77" s="625"/>
      <c r="U77" s="625"/>
      <c r="V77" s="625"/>
      <c r="W77" s="625"/>
      <c r="X77" s="625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623"/>
    </row>
    <row r="78" spans="1:37" ht="15" customHeight="1">
      <c r="A78" s="624" t="s">
        <v>645</v>
      </c>
      <c r="B78" s="623"/>
      <c r="C78" s="624" t="s">
        <v>120</v>
      </c>
      <c r="D78" s="634">
        <v>150</v>
      </c>
      <c r="E78" s="630">
        <v>150</v>
      </c>
      <c r="F78" s="630">
        <f>+E78</f>
        <v>150</v>
      </c>
      <c r="Y78" s="627"/>
      <c r="Z78" s="627"/>
      <c r="AA78" s="627"/>
      <c r="AB78" s="627"/>
      <c r="AC78" s="627"/>
      <c r="AD78" s="627"/>
      <c r="AE78" s="627"/>
      <c r="AF78" s="627"/>
      <c r="AG78" s="627"/>
      <c r="AH78" s="627"/>
      <c r="AI78" s="627"/>
      <c r="AJ78" s="627"/>
      <c r="AK78" s="623"/>
    </row>
    <row r="79" spans="2:37" ht="14.25" customHeight="1">
      <c r="B79" s="623"/>
      <c r="Y79" s="627"/>
      <c r="Z79" s="627"/>
      <c r="AA79" s="627"/>
      <c r="AB79" s="627"/>
      <c r="AC79" s="627"/>
      <c r="AD79" s="627"/>
      <c r="AE79" s="627"/>
      <c r="AF79" s="627"/>
      <c r="AG79" s="627"/>
      <c r="AH79" s="627"/>
      <c r="AI79" s="627"/>
      <c r="AJ79" s="627"/>
      <c r="AK79" s="623"/>
    </row>
    <row r="80" spans="1:37" ht="15" customHeight="1">
      <c r="A80" s="624" t="s">
        <v>646</v>
      </c>
      <c r="B80" s="623" t="s">
        <v>136</v>
      </c>
      <c r="C80" s="623" t="s">
        <v>496</v>
      </c>
      <c r="F80" s="625">
        <f>7892-885+1689+280-39+2580+325+88+80-454+1650+110</f>
        <v>13316</v>
      </c>
      <c r="Y80" s="627"/>
      <c r="Z80" s="627"/>
      <c r="AA80" s="627"/>
      <c r="AB80" s="627"/>
      <c r="AC80" s="627"/>
      <c r="AD80" s="627"/>
      <c r="AE80" s="627"/>
      <c r="AF80" s="627"/>
      <c r="AG80" s="627"/>
      <c r="AH80" s="627"/>
      <c r="AI80" s="627"/>
      <c r="AJ80" s="627"/>
      <c r="AK80" s="623"/>
    </row>
    <row r="81" spans="2:37" ht="15" customHeight="1">
      <c r="B81" s="623"/>
      <c r="C81" s="623"/>
      <c r="F81" s="625"/>
      <c r="Y81" s="627"/>
      <c r="Z81" s="627"/>
      <c r="AA81" s="627"/>
      <c r="AB81" s="627"/>
      <c r="AC81" s="627"/>
      <c r="AD81" s="627"/>
      <c r="AE81" s="627"/>
      <c r="AF81" s="627"/>
      <c r="AG81" s="627"/>
      <c r="AH81" s="627"/>
      <c r="AI81" s="627"/>
      <c r="AJ81" s="627"/>
      <c r="AK81" s="623"/>
    </row>
    <row r="82" spans="1:37" ht="15" customHeight="1">
      <c r="A82" s="624" t="s">
        <v>647</v>
      </c>
      <c r="B82" s="623" t="s">
        <v>137</v>
      </c>
      <c r="C82" s="623" t="s">
        <v>528</v>
      </c>
      <c r="F82" s="625">
        <f>+3_mell!E33</f>
        <v>77957</v>
      </c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3"/>
    </row>
    <row r="83" spans="2:37" ht="15.75">
      <c r="B83" s="623"/>
      <c r="Y83" s="627"/>
      <c r="Z83" s="627"/>
      <c r="AA83" s="627"/>
      <c r="AB83" s="627"/>
      <c r="AC83" s="627"/>
      <c r="AD83" s="627"/>
      <c r="AE83" s="627"/>
      <c r="AF83" s="627"/>
      <c r="AG83" s="627"/>
      <c r="AH83" s="627"/>
      <c r="AI83" s="627"/>
      <c r="AJ83" s="627"/>
      <c r="AK83" s="623"/>
    </row>
    <row r="84" spans="1:37" ht="15" customHeight="1">
      <c r="A84" s="624" t="s">
        <v>648</v>
      </c>
      <c r="B84" s="623" t="s">
        <v>121</v>
      </c>
      <c r="D84" s="625">
        <f>+D77+D38+D23+D19+D6</f>
        <v>767298</v>
      </c>
      <c r="E84" s="625">
        <f>+E77+E38+E23+E19+E6</f>
        <v>697731</v>
      </c>
      <c r="F84" s="625">
        <f>+F77+F38+F23+F19+F6+F80+F82</f>
        <v>1082158</v>
      </c>
      <c r="Y84" s="627"/>
      <c r="Z84" s="627"/>
      <c r="AA84" s="627"/>
      <c r="AB84" s="627"/>
      <c r="AC84" s="627"/>
      <c r="AD84" s="627"/>
      <c r="AE84" s="627"/>
      <c r="AF84" s="627"/>
      <c r="AG84" s="627"/>
      <c r="AH84" s="627"/>
      <c r="AI84" s="627"/>
      <c r="AJ84" s="627"/>
      <c r="AK84" s="623"/>
    </row>
    <row r="85" spans="2:37" ht="12.75" customHeight="1">
      <c r="B85" s="623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3"/>
    </row>
    <row r="86" spans="1:36" s="623" customFormat="1" ht="15" customHeight="1">
      <c r="A86" s="623" t="s">
        <v>649</v>
      </c>
      <c r="B86" s="623" t="s">
        <v>122</v>
      </c>
      <c r="D86" s="632">
        <f>+D84</f>
        <v>767298</v>
      </c>
      <c r="E86" s="632">
        <f>+E84</f>
        <v>697731</v>
      </c>
      <c r="F86" s="632">
        <f>+F84</f>
        <v>1082158</v>
      </c>
      <c r="G86" s="637"/>
      <c r="H86" s="637"/>
      <c r="I86" s="637"/>
      <c r="J86" s="637"/>
      <c r="K86" s="633"/>
      <c r="L86" s="632"/>
      <c r="M86" s="632"/>
      <c r="N86" s="632"/>
      <c r="O86" s="632"/>
      <c r="P86" s="632"/>
      <c r="Q86" s="632"/>
      <c r="R86" s="637"/>
      <c r="S86" s="637"/>
      <c r="T86" s="637"/>
      <c r="U86" s="637"/>
      <c r="V86" s="637"/>
      <c r="W86" s="637"/>
      <c r="X86" s="637"/>
      <c r="Y86" s="624"/>
      <c r="Z86" s="624"/>
      <c r="AA86" s="624"/>
      <c r="AB86" s="624"/>
      <c r="AC86" s="637"/>
      <c r="AE86" s="624"/>
      <c r="AF86" s="624"/>
      <c r="AH86" s="628"/>
      <c r="AI86" s="628"/>
      <c r="AJ86" s="628"/>
    </row>
    <row r="87" spans="1:6" ht="15" customHeight="1">
      <c r="A87" s="624" t="s">
        <v>650</v>
      </c>
      <c r="B87" s="624" t="s">
        <v>123</v>
      </c>
      <c r="D87" s="634">
        <f>+2_mell!D33</f>
        <v>0</v>
      </c>
      <c r="E87" s="630">
        <f>+2_mell!E33</f>
        <v>697731</v>
      </c>
      <c r="F87" s="630">
        <f>+2_mell!F33</f>
        <v>1082158</v>
      </c>
    </row>
    <row r="88" spans="1:36" s="623" customFormat="1" ht="15" customHeight="1">
      <c r="A88" s="624"/>
      <c r="B88" s="624"/>
      <c r="C88" s="624"/>
      <c r="D88" s="634"/>
      <c r="E88" s="637"/>
      <c r="F88" s="637"/>
      <c r="G88" s="637"/>
      <c r="H88" s="637"/>
      <c r="I88" s="637"/>
      <c r="J88" s="637"/>
      <c r="K88" s="64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24"/>
      <c r="Z88" s="624"/>
      <c r="AA88" s="624"/>
      <c r="AB88" s="624"/>
      <c r="AC88" s="624"/>
      <c r="AD88" s="624"/>
      <c r="AE88" s="624"/>
      <c r="AF88" s="624"/>
      <c r="AG88" s="628"/>
      <c r="AH88" s="628"/>
      <c r="AI88" s="628"/>
      <c r="AJ88" s="628"/>
    </row>
    <row r="89" spans="4:36" ht="15" customHeight="1">
      <c r="D89" s="630">
        <f>+D86-D87</f>
        <v>767298</v>
      </c>
      <c r="E89" s="630">
        <f>+E86-E87</f>
        <v>0</v>
      </c>
      <c r="F89" s="630">
        <f>+F86-F87</f>
        <v>0</v>
      </c>
      <c r="X89" s="632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  <c r="AJ89" s="623"/>
    </row>
    <row r="91" spans="2:36" ht="15" customHeight="1">
      <c r="B91" s="623"/>
      <c r="X91" s="637"/>
      <c r="Y91" s="624"/>
      <c r="Z91" s="624"/>
      <c r="AA91" s="624"/>
      <c r="AB91" s="624"/>
      <c r="AC91" s="624"/>
      <c r="AD91" s="624"/>
      <c r="AE91" s="624"/>
      <c r="AF91" s="624"/>
      <c r="AG91" s="624"/>
      <c r="AH91" s="624"/>
      <c r="AI91" s="624"/>
      <c r="AJ91" s="624"/>
    </row>
    <row r="92" spans="5:35" ht="15" customHeight="1">
      <c r="E92" s="648"/>
      <c r="F92" s="648"/>
      <c r="G92" s="648"/>
      <c r="H92" s="648"/>
      <c r="I92" s="648"/>
      <c r="J92" s="648"/>
      <c r="K92" s="649"/>
      <c r="L92" s="648"/>
      <c r="M92" s="648"/>
      <c r="N92" s="648"/>
      <c r="O92" s="648"/>
      <c r="P92" s="648"/>
      <c r="Q92" s="648"/>
      <c r="R92" s="648"/>
      <c r="S92" s="648"/>
      <c r="T92" s="648"/>
      <c r="U92" s="648"/>
      <c r="V92" s="648"/>
      <c r="W92" s="648"/>
      <c r="X92" s="648"/>
      <c r="Y92" s="650"/>
      <c r="Z92" s="650"/>
      <c r="AA92" s="650"/>
      <c r="AB92" s="650"/>
      <c r="AC92" s="624"/>
      <c r="AD92" s="624"/>
      <c r="AE92" s="624"/>
      <c r="AF92" s="624"/>
      <c r="AG92" s="650"/>
      <c r="AH92" s="650"/>
      <c r="AI92" s="650"/>
    </row>
    <row r="93" spans="5:35" ht="15" customHeight="1">
      <c r="E93" s="637"/>
      <c r="F93" s="637"/>
      <c r="G93" s="637"/>
      <c r="H93" s="637"/>
      <c r="I93" s="637"/>
      <c r="J93" s="637"/>
      <c r="K93" s="64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24"/>
      <c r="Z93" s="624"/>
      <c r="AA93" s="624"/>
      <c r="AB93" s="624"/>
      <c r="AC93" s="624"/>
      <c r="AD93" s="624"/>
      <c r="AE93" s="624"/>
      <c r="AF93" s="624"/>
      <c r="AG93" s="650"/>
      <c r="AH93" s="650"/>
      <c r="AI93" s="650"/>
    </row>
    <row r="94" spans="5:32" ht="15" customHeight="1">
      <c r="E94" s="648"/>
      <c r="F94" s="648"/>
      <c r="G94" s="648"/>
      <c r="H94" s="648"/>
      <c r="I94" s="648"/>
      <c r="J94" s="648"/>
      <c r="K94" s="649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8"/>
      <c r="X94" s="648"/>
      <c r="Y94" s="650"/>
      <c r="Z94" s="650"/>
      <c r="AA94" s="650"/>
      <c r="AB94" s="650"/>
      <c r="AC94" s="650"/>
      <c r="AD94" s="650"/>
      <c r="AE94" s="650"/>
      <c r="AF94" s="650"/>
    </row>
    <row r="95" ht="15" customHeight="1">
      <c r="B95" s="650"/>
    </row>
    <row r="96" spans="2:36" ht="15" customHeight="1">
      <c r="B96" s="650"/>
      <c r="Y96" s="651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</row>
    <row r="97" spans="25:36" ht="15" customHeight="1">
      <c r="Y97" s="635"/>
      <c r="Z97" s="651"/>
      <c r="AA97" s="651"/>
      <c r="AB97" s="651"/>
      <c r="AC97" s="651"/>
      <c r="AD97" s="651"/>
      <c r="AE97" s="651"/>
      <c r="AF97" s="651"/>
      <c r="AG97" s="651"/>
      <c r="AH97" s="651"/>
      <c r="AI97" s="651"/>
      <c r="AJ97" s="651"/>
    </row>
    <row r="98" ht="15" customHeight="1">
      <c r="AL98" s="623"/>
    </row>
    <row r="99" spans="25:36" ht="15" customHeight="1">
      <c r="Y99" s="635"/>
      <c r="Z99" s="635"/>
      <c r="AA99" s="635"/>
      <c r="AB99" s="635"/>
      <c r="AC99" s="635"/>
      <c r="AD99" s="635"/>
      <c r="AE99" s="635"/>
      <c r="AF99" s="635"/>
      <c r="AG99" s="651"/>
      <c r="AH99" s="651"/>
      <c r="AI99" s="651"/>
      <c r="AJ99" s="651"/>
    </row>
    <row r="102" spans="25:35" ht="15" customHeight="1">
      <c r="Y102" s="651"/>
      <c r="Z102" s="651"/>
      <c r="AA102" s="651"/>
      <c r="AB102" s="651"/>
      <c r="AC102" s="651"/>
      <c r="AD102" s="651"/>
      <c r="AE102" s="651"/>
      <c r="AF102" s="651"/>
      <c r="AG102" s="651"/>
      <c r="AH102" s="651"/>
      <c r="AI102" s="651"/>
    </row>
    <row r="116" ht="15" customHeight="1">
      <c r="C116" s="650" t="s">
        <v>124</v>
      </c>
    </row>
    <row r="117" ht="15" customHeight="1">
      <c r="C117" s="650"/>
    </row>
    <row r="121" ht="15" customHeight="1">
      <c r="C121" s="628"/>
    </row>
    <row r="122" ht="15" customHeight="1">
      <c r="C122" s="628"/>
    </row>
    <row r="123" ht="15" customHeight="1">
      <c r="C123" s="628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10/2014.(VI.27.) Önkormányzati költségvetési rendelethez&amp;R&amp;D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selection activeCell="J38" sqref="J38"/>
    </sheetView>
  </sheetViews>
  <sheetFormatPr defaultColWidth="9.140625" defaultRowHeight="12.75"/>
  <cols>
    <col min="1" max="1" width="5.28125" style="87" customWidth="1"/>
    <col min="2" max="2" width="5.00390625" style="37" customWidth="1"/>
    <col min="3" max="3" width="50.421875" style="37" customWidth="1"/>
    <col min="4" max="4" width="10.8515625" style="37" hidden="1" customWidth="1"/>
    <col min="5" max="5" width="10.8515625" style="37" bestFit="1" customWidth="1"/>
    <col min="6" max="6" width="14.57421875" style="37" customWidth="1"/>
    <col min="7" max="8" width="10.140625" style="37" bestFit="1" customWidth="1"/>
    <col min="9" max="16384" width="9.140625" style="37" customWidth="1"/>
  </cols>
  <sheetData>
    <row r="1" spans="2:6" ht="15.75">
      <c r="B1" s="41"/>
      <c r="C1" s="41"/>
      <c r="D1" s="401" t="s">
        <v>421</v>
      </c>
      <c r="E1" s="39" t="s">
        <v>377</v>
      </c>
      <c r="F1" s="39" t="s">
        <v>377</v>
      </c>
    </row>
    <row r="2" spans="2:6" ht="15.75">
      <c r="B2" s="38"/>
      <c r="C2" s="38" t="s">
        <v>125</v>
      </c>
      <c r="D2" s="401" t="s">
        <v>68</v>
      </c>
      <c r="E2" s="39" t="s">
        <v>68</v>
      </c>
      <c r="F2" s="39" t="s">
        <v>476</v>
      </c>
    </row>
    <row r="3" spans="1:6" s="1" customFormat="1" ht="15.75">
      <c r="A3" s="10" t="s">
        <v>11</v>
      </c>
      <c r="B3" s="38" t="s">
        <v>12</v>
      </c>
      <c r="C3" s="41" t="s">
        <v>13</v>
      </c>
      <c r="E3" s="7" t="s">
        <v>14</v>
      </c>
      <c r="F3" s="7" t="s">
        <v>379</v>
      </c>
    </row>
    <row r="4" spans="2:4" ht="15.75">
      <c r="B4" s="38"/>
      <c r="C4" s="36"/>
      <c r="D4" s="36"/>
    </row>
    <row r="5" spans="1:6" ht="15.75">
      <c r="A5" s="87" t="s">
        <v>20</v>
      </c>
      <c r="B5" s="38"/>
      <c r="C5" s="38" t="s">
        <v>269</v>
      </c>
      <c r="D5" s="88">
        <f>SUM(D7:D12)</f>
        <v>535990</v>
      </c>
      <c r="E5" s="88">
        <f>SUM(E7:E12)</f>
        <v>514345</v>
      </c>
      <c r="F5" s="88">
        <f>SUM(F7:F12)</f>
        <v>815851</v>
      </c>
    </row>
    <row r="6" spans="2:4" ht="15.75">
      <c r="B6" s="38"/>
      <c r="C6" s="36"/>
      <c r="D6" s="36"/>
    </row>
    <row r="7" spans="1:6" ht="24.75" customHeight="1">
      <c r="A7" s="87" t="s">
        <v>21</v>
      </c>
      <c r="B7" s="38" t="s">
        <v>126</v>
      </c>
      <c r="C7" s="36" t="s">
        <v>41</v>
      </c>
      <c r="D7" s="36">
        <v>70809</v>
      </c>
      <c r="E7" s="10">
        <f>+4_mell!G21</f>
        <v>18936</v>
      </c>
      <c r="F7" s="10">
        <f>+4_mell!G22</f>
        <v>258162</v>
      </c>
    </row>
    <row r="8" spans="1:6" ht="24.75" customHeight="1">
      <c r="A8" s="87" t="s">
        <v>22</v>
      </c>
      <c r="B8" s="38" t="s">
        <v>133</v>
      </c>
      <c r="C8" s="36" t="s">
        <v>338</v>
      </c>
      <c r="D8" s="36">
        <v>145321</v>
      </c>
      <c r="E8" s="10">
        <f>+4_mell!G30</f>
        <v>167707</v>
      </c>
      <c r="F8" s="10">
        <f>+4_mell!G31</f>
        <v>177472</v>
      </c>
    </row>
    <row r="9" spans="1:6" ht="24.75" customHeight="1">
      <c r="A9" s="87" t="s">
        <v>23</v>
      </c>
      <c r="B9" s="38" t="s">
        <v>131</v>
      </c>
      <c r="C9" s="89" t="s">
        <v>134</v>
      </c>
      <c r="D9" s="89">
        <v>119002</v>
      </c>
      <c r="E9" s="10">
        <f>+4_mell!G11</f>
        <v>126268</v>
      </c>
      <c r="F9" s="14">
        <f>+4_mell!G12</f>
        <v>135438</v>
      </c>
    </row>
    <row r="10" spans="1:6" ht="24.75" customHeight="1">
      <c r="A10" s="87" t="s">
        <v>24</v>
      </c>
      <c r="B10" s="38" t="s">
        <v>132</v>
      </c>
      <c r="C10" s="36" t="str">
        <f>'[1]2mell_2'!A110</f>
        <v>Városellátó Szervezet</v>
      </c>
      <c r="D10" s="36">
        <v>182110</v>
      </c>
      <c r="E10" s="10">
        <f>+4_mell!G6</f>
        <v>179916</v>
      </c>
      <c r="F10" s="10">
        <f>+4_mell!G7</f>
        <v>218967</v>
      </c>
    </row>
    <row r="11" spans="1:6" ht="24.75" customHeight="1">
      <c r="A11" s="87" t="s">
        <v>25</v>
      </c>
      <c r="B11" s="38" t="s">
        <v>135</v>
      </c>
      <c r="C11" s="89" t="str">
        <f>+'[2]kiadás'!B24</f>
        <v>Városi Művelődési Központ és Könyvtár</v>
      </c>
      <c r="D11" s="89">
        <v>18748</v>
      </c>
      <c r="E11" s="10">
        <f>+4_mell!G16</f>
        <v>21518</v>
      </c>
      <c r="F11" s="10">
        <f>+4_mell!G17</f>
        <v>25812</v>
      </c>
    </row>
    <row r="12" ht="24.75" customHeight="1"/>
    <row r="13" spans="1:6" ht="24.75" customHeight="1">
      <c r="A13" s="87" t="s">
        <v>26</v>
      </c>
      <c r="B13" s="38" t="s">
        <v>136</v>
      </c>
      <c r="C13" s="38" t="s">
        <v>140</v>
      </c>
      <c r="D13" s="88">
        <f>SUM(D14:D15)</f>
        <v>184300</v>
      </c>
      <c r="E13" s="88">
        <f>SUM(E14:E15)</f>
        <v>118339</v>
      </c>
      <c r="F13" s="88">
        <f>SUM(F14:F15)</f>
        <v>118339</v>
      </c>
    </row>
    <row r="14" spans="1:6" ht="24.75" customHeight="1">
      <c r="A14" s="87" t="s">
        <v>27</v>
      </c>
      <c r="B14" s="38"/>
      <c r="C14" s="36" t="s">
        <v>141</v>
      </c>
      <c r="D14" s="36">
        <v>37474</v>
      </c>
      <c r="E14" s="44">
        <f>+6_mell!F31</f>
        <v>23786.5</v>
      </c>
      <c r="F14" s="44">
        <f>+6_mell!F31</f>
        <v>23786.5</v>
      </c>
    </row>
    <row r="15" spans="1:6" ht="24.75" customHeight="1">
      <c r="A15" s="87" t="s">
        <v>28</v>
      </c>
      <c r="B15" s="38"/>
      <c r="C15" s="36" t="s">
        <v>142</v>
      </c>
      <c r="D15" s="36">
        <v>146826</v>
      </c>
      <c r="E15" s="44">
        <f>+6_mell!G31</f>
        <v>94552.5</v>
      </c>
      <c r="F15" s="44">
        <f>+6_mell!G31</f>
        <v>94552.5</v>
      </c>
    </row>
    <row r="16" spans="2:4" ht="24.75" customHeight="1">
      <c r="B16" s="38"/>
      <c r="C16" s="36"/>
      <c r="D16" s="36"/>
    </row>
    <row r="17" spans="1:6" ht="24.75" customHeight="1">
      <c r="A17" s="87" t="s">
        <v>29</v>
      </c>
      <c r="B17" s="38" t="s">
        <v>137</v>
      </c>
      <c r="C17" s="38" t="s">
        <v>143</v>
      </c>
      <c r="D17" s="38">
        <v>18550</v>
      </c>
      <c r="E17" s="14">
        <f>+5_mell!C40</f>
        <v>26169</v>
      </c>
      <c r="F17" s="14">
        <f>+5_mell!D40</f>
        <v>62092</v>
      </c>
    </row>
    <row r="18" spans="2:4" ht="24.75" customHeight="1">
      <c r="B18" s="38"/>
      <c r="C18" s="38"/>
      <c r="D18" s="38"/>
    </row>
    <row r="19" spans="1:6" ht="24.75" customHeight="1">
      <c r="A19" s="87" t="s">
        <v>30</v>
      </c>
      <c r="B19" s="38" t="s">
        <v>138</v>
      </c>
      <c r="C19" s="38" t="s">
        <v>144</v>
      </c>
      <c r="D19" s="38">
        <v>3000</v>
      </c>
      <c r="E19" s="14">
        <f>+5_mell!C43</f>
        <v>3000</v>
      </c>
      <c r="F19" s="14">
        <f>+5_mell!D42</f>
        <v>4000</v>
      </c>
    </row>
    <row r="20" spans="2:4" ht="24.75" customHeight="1">
      <c r="B20" s="38"/>
      <c r="C20" s="36"/>
      <c r="D20" s="36"/>
    </row>
    <row r="21" spans="1:6" ht="24.75" customHeight="1">
      <c r="A21" s="87" t="s">
        <v>31</v>
      </c>
      <c r="B21" s="38" t="s">
        <v>139</v>
      </c>
      <c r="C21" s="38" t="s">
        <v>145</v>
      </c>
      <c r="D21" s="88">
        <f>SUM(D22:D23)</f>
        <v>0</v>
      </c>
      <c r="E21" s="88">
        <f>SUM(E22:E23)</f>
        <v>35878</v>
      </c>
      <c r="F21" s="88">
        <f>SUM(F22:F23)</f>
        <v>81876</v>
      </c>
    </row>
    <row r="22" spans="1:6" ht="24.75" customHeight="1">
      <c r="A22" s="87" t="s">
        <v>32</v>
      </c>
      <c r="B22" s="38"/>
      <c r="C22" s="36" t="s">
        <v>146</v>
      </c>
      <c r="D22" s="36">
        <v>0</v>
      </c>
      <c r="E22" s="42">
        <f>+7_mell!C18</f>
        <v>22241</v>
      </c>
      <c r="F22" s="42">
        <f>+7_mell!D18</f>
        <v>68239</v>
      </c>
    </row>
    <row r="23" spans="1:6" ht="24.75" customHeight="1">
      <c r="A23" s="87" t="s">
        <v>33</v>
      </c>
      <c r="B23" s="38"/>
      <c r="C23" s="36" t="s">
        <v>147</v>
      </c>
      <c r="D23" s="36">
        <v>0</v>
      </c>
      <c r="E23" s="37">
        <f>+7_mell!C24</f>
        <v>13637</v>
      </c>
      <c r="F23" s="37">
        <f>+7_mell!D24</f>
        <v>13637</v>
      </c>
    </row>
    <row r="24" spans="2:4" ht="12" customHeight="1">
      <c r="B24" s="38"/>
      <c r="C24" s="36"/>
      <c r="D24" s="36"/>
    </row>
    <row r="25" spans="1:6" ht="15.75" hidden="1">
      <c r="A25" s="87" t="s">
        <v>34</v>
      </c>
      <c r="B25" s="38" t="s">
        <v>416</v>
      </c>
      <c r="C25" s="38" t="s">
        <v>417</v>
      </c>
      <c r="D25" s="38">
        <f>SUM(D26:D28)</f>
        <v>25458</v>
      </c>
      <c r="E25" s="38">
        <f>SUM(E26:E28)</f>
        <v>0</v>
      </c>
      <c r="F25" s="38"/>
    </row>
    <row r="26" spans="2:4" ht="15.75" hidden="1">
      <c r="B26" s="38"/>
      <c r="C26" s="36" t="s">
        <v>418</v>
      </c>
      <c r="D26" s="36">
        <v>1050</v>
      </c>
    </row>
    <row r="27" spans="2:4" ht="15.75" hidden="1">
      <c r="B27" s="38"/>
      <c r="C27" s="36" t="s">
        <v>419</v>
      </c>
      <c r="D27" s="36">
        <v>16272</v>
      </c>
    </row>
    <row r="28" spans="2:4" ht="15.75" hidden="1">
      <c r="B28" s="38"/>
      <c r="C28" s="36" t="s">
        <v>420</v>
      </c>
      <c r="D28" s="36">
        <v>8136</v>
      </c>
    </row>
    <row r="29" spans="2:4" ht="15.75" hidden="1">
      <c r="B29" s="38"/>
      <c r="C29" s="36"/>
      <c r="D29" s="36"/>
    </row>
    <row r="30" spans="2:4" ht="15.75" hidden="1">
      <c r="B30" s="38"/>
      <c r="C30" s="36"/>
      <c r="D30" s="36"/>
    </row>
    <row r="31" spans="1:6" s="1" customFormat="1" ht="24.75" customHeight="1">
      <c r="A31" s="87" t="s">
        <v>34</v>
      </c>
      <c r="C31" s="38" t="s">
        <v>148</v>
      </c>
      <c r="D31" s="11">
        <f>+D21+D19+D17+D13+D5+D25</f>
        <v>767298</v>
      </c>
      <c r="E31" s="11">
        <f>+E21+E19+E17+E13+E5+E25</f>
        <v>697731</v>
      </c>
      <c r="F31" s="11">
        <f>+F21+F19+F17+F13+F5+F25</f>
        <v>1082158</v>
      </c>
    </row>
    <row r="32" ht="24.75" customHeight="1"/>
    <row r="33" spans="1:6" ht="24.75" customHeight="1">
      <c r="A33" s="87" t="s">
        <v>35</v>
      </c>
      <c r="B33" s="38"/>
      <c r="C33" s="38" t="s">
        <v>38</v>
      </c>
      <c r="D33" s="44"/>
      <c r="E33" s="44">
        <f>+E31</f>
        <v>697731</v>
      </c>
      <c r="F33" s="44">
        <f>+F31</f>
        <v>1082158</v>
      </c>
    </row>
    <row r="34" spans="1:6" ht="24.75" customHeight="1">
      <c r="A34" s="87" t="s">
        <v>36</v>
      </c>
      <c r="B34" s="38"/>
      <c r="C34" s="36" t="s">
        <v>149</v>
      </c>
      <c r="D34" s="36"/>
      <c r="E34" s="42">
        <f>+1_mell!E86</f>
        <v>697731</v>
      </c>
      <c r="F34" s="42">
        <f>+1_mell!F86</f>
        <v>1082158</v>
      </c>
    </row>
    <row r="36" spans="5:6" ht="15">
      <c r="E36" s="243">
        <f>+E34-E33</f>
        <v>0</v>
      </c>
      <c r="F36" s="243"/>
    </row>
    <row r="38" spans="5:6" ht="15">
      <c r="E38" s="243" t="s">
        <v>442</v>
      </c>
      <c r="F38" s="24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10/2014.(VI.27.) Önkormányzati költségvetési rendelethez&amp;R&amp;D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23" sqref="F23"/>
    </sheetView>
  </sheetViews>
  <sheetFormatPr defaultColWidth="9.140625" defaultRowHeight="15" customHeight="1"/>
  <cols>
    <col min="1" max="1" width="4.57421875" style="16" bestFit="1" customWidth="1"/>
    <col min="2" max="2" width="25.421875" style="16" customWidth="1"/>
    <col min="3" max="3" width="13.28125" style="16" customWidth="1"/>
    <col min="4" max="4" width="9.28125" style="16" customWidth="1"/>
    <col min="5" max="5" width="9.421875" style="16" customWidth="1"/>
    <col min="6" max="6" width="11.00390625" style="16" customWidth="1"/>
    <col min="7" max="7" width="10.140625" style="16" bestFit="1" customWidth="1"/>
    <col min="8" max="8" width="10.7109375" style="16" customWidth="1"/>
    <col min="9" max="9" width="8.28125" style="16" hidden="1" customWidth="1"/>
    <col min="10" max="10" width="13.8515625" style="16" customWidth="1"/>
    <col min="11" max="11" width="9.421875" style="16" bestFit="1" customWidth="1"/>
    <col min="12" max="12" width="11.7109375" style="16" customWidth="1"/>
    <col min="13" max="13" width="12.421875" style="16" customWidth="1"/>
    <col min="14" max="16384" width="9.140625" style="16" customWidth="1"/>
  </cols>
  <sheetData>
    <row r="1" spans="2:13" ht="15" customHeight="1">
      <c r="B1" s="17" t="s">
        <v>0</v>
      </c>
      <c r="C1" s="18"/>
      <c r="D1" s="19" t="s">
        <v>1</v>
      </c>
      <c r="E1" s="19" t="s">
        <v>2</v>
      </c>
      <c r="F1" s="714" t="s">
        <v>3</v>
      </c>
      <c r="G1" s="714"/>
      <c r="H1" s="714"/>
      <c r="I1" s="21" t="e">
        <f>+#REF!</f>
        <v>#REF!</v>
      </c>
      <c r="J1" s="19" t="s">
        <v>4</v>
      </c>
      <c r="K1" s="19"/>
      <c r="L1" s="19" t="s">
        <v>5</v>
      </c>
      <c r="M1" s="19" t="s">
        <v>6</v>
      </c>
    </row>
    <row r="2" spans="2:13" ht="15" customHeight="1">
      <c r="B2" s="22"/>
      <c r="C2" s="23"/>
      <c r="D2" s="24"/>
      <c r="E2" s="24"/>
      <c r="F2" s="20" t="s">
        <v>7</v>
      </c>
      <c r="G2" s="20" t="s">
        <v>8</v>
      </c>
      <c r="H2" s="20" t="s">
        <v>9</v>
      </c>
      <c r="I2" s="21"/>
      <c r="J2" s="24"/>
      <c r="K2" s="24"/>
      <c r="L2" s="24"/>
      <c r="M2" s="24"/>
    </row>
    <row r="3" spans="1:13" s="25" customFormat="1" ht="15.75" customHeight="1">
      <c r="A3" s="25" t="s">
        <v>11</v>
      </c>
      <c r="B3" s="17" t="s">
        <v>12</v>
      </c>
      <c r="C3" s="18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26"/>
      <c r="J3" s="19" t="s">
        <v>63</v>
      </c>
      <c r="K3" s="19" t="s">
        <v>19</v>
      </c>
      <c r="L3" s="19" t="s">
        <v>361</v>
      </c>
      <c r="M3" s="19" t="s">
        <v>362</v>
      </c>
    </row>
    <row r="4" spans="3:13" ht="9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ht="32.25" customHeight="1" hidden="1">
      <c r="C5" s="27" t="s">
        <v>54</v>
      </c>
      <c r="D5" s="28">
        <v>87890</v>
      </c>
      <c r="J5" s="28">
        <f>+M5-D5-E5-F5-G5-H5-K5</f>
        <v>94220</v>
      </c>
      <c r="K5" s="28"/>
      <c r="L5" s="28">
        <f>SUM(D5:J5)</f>
        <v>182110</v>
      </c>
      <c r="M5" s="28">
        <f>+4_mell!M4</f>
        <v>182110</v>
      </c>
    </row>
    <row r="6" spans="3:13" ht="0.75" customHeight="1" hidden="1">
      <c r="C6" s="27" t="s">
        <v>372</v>
      </c>
      <c r="D6" s="28">
        <f>+D5</f>
        <v>87890</v>
      </c>
      <c r="E6" s="28">
        <v>1114</v>
      </c>
      <c r="F6" s="28">
        <f>+F5</f>
        <v>0</v>
      </c>
      <c r="G6" s="28">
        <v>1346</v>
      </c>
      <c r="H6" s="28">
        <f>+H5</f>
        <v>0</v>
      </c>
      <c r="J6" s="28">
        <f>+M6-D6-E6-F6-G6-H6-K6</f>
        <v>137989</v>
      </c>
      <c r="K6" s="28"/>
      <c r="L6" s="28">
        <f>SUM(D6:J6)</f>
        <v>228339</v>
      </c>
      <c r="M6" s="28">
        <f>+4_mell!M5</f>
        <v>228339</v>
      </c>
    </row>
    <row r="7" spans="1:13" ht="30">
      <c r="A7" s="16" t="s">
        <v>20</v>
      </c>
      <c r="B7" s="27" t="str">
        <f>+'[1]2mell 1ápr'!A28</f>
        <v>Városellátó  Szervezet</v>
      </c>
      <c r="C7" s="27" t="s">
        <v>376</v>
      </c>
      <c r="D7" s="28">
        <v>85768</v>
      </c>
      <c r="E7" s="28"/>
      <c r="F7" s="28">
        <v>0</v>
      </c>
      <c r="G7" s="28"/>
      <c r="H7" s="28"/>
      <c r="J7" s="32">
        <f>+M7-K7-H7-G7-F7-E7-D7</f>
        <v>94148</v>
      </c>
      <c r="K7" s="28"/>
      <c r="L7" s="28">
        <f>SUM(D7:J7)</f>
        <v>179916</v>
      </c>
      <c r="M7" s="28">
        <f>+4_mell!M6</f>
        <v>179916</v>
      </c>
    </row>
    <row r="8" spans="1:13" ht="24" customHeight="1">
      <c r="A8" s="16" t="s">
        <v>21</v>
      </c>
      <c r="C8" s="16" t="s">
        <v>478</v>
      </c>
      <c r="D8" s="16">
        <f>+D7</f>
        <v>85768</v>
      </c>
      <c r="E8" s="16">
        <v>1355</v>
      </c>
      <c r="G8" s="16">
        <f>+1_mell!F58</f>
        <v>27490</v>
      </c>
      <c r="J8" s="32">
        <f>+M8-K8-H8-G8-F8-E8-D8</f>
        <v>104873</v>
      </c>
      <c r="L8" s="28">
        <f>SUM(D8:J8)</f>
        <v>219486</v>
      </c>
      <c r="M8" s="28">
        <f>+4_mell!M7</f>
        <v>219486</v>
      </c>
    </row>
    <row r="9" spans="2:13" ht="14.25" customHeight="1">
      <c r="B9" s="27"/>
      <c r="D9" s="28"/>
      <c r="F9" s="28"/>
      <c r="J9" s="28"/>
      <c r="K9" s="28"/>
      <c r="L9" s="28"/>
      <c r="M9" s="28"/>
    </row>
    <row r="10" spans="3:13" ht="0.75" customHeight="1" hidden="1">
      <c r="C10" s="27" t="s">
        <v>54</v>
      </c>
      <c r="D10" s="28">
        <v>19283</v>
      </c>
      <c r="F10" s="32">
        <f>+1_mell!E41+1_mell!E45+1_mell!E46</f>
        <v>46745</v>
      </c>
      <c r="J10" s="28">
        <f>+M10-D10-E10-F10-G10-H10-K10</f>
        <v>52974</v>
      </c>
      <c r="K10" s="28"/>
      <c r="L10" s="28">
        <f>SUM(D10:J10)</f>
        <v>119002</v>
      </c>
      <c r="M10" s="28">
        <f>+4_mell!M9</f>
        <v>119002</v>
      </c>
    </row>
    <row r="11" spans="3:13" ht="15" hidden="1">
      <c r="C11" s="27" t="s">
        <v>372</v>
      </c>
      <c r="D11" s="28">
        <f aca="true" t="shared" si="0" ref="D11:I11">+D10</f>
        <v>19283</v>
      </c>
      <c r="E11" s="28">
        <v>4065</v>
      </c>
      <c r="F11" s="32">
        <f>+F10-5671</f>
        <v>41074</v>
      </c>
      <c r="G11" s="28">
        <v>1349</v>
      </c>
      <c r="H11" s="28">
        <f t="shared" si="0"/>
        <v>0</v>
      </c>
      <c r="I11" s="28">
        <f t="shared" si="0"/>
        <v>0</v>
      </c>
      <c r="J11" s="28">
        <f>+M11-D11-E11-F11-G11-H11-K11</f>
        <v>69211</v>
      </c>
      <c r="K11" s="28"/>
      <c r="L11" s="28">
        <f>SUM(D11:J11)</f>
        <v>134982</v>
      </c>
      <c r="M11" s="28">
        <f>+4_mell!M10</f>
        <v>134982</v>
      </c>
    </row>
    <row r="12" spans="1:13" ht="45">
      <c r="A12" s="16" t="s">
        <v>22</v>
      </c>
      <c r="B12" s="27" t="str">
        <f>+'[1]2mell 1ápr'!A32</f>
        <v>Egészségügyi és Szociális Ellátó Szervezet</v>
      </c>
      <c r="C12" s="27" t="s">
        <v>376</v>
      </c>
      <c r="D12" s="32">
        <v>8903</v>
      </c>
      <c r="E12" s="28">
        <v>0</v>
      </c>
      <c r="F12" s="32">
        <v>32500</v>
      </c>
      <c r="G12" s="28">
        <v>0</v>
      </c>
      <c r="H12" s="28">
        <v>0</v>
      </c>
      <c r="I12" s="28"/>
      <c r="J12" s="32">
        <f>+M12-K12-H12-G12-F12-E12-D12</f>
        <v>84865</v>
      </c>
      <c r="K12" s="28"/>
      <c r="L12" s="28">
        <f>SUM(D12:J12)</f>
        <v>126268</v>
      </c>
      <c r="M12" s="28">
        <f>+4_mell!M11</f>
        <v>126268</v>
      </c>
    </row>
    <row r="13" spans="1:13" ht="27.75" customHeight="1">
      <c r="A13" s="16" t="s">
        <v>23</v>
      </c>
      <c r="C13" s="16" t="s">
        <v>478</v>
      </c>
      <c r="D13" s="29">
        <f>+D12</f>
        <v>8903</v>
      </c>
      <c r="E13" s="16">
        <v>616</v>
      </c>
      <c r="F13" s="29">
        <f>+F12+1_mell!F63+1_mell!F64+1_mell!F65</f>
        <v>34354</v>
      </c>
      <c r="G13" s="16">
        <f>+1_mell!F52</f>
        <v>2356</v>
      </c>
      <c r="J13" s="32">
        <f>+M13-K13-H13-G13-F13-E13-D13</f>
        <v>91859</v>
      </c>
      <c r="L13" s="28">
        <f>SUM(D13:J13)</f>
        <v>138088</v>
      </c>
      <c r="M13" s="28">
        <f>+4_mell!M12</f>
        <v>138088</v>
      </c>
    </row>
    <row r="14" spans="4:13" ht="13.5" customHeight="1">
      <c r="D14" s="28"/>
      <c r="F14" s="29"/>
      <c r="J14" s="28"/>
      <c r="K14" s="28"/>
      <c r="L14" s="28"/>
      <c r="M14" s="28"/>
    </row>
    <row r="15" spans="3:13" ht="28.5" customHeight="1" hidden="1">
      <c r="C15" s="27" t="s">
        <v>54</v>
      </c>
      <c r="D15" s="28">
        <v>1290</v>
      </c>
      <c r="J15" s="28">
        <f>+M15-D15-E15-F15-G15-H15-K15</f>
        <v>17458</v>
      </c>
      <c r="K15" s="28"/>
      <c r="L15" s="28">
        <f>SUM(D15:J15)</f>
        <v>18748</v>
      </c>
      <c r="M15" s="28">
        <f>+4_mell!M14</f>
        <v>18748</v>
      </c>
    </row>
    <row r="16" spans="3:13" ht="30.75" customHeight="1" hidden="1">
      <c r="C16" s="27" t="s">
        <v>372</v>
      </c>
      <c r="D16" s="28">
        <f>+D15</f>
        <v>1290</v>
      </c>
      <c r="E16" s="28">
        <f>+E15</f>
        <v>0</v>
      </c>
      <c r="F16" s="28">
        <f>+F15+4878</f>
        <v>4878</v>
      </c>
      <c r="G16" s="28">
        <v>806</v>
      </c>
      <c r="H16" s="28">
        <f>+H15+3122</f>
        <v>3122</v>
      </c>
      <c r="J16" s="28">
        <f>+M16-D16-E16-F16-G16-H16-K16</f>
        <v>20900</v>
      </c>
      <c r="K16" s="28"/>
      <c r="L16" s="28">
        <f>SUM(D16:J16)</f>
        <v>30996</v>
      </c>
      <c r="M16" s="28">
        <f>+4_mell!M15</f>
        <v>30996</v>
      </c>
    </row>
    <row r="17" spans="1:13" ht="28.5" customHeight="1">
      <c r="A17" s="16" t="s">
        <v>24</v>
      </c>
      <c r="B17" s="27" t="str">
        <f>+'[2]kiadás'!B24</f>
        <v>Városi Művelődési Központ és Könyvtár</v>
      </c>
      <c r="C17" s="27" t="s">
        <v>376</v>
      </c>
      <c r="D17" s="28">
        <v>2200</v>
      </c>
      <c r="E17" s="28"/>
      <c r="F17" s="28">
        <v>0</v>
      </c>
      <c r="G17" s="28"/>
      <c r="H17" s="28"/>
      <c r="J17" s="32">
        <f>+M17-K17-H17-G17-F17-E17-D17</f>
        <v>19318</v>
      </c>
      <c r="K17" s="28"/>
      <c r="L17" s="28">
        <f>SUM(D17:J17)</f>
        <v>21518</v>
      </c>
      <c r="M17" s="28">
        <f>+4_mell!M16</f>
        <v>21518</v>
      </c>
    </row>
    <row r="18" spans="1:13" ht="21" customHeight="1">
      <c r="A18" s="16" t="s">
        <v>25</v>
      </c>
      <c r="C18" s="16" t="s">
        <v>478</v>
      </c>
      <c r="D18" s="30">
        <f>+D17</f>
        <v>2200</v>
      </c>
      <c r="E18" s="30">
        <v>268</v>
      </c>
      <c r="F18" s="30">
        <f>+1_mell!F61+1_mell!F66+1_mell!F67+1_mell!F68</f>
        <v>1445</v>
      </c>
      <c r="G18" s="31">
        <f>+1_mell!F74</f>
        <v>1000</v>
      </c>
      <c r="H18" s="31">
        <f>+1_mell!F75</f>
        <v>1100</v>
      </c>
      <c r="I18" s="30"/>
      <c r="J18" s="32">
        <f>+M18-K18-H18-G18-F18-E18-D18</f>
        <v>22353</v>
      </c>
      <c r="K18" s="30"/>
      <c r="L18" s="28">
        <f>SUM(D18:J18)</f>
        <v>28366</v>
      </c>
      <c r="M18" s="28">
        <f>+4_mell!M17</f>
        <v>28366</v>
      </c>
    </row>
    <row r="19" spans="4:13" ht="15" customHeight="1">
      <c r="D19" s="30"/>
      <c r="E19" s="30"/>
      <c r="F19" s="31"/>
      <c r="G19" s="30"/>
      <c r="H19" s="31"/>
      <c r="I19" s="30"/>
      <c r="J19" s="31"/>
      <c r="L19" s="30"/>
      <c r="M19" s="30"/>
    </row>
    <row r="20" spans="3:13" ht="28.5" customHeight="1" hidden="1">
      <c r="C20" s="27" t="s">
        <v>54</v>
      </c>
      <c r="D20" s="30">
        <f>122+2014+2061+48-1</f>
        <v>4244</v>
      </c>
      <c r="E20" s="30"/>
      <c r="F20" s="31">
        <f>+1_mell!E43+1_mell!E44+1_mell!E45+1_mell!E46</f>
        <v>19345</v>
      </c>
      <c r="G20" s="30"/>
      <c r="H20" s="31"/>
      <c r="I20" s="30"/>
      <c r="J20" s="31"/>
      <c r="L20" s="30">
        <f>SUM(D20:J20)</f>
        <v>23589</v>
      </c>
      <c r="M20" s="30">
        <f>+4_mell!M19</f>
        <v>76637</v>
      </c>
    </row>
    <row r="21" spans="3:13" ht="15" hidden="1">
      <c r="C21" s="27" t="s">
        <v>372</v>
      </c>
      <c r="D21" s="30">
        <f>+D20</f>
        <v>4244</v>
      </c>
      <c r="E21" s="30">
        <v>40813</v>
      </c>
      <c r="F21" s="31">
        <f>+F20-8000-5671+420+2000+384+93588+39-6500+66445+19+3248</f>
        <v>165317</v>
      </c>
      <c r="G21" s="30">
        <f>+G20</f>
        <v>0</v>
      </c>
      <c r="H21" s="31">
        <v>20200</v>
      </c>
      <c r="I21" s="30"/>
      <c r="J21" s="31"/>
      <c r="L21" s="30">
        <f>SUM(D21:J21)</f>
        <v>230574</v>
      </c>
      <c r="M21" s="30">
        <f>+4_mell!M20</f>
        <v>378492</v>
      </c>
    </row>
    <row r="22" spans="1:13" ht="30">
      <c r="A22" s="16" t="s">
        <v>26</v>
      </c>
      <c r="B22" s="27" t="s">
        <v>41</v>
      </c>
      <c r="C22" s="27" t="s">
        <v>376</v>
      </c>
      <c r="D22" s="30">
        <v>500</v>
      </c>
      <c r="E22" s="30"/>
      <c r="F22" s="31">
        <f>+1_mell!E42+1_mell!E43+1_mell!E44+1_mell!E45+1_mell!E46+1_mell!E47</f>
        <v>117844</v>
      </c>
      <c r="G22" s="30"/>
      <c r="H22" s="31"/>
      <c r="I22" s="30"/>
      <c r="J22" s="31"/>
      <c r="K22" s="29">
        <f>+1_mell!E6-1_mell!E7+1_mell!E19+1_mell!E23+1_mell!E77</f>
        <v>447916</v>
      </c>
      <c r="L22" s="30">
        <f>SUM(D22:K22)</f>
        <v>566260</v>
      </c>
      <c r="M22" s="30">
        <f>+4_mell!M21</f>
        <v>71532</v>
      </c>
    </row>
    <row r="23" spans="1:13" ht="24" customHeight="1">
      <c r="A23" s="16" t="s">
        <v>27</v>
      </c>
      <c r="C23" s="16" t="s">
        <v>478</v>
      </c>
      <c r="D23" s="30">
        <f>+D22</f>
        <v>500</v>
      </c>
      <c r="E23" s="30">
        <v>75457</v>
      </c>
      <c r="F23" s="31">
        <f>+1_mell!F42+1_mell!F43+1_mell!F44+1_mell!F45+1_mell!F46+1_mell!F47+1_mell!F48+1_mell!F59+1_mell!F62+1_mell!F69</f>
        <v>263089</v>
      </c>
      <c r="G23" s="30"/>
      <c r="H23" s="31">
        <f>+1_mell!F72+1_mell!F73</f>
        <v>32306</v>
      </c>
      <c r="I23" s="30"/>
      <c r="J23" s="31"/>
      <c r="K23" s="29">
        <f>+1_mell!F6-1_mell!F7+1_mell!F19+1_mell!F23+1_mell!F77</f>
        <v>520838</v>
      </c>
      <c r="L23" s="30">
        <f>SUM(D23:K23)</f>
        <v>892190</v>
      </c>
      <c r="M23" s="30">
        <f>+4_mell!M22</f>
        <v>405521</v>
      </c>
    </row>
    <row r="24" spans="3:13" ht="15">
      <c r="C24" s="27"/>
      <c r="D24" s="30"/>
      <c r="E24" s="30"/>
      <c r="F24" s="31"/>
      <c r="G24" s="30"/>
      <c r="H24" s="31"/>
      <c r="I24" s="30"/>
      <c r="J24" s="31"/>
      <c r="L24" s="30"/>
      <c r="M24" s="30"/>
    </row>
    <row r="25" spans="3:13" ht="31.5" customHeight="1" hidden="1">
      <c r="C25" s="27" t="s">
        <v>54</v>
      </c>
      <c r="D25" s="28">
        <f>216+1375-1</f>
        <v>1590</v>
      </c>
      <c r="F25" s="29">
        <f>+1_mell!D42</f>
        <v>146826</v>
      </c>
      <c r="J25" s="32">
        <f>+M25-D25-E25-F25-G25-H25-K25</f>
        <v>175377</v>
      </c>
      <c r="K25" s="31"/>
      <c r="L25" s="28">
        <f>SUM(D25:J25)</f>
        <v>323793</v>
      </c>
      <c r="M25" s="28">
        <f>+4_mell!M27</f>
        <v>323793</v>
      </c>
    </row>
    <row r="26" spans="3:13" ht="31.5" customHeight="1" hidden="1">
      <c r="C26" s="27" t="s">
        <v>372</v>
      </c>
      <c r="D26" s="28">
        <f>+D25</f>
        <v>1590</v>
      </c>
      <c r="E26" s="28">
        <v>6610</v>
      </c>
      <c r="F26" s="32">
        <f>+F25-84005+9981-26912-16962+11548</f>
        <v>40476</v>
      </c>
      <c r="G26" s="28">
        <v>225</v>
      </c>
      <c r="H26" s="28">
        <f>+H25</f>
        <v>0</v>
      </c>
      <c r="J26" s="32">
        <f>+M26-K26-H26-G26-F26-E26-D26</f>
        <v>311996</v>
      </c>
      <c r="K26" s="31"/>
      <c r="L26" s="28">
        <f>SUM(D26:J26)</f>
        <v>360897</v>
      </c>
      <c r="M26" s="28">
        <f>+4_mell!M28</f>
        <v>360897</v>
      </c>
    </row>
    <row r="27" spans="1:13" ht="32.25" customHeight="1">
      <c r="A27" s="16" t="s">
        <v>28</v>
      </c>
      <c r="B27" s="27" t="s">
        <v>338</v>
      </c>
      <c r="C27" s="27" t="s">
        <v>376</v>
      </c>
      <c r="D27" s="16">
        <v>2100</v>
      </c>
      <c r="F27" s="16">
        <v>0</v>
      </c>
      <c r="J27" s="32">
        <f>+M27-K27-H27-G27-F27-E27-D27</f>
        <v>278832</v>
      </c>
      <c r="L27" s="28">
        <f>SUM(D27:J27)</f>
        <v>280932</v>
      </c>
      <c r="M27" s="16">
        <f>+4_mell!M30</f>
        <v>280932</v>
      </c>
    </row>
    <row r="28" spans="1:13" ht="24.75" customHeight="1">
      <c r="A28" s="16" t="s">
        <v>29</v>
      </c>
      <c r="C28" s="16" t="s">
        <v>478</v>
      </c>
      <c r="D28" s="16">
        <f>+D27</f>
        <v>2100</v>
      </c>
      <c r="E28" s="16">
        <v>261</v>
      </c>
      <c r="F28" s="29">
        <f>+1_mell!F49+1_mell!F60</f>
        <v>2093</v>
      </c>
      <c r="G28" s="16">
        <f>+1_mell!F51</f>
        <v>5343</v>
      </c>
      <c r="J28" s="32">
        <f>+M28-K28-H28-G28-F28-E28-D28</f>
        <v>280900</v>
      </c>
      <c r="L28" s="28">
        <f>SUM(D28:J28)</f>
        <v>290697</v>
      </c>
      <c r="M28" s="16">
        <f>+4_mell!M31</f>
        <v>290697</v>
      </c>
    </row>
    <row r="29" spans="3:12" ht="15" customHeight="1">
      <c r="C29" s="27"/>
      <c r="L29" s="28"/>
    </row>
    <row r="30" spans="3:13" ht="32.25" customHeight="1" hidden="1">
      <c r="C30" s="27" t="s">
        <v>54</v>
      </c>
      <c r="D30" s="30">
        <f aca="true" t="shared" si="1" ref="D30:M30">+D25+D20+D15+D10+D5</f>
        <v>114297</v>
      </c>
      <c r="E30" s="30">
        <f t="shared" si="1"/>
        <v>0</v>
      </c>
      <c r="F30" s="30">
        <f t="shared" si="1"/>
        <v>212916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1">
        <f t="shared" si="1"/>
        <v>340029</v>
      </c>
      <c r="K30" s="30">
        <f t="shared" si="1"/>
        <v>0</v>
      </c>
      <c r="L30" s="30">
        <f t="shared" si="1"/>
        <v>667242</v>
      </c>
      <c r="M30" s="30">
        <f t="shared" si="1"/>
        <v>720290</v>
      </c>
    </row>
    <row r="31" spans="3:13" ht="15" hidden="1">
      <c r="C31" s="27" t="s">
        <v>372</v>
      </c>
      <c r="D31" s="30">
        <f aca="true" t="shared" si="2" ref="D31:M31">+D26+D21+D16+D11+D6</f>
        <v>114297</v>
      </c>
      <c r="E31" s="30">
        <f t="shared" si="2"/>
        <v>52602</v>
      </c>
      <c r="F31" s="31">
        <f t="shared" si="2"/>
        <v>251745</v>
      </c>
      <c r="G31" s="30">
        <f t="shared" si="2"/>
        <v>3726</v>
      </c>
      <c r="H31" s="30">
        <f t="shared" si="2"/>
        <v>23322</v>
      </c>
      <c r="I31" s="30">
        <f t="shared" si="2"/>
        <v>0</v>
      </c>
      <c r="J31" s="30">
        <f t="shared" si="2"/>
        <v>540096</v>
      </c>
      <c r="K31" s="30">
        <f t="shared" si="2"/>
        <v>0</v>
      </c>
      <c r="L31" s="30">
        <f t="shared" si="2"/>
        <v>985788</v>
      </c>
      <c r="M31" s="30">
        <f t="shared" si="2"/>
        <v>1133706</v>
      </c>
    </row>
    <row r="32" spans="1:13" ht="33.75" customHeight="1">
      <c r="A32" s="16" t="s">
        <v>30</v>
      </c>
      <c r="B32" s="33" t="s">
        <v>53</v>
      </c>
      <c r="C32" s="27" t="s">
        <v>376</v>
      </c>
      <c r="D32" s="30">
        <f aca="true" t="shared" si="3" ref="D32:K33">+D27+D22+D17+D12+D7</f>
        <v>99471</v>
      </c>
      <c r="E32" s="30">
        <f t="shared" si="3"/>
        <v>0</v>
      </c>
      <c r="F32" s="30">
        <f t="shared" si="3"/>
        <v>150344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1">
        <f t="shared" si="3"/>
        <v>477163</v>
      </c>
      <c r="K32" s="30">
        <f t="shared" si="3"/>
        <v>447916</v>
      </c>
      <c r="L32" s="30">
        <f>+K32+H32+G32+F32+E32+D32</f>
        <v>697731</v>
      </c>
      <c r="M32" s="30">
        <f>+M27+M22+M17+M12+M7</f>
        <v>680166</v>
      </c>
    </row>
    <row r="33" spans="1:13" ht="15">
      <c r="A33" s="16" t="s">
        <v>31</v>
      </c>
      <c r="B33" s="30"/>
      <c r="C33" s="16" t="s">
        <v>478</v>
      </c>
      <c r="D33" s="30">
        <f t="shared" si="3"/>
        <v>99471</v>
      </c>
      <c r="E33" s="30">
        <f t="shared" si="3"/>
        <v>77957</v>
      </c>
      <c r="F33" s="31">
        <f>+F28+F23+F18+F13+F8</f>
        <v>300981</v>
      </c>
      <c r="G33" s="30">
        <f>+G28+G23+G18+G13+G8</f>
        <v>36189</v>
      </c>
      <c r="H33" s="30">
        <f t="shared" si="3"/>
        <v>33406</v>
      </c>
      <c r="I33" s="30">
        <f t="shared" si="3"/>
        <v>0</v>
      </c>
      <c r="J33" s="30">
        <f t="shared" si="3"/>
        <v>499985</v>
      </c>
      <c r="K33" s="30">
        <f t="shared" si="3"/>
        <v>520838</v>
      </c>
      <c r="L33" s="30">
        <f>+L28+L23+L18+L13+L8</f>
        <v>1568827</v>
      </c>
      <c r="M33" s="30">
        <f>+M28+M23+M18+M13+M8</f>
        <v>1082158</v>
      </c>
    </row>
    <row r="34" spans="2:13" ht="15">
      <c r="B34" s="30"/>
      <c r="D34" s="30"/>
      <c r="E34" s="30"/>
      <c r="F34" s="30"/>
      <c r="G34" s="30"/>
      <c r="H34" s="30"/>
      <c r="I34" s="30"/>
      <c r="J34" s="30"/>
      <c r="K34" s="30"/>
      <c r="L34" s="30"/>
      <c r="M34" s="31">
        <f>+2_mell!F33</f>
        <v>1082158</v>
      </c>
    </row>
    <row r="35" spans="6:11" ht="15" customHeight="1">
      <c r="F35" s="29">
        <f>SUM(F33:H33)</f>
        <v>370576</v>
      </c>
      <c r="K35" s="29"/>
    </row>
    <row r="36" spans="6:8" ht="15" customHeight="1">
      <c r="F36" s="29">
        <f>+1_mell!F40-1_mell!F50</f>
        <v>300981</v>
      </c>
      <c r="G36" s="29">
        <f>+1_mell!F50+1_mell!F74</f>
        <v>36189</v>
      </c>
      <c r="H36" s="29">
        <f>+1_mell!F71-1_mell!F74</f>
        <v>33406</v>
      </c>
    </row>
    <row r="37" ht="15" customHeight="1">
      <c r="H37" s="29">
        <f>SUM(F36:H36)</f>
        <v>370576</v>
      </c>
    </row>
    <row r="38" ht="15" customHeight="1">
      <c r="F38" s="29"/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10/2014.(VI.27.) Önkormányzati költségvetési rendelethez&amp;R&amp;D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zoomScalePageLayoutView="0" workbookViewId="0" topLeftCell="A3">
      <selection activeCell="F7" sqref="F7"/>
    </sheetView>
  </sheetViews>
  <sheetFormatPr defaultColWidth="9.140625" defaultRowHeight="15" customHeight="1"/>
  <cols>
    <col min="1" max="1" width="4.57421875" style="7" bestFit="1" customWidth="1"/>
    <col min="2" max="2" width="25.57421875" style="1" customWidth="1"/>
    <col min="3" max="3" width="15.140625" style="37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582" t="s">
        <v>55</v>
      </c>
      <c r="D1" s="8" t="s">
        <v>56</v>
      </c>
      <c r="E1" s="3" t="s">
        <v>57</v>
      </c>
      <c r="F1" s="34" t="s">
        <v>58</v>
      </c>
      <c r="G1" s="4" t="s">
        <v>59</v>
      </c>
      <c r="H1" s="715" t="s">
        <v>60</v>
      </c>
      <c r="I1" s="715"/>
      <c r="J1" s="715"/>
      <c r="K1" s="715"/>
      <c r="L1" s="3" t="s">
        <v>39</v>
      </c>
      <c r="M1" s="3" t="s">
        <v>61</v>
      </c>
      <c r="N1" s="3"/>
    </row>
    <row r="2" spans="2:14" ht="15" customHeight="1">
      <c r="B2" s="5"/>
      <c r="C2" s="409"/>
      <c r="D2" s="6"/>
      <c r="E2" s="6"/>
      <c r="F2" s="6"/>
      <c r="G2" s="6"/>
      <c r="H2" s="6" t="s">
        <v>7</v>
      </c>
      <c r="I2" s="6" t="s">
        <v>62</v>
      </c>
      <c r="J2" s="6" t="s">
        <v>8</v>
      </c>
      <c r="K2" s="6" t="s">
        <v>9</v>
      </c>
      <c r="L2" s="6"/>
      <c r="M2" s="6"/>
      <c r="N2" s="6"/>
    </row>
    <row r="3" spans="1:14" s="7" customFormat="1" ht="20.25" customHeight="1">
      <c r="A3" s="7" t="s">
        <v>363</v>
      </c>
      <c r="B3" s="2" t="s">
        <v>12</v>
      </c>
      <c r="C3" s="582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361</v>
      </c>
      <c r="L3" s="3" t="s">
        <v>362</v>
      </c>
      <c r="M3" s="3" t="s">
        <v>364</v>
      </c>
      <c r="N3" s="3"/>
    </row>
    <row r="4" spans="3:14" ht="31.5" customHeight="1" hidden="1">
      <c r="C4" s="402" t="s">
        <v>54</v>
      </c>
      <c r="D4" s="87">
        <v>41905</v>
      </c>
      <c r="E4" s="87">
        <v>11238</v>
      </c>
      <c r="F4" s="87">
        <f>130967-4000+2000</f>
        <v>128967</v>
      </c>
      <c r="G4" s="87">
        <f>SUM(D4:F4)</f>
        <v>182110</v>
      </c>
      <c r="H4" s="87"/>
      <c r="I4" s="87"/>
      <c r="J4" s="87"/>
      <c r="K4" s="87"/>
      <c r="L4" s="87"/>
      <c r="M4" s="87">
        <f>SUM(G4:L4)</f>
        <v>182110</v>
      </c>
      <c r="N4" s="10"/>
    </row>
    <row r="5" spans="3:14" ht="30.75" hidden="1">
      <c r="C5" s="405" t="s">
        <v>373</v>
      </c>
      <c r="D5" s="87">
        <f>+D4+713+364+235+449</f>
        <v>43666</v>
      </c>
      <c r="E5" s="87">
        <f>+E4+192+462+63+122</f>
        <v>12077</v>
      </c>
      <c r="F5" s="87">
        <f>+F4+43132</f>
        <v>172099</v>
      </c>
      <c r="G5" s="87">
        <f>SUM(D5:F5)</f>
        <v>227842</v>
      </c>
      <c r="H5" s="87"/>
      <c r="I5" s="87"/>
      <c r="J5" s="87"/>
      <c r="K5" s="87"/>
      <c r="L5" s="87">
        <v>497</v>
      </c>
      <c r="M5" s="87">
        <f>SUM(G5:L5)</f>
        <v>228339</v>
      </c>
      <c r="N5" s="10"/>
    </row>
    <row r="6" spans="1:13" s="10" customFormat="1" ht="31.5">
      <c r="A6" s="7" t="s">
        <v>20</v>
      </c>
      <c r="B6" s="9" t="str">
        <f>+'[1]2mell 1ápr'!A28</f>
        <v>Városellátó  Szervezet</v>
      </c>
      <c r="C6" s="10" t="s">
        <v>376</v>
      </c>
      <c r="D6" s="10">
        <v>42097</v>
      </c>
      <c r="E6" s="10">
        <v>11376</v>
      </c>
      <c r="F6" s="10">
        <v>126443</v>
      </c>
      <c r="G6" s="10">
        <f>SUM(D6:F6)</f>
        <v>179916</v>
      </c>
      <c r="L6" s="10">
        <v>0</v>
      </c>
      <c r="M6" s="10">
        <f>SUM(G6:L6)</f>
        <v>179916</v>
      </c>
    </row>
    <row r="7" spans="1:13" s="10" customFormat="1" ht="31.5">
      <c r="A7" s="39" t="s">
        <v>21</v>
      </c>
      <c r="B7" s="410"/>
      <c r="C7" s="410" t="s">
        <v>477</v>
      </c>
      <c r="D7" s="10">
        <f>+D6+229+370+867</f>
        <v>43563</v>
      </c>
      <c r="E7" s="10">
        <f>+E6+62+100+234</f>
        <v>11772</v>
      </c>
      <c r="F7" s="10">
        <f>163522+110</f>
        <v>163632</v>
      </c>
      <c r="G7" s="10">
        <f>SUM(D7:F7)</f>
        <v>218967</v>
      </c>
      <c r="L7" s="10">
        <f>+7_mell!D16</f>
        <v>519</v>
      </c>
      <c r="M7" s="10">
        <f>SUM(G7:L7)</f>
        <v>219486</v>
      </c>
    </row>
    <row r="8" spans="3:14" ht="15.75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0"/>
    </row>
    <row r="9" spans="1:16" ht="33" customHeight="1" hidden="1">
      <c r="A9" s="1"/>
      <c r="C9" s="402" t="s">
        <v>54</v>
      </c>
      <c r="D9" s="87">
        <v>62208</v>
      </c>
      <c r="E9" s="87">
        <v>14440</v>
      </c>
      <c r="F9" s="87">
        <f>42090+274+3846+144-4000</f>
        <v>42354</v>
      </c>
      <c r="G9" s="87">
        <f>SUM(D9:F9)</f>
        <v>119002</v>
      </c>
      <c r="H9" s="87"/>
      <c r="I9" s="87"/>
      <c r="J9" s="87"/>
      <c r="K9" s="87"/>
      <c r="L9" s="87"/>
      <c r="M9" s="87">
        <f>SUM(G9:L9)</f>
        <v>119002</v>
      </c>
      <c r="N9" s="10"/>
      <c r="O9" s="1">
        <v>127355</v>
      </c>
      <c r="P9" s="1">
        <f>+O9-M9</f>
        <v>8353</v>
      </c>
    </row>
    <row r="10" spans="3:14" ht="30.75" hidden="1">
      <c r="C10" s="405" t="s">
        <v>373</v>
      </c>
      <c r="D10" s="87">
        <f>+D9+1303+360+462+669</f>
        <v>65002</v>
      </c>
      <c r="E10" s="87">
        <f>+E9+352+97+125+180</f>
        <v>15194</v>
      </c>
      <c r="F10" s="87">
        <f>+F9+8867+1674+1891</f>
        <v>54786</v>
      </c>
      <c r="G10" s="87">
        <f>SUM(D10:F10)</f>
        <v>134982</v>
      </c>
      <c r="H10" s="87"/>
      <c r="I10" s="87"/>
      <c r="J10" s="87"/>
      <c r="K10" s="87"/>
      <c r="L10" s="87"/>
      <c r="M10" s="87">
        <f>SUM(G10:L10)</f>
        <v>134982</v>
      </c>
      <c r="N10" s="10"/>
    </row>
    <row r="11" spans="1:13" s="10" customFormat="1" ht="47.25">
      <c r="A11" s="7" t="s">
        <v>22</v>
      </c>
      <c r="B11" s="9" t="str">
        <f>+'[1]2mell 1ápr'!A32</f>
        <v>Egészségügyi és Szociális Ellátó Szervezet</v>
      </c>
      <c r="C11" s="10" t="s">
        <v>376</v>
      </c>
      <c r="D11" s="14">
        <v>66502</v>
      </c>
      <c r="E11" s="14">
        <v>17794</v>
      </c>
      <c r="F11" s="14">
        <v>41972</v>
      </c>
      <c r="G11" s="14">
        <f>SUM(D11:F11)</f>
        <v>126268</v>
      </c>
      <c r="M11" s="14">
        <f>SUM(G11:L11)</f>
        <v>126268</v>
      </c>
    </row>
    <row r="12" spans="1:13" s="10" customFormat="1" ht="31.5">
      <c r="A12" s="39" t="s">
        <v>23</v>
      </c>
      <c r="B12" s="410"/>
      <c r="C12" s="410" t="s">
        <v>477</v>
      </c>
      <c r="D12" s="14">
        <f>+D11+336+333+503+469+1165</f>
        <v>69308</v>
      </c>
      <c r="E12" s="14">
        <f>+E11+90+90+136+126+314</f>
        <v>18550</v>
      </c>
      <c r="F12" s="14">
        <f>45726+1000+800+54</f>
        <v>47580</v>
      </c>
      <c r="G12" s="14">
        <f>SUM(D12:F12)</f>
        <v>135438</v>
      </c>
      <c r="L12" s="10">
        <f>+7_mell!D14</f>
        <v>2650</v>
      </c>
      <c r="M12" s="14">
        <f>SUM(G12:L12)</f>
        <v>138088</v>
      </c>
    </row>
    <row r="13" spans="3:14" ht="15.75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"/>
      <c r="N13" s="10"/>
    </row>
    <row r="14" spans="1:14" ht="31.5" customHeight="1" hidden="1">
      <c r="A14" s="1"/>
      <c r="C14" s="402" t="s">
        <v>54</v>
      </c>
      <c r="D14" s="87">
        <v>9313</v>
      </c>
      <c r="E14" s="87">
        <v>2514</v>
      </c>
      <c r="F14" s="87">
        <f>8521-2000+400</f>
        <v>6921</v>
      </c>
      <c r="G14" s="87">
        <f>SUM(D14:F14)</f>
        <v>18748</v>
      </c>
      <c r="H14" s="87"/>
      <c r="I14" s="87"/>
      <c r="J14" s="87"/>
      <c r="K14" s="87"/>
      <c r="L14" s="87"/>
      <c r="M14" s="87">
        <f>SUM(G14:L14)</f>
        <v>18748</v>
      </c>
      <c r="N14" s="10"/>
    </row>
    <row r="15" spans="3:14" ht="30.75" hidden="1">
      <c r="C15" s="405" t="s">
        <v>373</v>
      </c>
      <c r="D15" s="87">
        <f>+D14+95+32+756+72</f>
        <v>10268</v>
      </c>
      <c r="E15" s="87">
        <f>+E14+25+8+204+21</f>
        <v>2772</v>
      </c>
      <c r="F15" s="87">
        <f>+F14+2408+408-408+179+3918+1000</f>
        <v>14426</v>
      </c>
      <c r="G15" s="87">
        <f>SUM(D15:F15)</f>
        <v>27466</v>
      </c>
      <c r="H15" s="87"/>
      <c r="I15" s="87"/>
      <c r="J15" s="87"/>
      <c r="K15" s="87"/>
      <c r="L15" s="87">
        <f>408+3122</f>
        <v>3530</v>
      </c>
      <c r="M15" s="87">
        <f>SUM(G15:L15)</f>
        <v>30996</v>
      </c>
      <c r="N15" s="10"/>
    </row>
    <row r="16" spans="1:13" s="10" customFormat="1" ht="31.5">
      <c r="A16" s="7" t="s">
        <v>24</v>
      </c>
      <c r="B16" s="9" t="s">
        <v>64</v>
      </c>
      <c r="C16" s="10" t="s">
        <v>376</v>
      </c>
      <c r="D16" s="10">
        <v>9409</v>
      </c>
      <c r="E16" s="10">
        <v>2539</v>
      </c>
      <c r="F16" s="10">
        <f>8870+700</f>
        <v>9570</v>
      </c>
      <c r="G16" s="10">
        <f>SUM(D16:F16)</f>
        <v>21518</v>
      </c>
      <c r="L16" s="10">
        <v>0</v>
      </c>
      <c r="M16" s="10">
        <f>SUM(G16:L16)</f>
        <v>21518</v>
      </c>
    </row>
    <row r="17" spans="1:13" s="10" customFormat="1" ht="31.5">
      <c r="A17" s="39" t="s">
        <v>25</v>
      </c>
      <c r="B17" s="410"/>
      <c r="C17" s="410" t="s">
        <v>477</v>
      </c>
      <c r="D17" s="10">
        <f>+D16+31+46+269+325</f>
        <v>10080</v>
      </c>
      <c r="E17" s="10">
        <f>+E16+9+13+36+88</f>
        <v>2685</v>
      </c>
      <c r="F17" s="10">
        <f>10862+281+338+800+280+400+80+6</f>
        <v>13047</v>
      </c>
      <c r="G17" s="10">
        <f>SUM(D17:F17)</f>
        <v>25812</v>
      </c>
      <c r="H17" s="10">
        <f>+5_mell!D37</f>
        <v>454</v>
      </c>
      <c r="L17" s="10">
        <f>+7_mell!D13+7_mell!D15</f>
        <v>2100</v>
      </c>
      <c r="M17" s="10">
        <f>SUM(G17:L17)</f>
        <v>28366</v>
      </c>
    </row>
    <row r="18" spans="3:14" ht="15.75">
      <c r="C18" s="403"/>
      <c r="D18" s="403"/>
      <c r="E18" s="403"/>
      <c r="F18" s="403"/>
      <c r="G18" s="403"/>
      <c r="H18" s="404"/>
      <c r="I18" s="404"/>
      <c r="J18" s="404"/>
      <c r="K18" s="404"/>
      <c r="L18" s="404"/>
      <c r="M18" s="403"/>
      <c r="N18" s="12"/>
    </row>
    <row r="19" spans="1:14" ht="29.25" customHeight="1" hidden="1">
      <c r="A19" s="1"/>
      <c r="C19" s="405" t="s">
        <v>54</v>
      </c>
      <c r="D19" s="403">
        <v>15988</v>
      </c>
      <c r="E19" s="403">
        <v>2561</v>
      </c>
      <c r="F19" s="403">
        <f>54260-2000</f>
        <v>52260</v>
      </c>
      <c r="G19" s="403">
        <f>SUM(D19:F19)</f>
        <v>70809</v>
      </c>
      <c r="H19" s="404">
        <f>+5_mell!C39</f>
        <v>0</v>
      </c>
      <c r="I19" s="404">
        <v>5828</v>
      </c>
      <c r="J19" s="404"/>
      <c r="K19" s="404"/>
      <c r="L19" s="404">
        <v>0</v>
      </c>
      <c r="M19" s="403">
        <f>SUM(G19:L19)</f>
        <v>76637</v>
      </c>
      <c r="N19" s="12"/>
    </row>
    <row r="20" spans="1:14" ht="0.75" customHeight="1">
      <c r="A20" s="7">
        <v>7</v>
      </c>
      <c r="C20" s="405" t="s">
        <v>373</v>
      </c>
      <c r="D20" s="403">
        <f>+D19+21+302+62985+214+45000+21+37</f>
        <v>124568</v>
      </c>
      <c r="E20" s="403">
        <f>+E19+6+82+8503+52+6300+6</f>
        <v>17510</v>
      </c>
      <c r="F20" s="403">
        <f>+F19+55665+15600-4751+15145-323-2252-347+9</f>
        <v>131006</v>
      </c>
      <c r="G20" s="403">
        <f>SUM(D20:F20)</f>
        <v>273084</v>
      </c>
      <c r="H20" s="404">
        <v>29562</v>
      </c>
      <c r="I20" s="404">
        <v>18442</v>
      </c>
      <c r="J20" s="404">
        <v>3726</v>
      </c>
      <c r="K20" s="404">
        <v>3000</v>
      </c>
      <c r="L20" s="404">
        <v>50678</v>
      </c>
      <c r="M20" s="403">
        <f>SUM(G20:L20)</f>
        <v>378492</v>
      </c>
      <c r="N20" s="12"/>
    </row>
    <row r="21" spans="1:14" ht="31.5">
      <c r="A21" s="7" t="s">
        <v>26</v>
      </c>
      <c r="B21" s="15" t="str">
        <f>+'[2]bevétel'!B34</f>
        <v>Battonya Város Önkormányzata</v>
      </c>
      <c r="C21" s="1" t="s">
        <v>376</v>
      </c>
      <c r="D21" s="13">
        <f>1620+1412</f>
        <v>3032</v>
      </c>
      <c r="E21" s="13">
        <f>381+394</f>
        <v>775</v>
      </c>
      <c r="F21" s="13">
        <f>2105+507+3067+9450</f>
        <v>15129</v>
      </c>
      <c r="G21" s="12">
        <f>SUM(D21:F21)</f>
        <v>18936</v>
      </c>
      <c r="H21" s="13">
        <f>+5_mell!C39</f>
        <v>0</v>
      </c>
      <c r="I21" s="13">
        <f>+6_mell!J31</f>
        <v>5114</v>
      </c>
      <c r="J21" s="13">
        <v>0</v>
      </c>
      <c r="K21" s="13">
        <f>+2_mell!E19</f>
        <v>3000</v>
      </c>
      <c r="L21" s="13">
        <f>+7_mell!C7+7_mell!C8+7_mell!C9+7_mell!C18+7_mell!C19</f>
        <v>44482</v>
      </c>
      <c r="M21" s="12">
        <f>SUM(G21:L21)</f>
        <v>71532</v>
      </c>
      <c r="N21" s="12"/>
    </row>
    <row r="22" spans="1:14" ht="31.5">
      <c r="A22" s="7" t="s">
        <v>27</v>
      </c>
      <c r="B22" s="12"/>
      <c r="C22" s="410" t="s">
        <v>477</v>
      </c>
      <c r="D22" s="13">
        <f>47447+40+13877+15263+8858+98196</f>
        <v>183681</v>
      </c>
      <c r="E22" s="13">
        <f>6771+11+1874+2060+1192+13257</f>
        <v>25165</v>
      </c>
      <c r="F22" s="13">
        <f>30823+1010+7175+3150+3464+2005+1689</f>
        <v>49316</v>
      </c>
      <c r="G22" s="12">
        <f>SUM(D22:F22)</f>
        <v>258162</v>
      </c>
      <c r="H22" s="13">
        <f>+5_mell!D40-5_mell!D37</f>
        <v>61638</v>
      </c>
      <c r="I22" s="13">
        <f>+6_mell!J31</f>
        <v>5114</v>
      </c>
      <c r="J22" s="13"/>
      <c r="K22" s="13">
        <f>+5_mell!D42</f>
        <v>4000</v>
      </c>
      <c r="L22" s="13">
        <f>+7_mell!D26-7_mell!D13-7_mell!D14-7_mell!D15-7_mell!D16</f>
        <v>76607</v>
      </c>
      <c r="M22" s="12">
        <f>SUM(G22:L22)</f>
        <v>405521</v>
      </c>
      <c r="N22" s="12"/>
    </row>
    <row r="23" spans="2:14" ht="15" customHeight="1" hidden="1">
      <c r="B23" s="2" t="s">
        <v>0</v>
      </c>
      <c r="C23" s="408" t="s">
        <v>55</v>
      </c>
      <c r="D23" s="8" t="s">
        <v>56</v>
      </c>
      <c r="E23" s="3" t="s">
        <v>57</v>
      </c>
      <c r="F23" s="34" t="s">
        <v>58</v>
      </c>
      <c r="G23" s="4" t="s">
        <v>59</v>
      </c>
      <c r="H23" s="715" t="s">
        <v>60</v>
      </c>
      <c r="I23" s="715"/>
      <c r="J23" s="715"/>
      <c r="K23" s="715"/>
      <c r="L23" s="3" t="s">
        <v>39</v>
      </c>
      <c r="M23" s="3" t="s">
        <v>61</v>
      </c>
      <c r="N23" s="3"/>
    </row>
    <row r="24" spans="2:14" ht="15" customHeight="1" hidden="1">
      <c r="B24" s="5"/>
      <c r="C24" s="409"/>
      <c r="D24" s="6"/>
      <c r="E24" s="6"/>
      <c r="F24" s="6"/>
      <c r="G24" s="6"/>
      <c r="H24" s="6" t="s">
        <v>7</v>
      </c>
      <c r="I24" s="6" t="s">
        <v>62</v>
      </c>
      <c r="J24" s="6" t="s">
        <v>8</v>
      </c>
      <c r="K24" s="6" t="s">
        <v>9</v>
      </c>
      <c r="L24" s="6"/>
      <c r="M24" s="6"/>
      <c r="N24" s="6"/>
    </row>
    <row r="25" spans="2:14" s="7" customFormat="1" ht="20.25" customHeight="1" hidden="1">
      <c r="B25" s="2" t="s">
        <v>12</v>
      </c>
      <c r="C25" s="408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361</v>
      </c>
      <c r="L25" s="3" t="s">
        <v>362</v>
      </c>
      <c r="M25" s="3" t="s">
        <v>364</v>
      </c>
      <c r="N25" s="3"/>
    </row>
    <row r="26" spans="2:14" s="7" customFormat="1" ht="20.25" customHeight="1" hidden="1">
      <c r="B26" s="2"/>
      <c r="C26" s="40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405" t="s">
        <v>54</v>
      </c>
      <c r="D27" s="37">
        <f>95148-565+1430</f>
        <v>96013</v>
      </c>
      <c r="E27" s="37">
        <f>25853-153+386</f>
        <v>26086</v>
      </c>
      <c r="F27" s="37">
        <v>23222</v>
      </c>
      <c r="G27" s="37">
        <f>SUM(D27:F27)</f>
        <v>145321</v>
      </c>
      <c r="H27" s="37"/>
      <c r="I27" s="42">
        <v>178472</v>
      </c>
      <c r="J27" s="42"/>
      <c r="K27" s="37"/>
      <c r="L27" s="37"/>
      <c r="M27" s="37">
        <f>SUM(G27:L27)</f>
        <v>323793</v>
      </c>
      <c r="Q27" s="1">
        <f>1430*0.27</f>
        <v>386.1</v>
      </c>
    </row>
    <row r="28" spans="3:13" ht="31.5" customHeight="1" hidden="1">
      <c r="C28" s="405" t="s">
        <v>373</v>
      </c>
      <c r="D28" s="37">
        <f>+D27+377+7152+151+248+8883</f>
        <v>112824</v>
      </c>
      <c r="E28" s="37">
        <f>+E27+102+1813+41+67+2177</f>
        <v>30286</v>
      </c>
      <c r="F28" s="37">
        <f>+F27+14159+1016+488</f>
        <v>38885</v>
      </c>
      <c r="G28" s="37">
        <f>SUM(D28:F28)</f>
        <v>181995</v>
      </c>
      <c r="H28" s="37"/>
      <c r="I28" s="42">
        <v>178902</v>
      </c>
      <c r="J28" s="42"/>
      <c r="K28" s="37"/>
      <c r="L28" s="37"/>
      <c r="M28" s="37">
        <f>SUM(G28:L28)</f>
        <v>360897</v>
      </c>
    </row>
    <row r="29" spans="3:13" ht="15.75">
      <c r="C29" s="405"/>
      <c r="D29" s="37"/>
      <c r="E29" s="37"/>
      <c r="F29" s="37"/>
      <c r="G29" s="37"/>
      <c r="H29" s="37"/>
      <c r="I29" s="42"/>
      <c r="J29" s="42"/>
      <c r="K29" s="37"/>
      <c r="L29" s="37"/>
      <c r="M29" s="37"/>
    </row>
    <row r="30" spans="1:13" s="10" customFormat="1" ht="31.5">
      <c r="A30" s="7" t="s">
        <v>28</v>
      </c>
      <c r="B30" s="9" t="str">
        <f>+3_mell!B27</f>
        <v>Battonyai Polgármesteri Hivatal</v>
      </c>
      <c r="C30" s="10" t="s">
        <v>376</v>
      </c>
      <c r="D30" s="14">
        <f>101076+3364</f>
        <v>104440</v>
      </c>
      <c r="E30" s="14">
        <f>27015+908</f>
        <v>27923</v>
      </c>
      <c r="F30" s="14">
        <v>35344</v>
      </c>
      <c r="G30" s="10">
        <f>SUM(D30:F30)</f>
        <v>167707</v>
      </c>
      <c r="I30" s="14">
        <f>+6_mell!I31</f>
        <v>113225</v>
      </c>
      <c r="M30" s="10">
        <f>SUM(G30:L30)</f>
        <v>280932</v>
      </c>
    </row>
    <row r="31" spans="1:13" s="10" customFormat="1" ht="31.5">
      <c r="A31" s="39" t="s">
        <v>29</v>
      </c>
      <c r="C31" s="410" t="s">
        <v>477</v>
      </c>
      <c r="D31" s="14">
        <f>+D30+151+600+757+178+50+1283</f>
        <v>107459</v>
      </c>
      <c r="E31" s="14">
        <f>+E30+41+186+209+48+13+367</f>
        <v>28787</v>
      </c>
      <c r="F31" s="14">
        <f>41135+32+59</f>
        <v>41226</v>
      </c>
      <c r="G31" s="10">
        <f>SUM(D31:F31)</f>
        <v>177472</v>
      </c>
      <c r="I31" s="14">
        <f>+6_mell!I31</f>
        <v>113225</v>
      </c>
      <c r="M31" s="10">
        <f>SUM(G31:L31)</f>
        <v>290697</v>
      </c>
    </row>
    <row r="32" spans="3:14" ht="15" customHeight="1">
      <c r="C32" s="87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12"/>
    </row>
    <row r="33" spans="1:14" ht="33" customHeight="1" hidden="1">
      <c r="A33" s="1"/>
      <c r="C33" s="405" t="s">
        <v>54</v>
      </c>
      <c r="D33" s="403">
        <f aca="true" t="shared" si="0" ref="D33:N33">+D27+D19+D14+D9+D4</f>
        <v>225427</v>
      </c>
      <c r="E33" s="403">
        <f t="shared" si="0"/>
        <v>56839</v>
      </c>
      <c r="F33" s="403">
        <f t="shared" si="0"/>
        <v>253724</v>
      </c>
      <c r="G33" s="403">
        <f t="shared" si="0"/>
        <v>535990</v>
      </c>
      <c r="H33" s="404">
        <f t="shared" si="0"/>
        <v>0</v>
      </c>
      <c r="I33" s="403">
        <f t="shared" si="0"/>
        <v>184300</v>
      </c>
      <c r="J33" s="403">
        <f t="shared" si="0"/>
        <v>0</v>
      </c>
      <c r="K33" s="403">
        <f t="shared" si="0"/>
        <v>0</v>
      </c>
      <c r="L33" s="403">
        <f t="shared" si="0"/>
        <v>0</v>
      </c>
      <c r="M33" s="403">
        <f t="shared" si="0"/>
        <v>720290</v>
      </c>
      <c r="N33" s="12">
        <f t="shared" si="0"/>
        <v>0</v>
      </c>
    </row>
    <row r="34" spans="3:14" ht="33" customHeight="1" hidden="1">
      <c r="C34" s="405" t="s">
        <v>373</v>
      </c>
      <c r="D34" s="403">
        <f>+D28+D20+D15+D10+D5</f>
        <v>356328</v>
      </c>
      <c r="E34" s="403">
        <f aca="true" t="shared" si="1" ref="E34:N34">+E28+E20+E15+E10+E5</f>
        <v>77839</v>
      </c>
      <c r="F34" s="403">
        <f t="shared" si="1"/>
        <v>411202</v>
      </c>
      <c r="G34" s="403">
        <f t="shared" si="1"/>
        <v>845369</v>
      </c>
      <c r="H34" s="403">
        <f t="shared" si="1"/>
        <v>29562</v>
      </c>
      <c r="I34" s="403">
        <f t="shared" si="1"/>
        <v>197344</v>
      </c>
      <c r="J34" s="403">
        <f t="shared" si="1"/>
        <v>3726</v>
      </c>
      <c r="K34" s="403">
        <f t="shared" si="1"/>
        <v>3000</v>
      </c>
      <c r="L34" s="404">
        <f t="shared" si="1"/>
        <v>54705</v>
      </c>
      <c r="M34" s="403">
        <f t="shared" si="1"/>
        <v>1133706</v>
      </c>
      <c r="N34" s="12">
        <f t="shared" si="1"/>
        <v>0</v>
      </c>
    </row>
    <row r="35" spans="1:14" ht="31.5">
      <c r="A35" s="7" t="s">
        <v>30</v>
      </c>
      <c r="B35" s="15" t="s">
        <v>65</v>
      </c>
      <c r="C35" s="1" t="s">
        <v>376</v>
      </c>
      <c r="D35" s="12">
        <f>+D30+D21+D16+D11+D6</f>
        <v>225480</v>
      </c>
      <c r="E35" s="12">
        <f aca="true" t="shared" si="2" ref="E35:L35">+E30+E21+E16+E11+E6</f>
        <v>60407</v>
      </c>
      <c r="F35" s="12">
        <f t="shared" si="2"/>
        <v>228458</v>
      </c>
      <c r="G35" s="12">
        <f>+G30+G21+G16+G11+G6</f>
        <v>514345</v>
      </c>
      <c r="H35" s="12">
        <f t="shared" si="2"/>
        <v>0</v>
      </c>
      <c r="I35" s="12">
        <f t="shared" si="2"/>
        <v>118339</v>
      </c>
      <c r="J35" s="12">
        <f t="shared" si="2"/>
        <v>0</v>
      </c>
      <c r="K35" s="12">
        <f t="shared" si="2"/>
        <v>3000</v>
      </c>
      <c r="L35" s="12">
        <f t="shared" si="2"/>
        <v>44482</v>
      </c>
      <c r="M35" s="13">
        <f>+M30+M21+M16+M11+M6</f>
        <v>680166</v>
      </c>
      <c r="N35" s="12"/>
    </row>
    <row r="36" spans="1:14" ht="31.5">
      <c r="A36" s="7" t="s">
        <v>31</v>
      </c>
      <c r="C36" s="410" t="s">
        <v>477</v>
      </c>
      <c r="D36" s="12">
        <f>+D31+D22+D17+D12+D7</f>
        <v>414091</v>
      </c>
      <c r="E36" s="12">
        <f aca="true" t="shared" si="3" ref="E36:L36">+E31+E22+E17+E12+E7</f>
        <v>86959</v>
      </c>
      <c r="F36" s="12">
        <f t="shared" si="3"/>
        <v>314801</v>
      </c>
      <c r="G36" s="13">
        <f>+G31+G22+G17+G12+G7</f>
        <v>815851</v>
      </c>
      <c r="H36" s="12">
        <f t="shared" si="3"/>
        <v>62092</v>
      </c>
      <c r="I36" s="12">
        <f t="shared" si="3"/>
        <v>118339</v>
      </c>
      <c r="J36" s="12">
        <f t="shared" si="3"/>
        <v>0</v>
      </c>
      <c r="K36" s="12">
        <f t="shared" si="3"/>
        <v>4000</v>
      </c>
      <c r="L36" s="12">
        <f t="shared" si="3"/>
        <v>81876</v>
      </c>
      <c r="M36" s="13">
        <f>+M31+M22+M17+M12+M7</f>
        <v>1082158</v>
      </c>
      <c r="N36" s="12"/>
    </row>
    <row r="38" spans="7:13" ht="15" customHeight="1">
      <c r="G38" s="673">
        <f>+2_mell!F5</f>
        <v>815851</v>
      </c>
      <c r="H38" s="11">
        <f>+5_mell!D40</f>
        <v>62092</v>
      </c>
      <c r="I38" s="11">
        <f>+6_mell!K31+6_mell!L31</f>
        <v>118339</v>
      </c>
      <c r="K38" s="11">
        <f>+5_mell!D42</f>
        <v>4000</v>
      </c>
      <c r="L38" s="11">
        <f>+7_mell!D26</f>
        <v>81876</v>
      </c>
      <c r="M38" s="11">
        <f>+1_mell!F86</f>
        <v>1082158</v>
      </c>
    </row>
    <row r="44" ht="15" customHeight="1">
      <c r="I44" s="1">
        <f>SUM(H36:I36)</f>
        <v>180431</v>
      </c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10/2014.(VI.27.)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2014-06-24T08:32:49Z</cp:lastPrinted>
  <dcterms:created xsi:type="dcterms:W3CDTF">2013-01-09T15:47:27Z</dcterms:created>
  <dcterms:modified xsi:type="dcterms:W3CDTF">2014-06-30T06:44:33Z</dcterms:modified>
  <cp:category/>
  <cp:version/>
  <cp:contentType/>
  <cp:contentStatus/>
</cp:coreProperties>
</file>