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75" windowWidth="12120" windowHeight="2460" tabRatio="803" activeTab="1"/>
  </bookViews>
  <sheets>
    <sheet name="önként2016." sheetId="1" r:id="rId1"/>
    <sheet name="kötelező2016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'kötelező2016.'!$A$1:$M$45</definedName>
    <definedName name="_xlnm.Print_Area" localSheetId="0">'önként2016.'!$A$1:$L$34</definedName>
  </definedNames>
  <calcPr fullCalcOnLoad="1"/>
</workbook>
</file>

<file path=xl/sharedStrings.xml><?xml version="1.0" encoding="utf-8"?>
<sst xmlns="http://schemas.openxmlformats.org/spreadsheetml/2006/main" count="99" uniqueCount="90">
  <si>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</si>
  <si>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</si>
  <si>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</si>
  <si>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</si>
  <si>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</si>
  <si>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</si>
  <si>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</si>
  <si>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</si>
  <si>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</si>
  <si>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</si>
  <si>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</si>
  <si>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</si>
  <si>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</si>
  <si>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</si>
  <si>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</si>
  <si>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</si>
  <si>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</si>
  <si>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</si>
  <si>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</si>
  <si>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</si>
  <si>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</si>
  <si>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</si>
  <si>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</si>
  <si>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</si>
  <si>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</si>
  <si>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</si>
  <si>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</si>
  <si>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</si>
  <si>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</si>
  <si>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</si>
  <si>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</si>
  <si>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</si>
  <si>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</si>
  <si>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</si>
  <si>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</si>
  <si>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</si>
  <si>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</si>
  <si>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</si>
  <si>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</si>
  <si>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</si>
  <si>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</si>
  <si>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</si>
  <si>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</si>
  <si>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</si>
  <si>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</si>
  <si>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</si>
  <si>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</si>
  <si>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</si>
  <si>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</si>
  <si>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</si>
  <si>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</si>
  <si>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</si>
  <si>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</si>
  <si>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</si>
  <si>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</si>
  <si>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</si>
  <si>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</si>
  <si>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</si>
  <si>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</si>
  <si>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</si>
  <si>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</si>
  <si>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</si>
  <si>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</si>
  <si>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</si>
  <si>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</si>
  <si>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</si>
  <si>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</si>
  <si>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>2016. Működési költségvetés  -  Kötelezően előírt feladatkörök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</si>
  <si>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</si>
  <si>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</si>
  <si>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</si>
  <si>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</si>
  <si>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</si>
  <si>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</si>
  <si>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</si>
  <si>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</si>
  <si>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</si>
  <si>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2016. Működési költségvetés -  Önként vállalt feladatkörök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</si>
  <si>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</si>
  <si>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</si>
  <si>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</si>
  <si>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</si>
  <si>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</si>
  <si>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</si>
  <si>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</si>
  <si>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Oktatási Bizottság kiadásai</t>
  </si>
  <si>
    <t>Emberi jogi,Nemz.és Egyházügyi Biz.</t>
  </si>
  <si>
    <t>Kv.       Maradvány és betétlekötés megszüntetése</t>
  </si>
  <si>
    <t>Közbiztonság kiadásai</t>
  </si>
  <si>
    <t>Népszavazás kiadásai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</si>
</sst>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shrinkToFit="1"/>
    </xf>
    <xf numFmtId="2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3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2" fontId="10" fillId="0" borderId="17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172" fontId="1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0" fillId="0" borderId="20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30" t="s">
        <v>34</v>
      </c>
      <c r="L1" s="130"/>
    </row>
    <row r="2" spans="1:12" ht="12.75">
      <c r="A2" s="131" t="s">
        <v>77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78</v>
      </c>
      <c r="C5" s="61" t="s">
        <v>71</v>
      </c>
      <c r="D5" s="62" t="s">
        <v>79</v>
      </c>
      <c r="E5" s="61" t="s">
        <v>66</v>
      </c>
      <c r="F5" s="62" t="s">
        <v>80</v>
      </c>
      <c r="G5" s="61" t="s">
        <v>81</v>
      </c>
      <c r="H5" s="62" t="s">
        <v>82</v>
      </c>
      <c r="I5" s="62" t="s">
        <v>87</v>
      </c>
      <c r="J5" s="62" t="s">
        <v>51</v>
      </c>
      <c r="K5" s="63" t="s">
        <v>83</v>
      </c>
      <c r="L5" s="71" t="s">
        <v>84</v>
      </c>
    </row>
    <row r="6" spans="1:12" ht="12.75">
      <c r="A6" s="14" t="s">
        <v>21</v>
      </c>
      <c r="B6" s="15">
        <f>864773-265000-300000+43290+583+1210+600+4753+80+3800+799+9788+1502+458+580+830+115+300+24515+740+1120+650+700+1387-982+4150+4000</f>
        <v>404741</v>
      </c>
      <c r="C6" s="15"/>
      <c r="D6" s="116">
        <f>SUM(C6/B6)*100</f>
        <v>0</v>
      </c>
      <c r="E6" s="16"/>
      <c r="F6" s="17">
        <f aca="true" t="shared" si="0" ref="F6:F19">SUM(E6/B6)*100</f>
        <v>0</v>
      </c>
      <c r="G6" s="16"/>
      <c r="H6" s="17">
        <f>SUM(G6/B6*100)</f>
        <v>0</v>
      </c>
      <c r="I6" s="16">
        <f>4330+4513+340+13774+300+80+1</f>
        <v>23338</v>
      </c>
      <c r="J6" s="17">
        <f>SUM(I6/B6*100)</f>
        <v>5.766156628559993</v>
      </c>
      <c r="K6" s="21">
        <f>SUM(B6-C6-E6-G6-I6)</f>
        <v>381403</v>
      </c>
      <c r="L6" s="18">
        <f>SUM(K6/B6)*100</f>
        <v>94.23384337144</v>
      </c>
    </row>
    <row r="7" spans="1:12" ht="12.75">
      <c r="A7" s="14" t="s">
        <v>22</v>
      </c>
      <c r="B7" s="20">
        <f>3445419-'kötelező2016.'!C11</f>
        <v>1801447</v>
      </c>
      <c r="C7" s="20">
        <f>25+5080+13020+27843+22348+23432+14491+5085+15+98+333+7366+10+18434</f>
        <v>137580</v>
      </c>
      <c r="D7" s="117">
        <f>SUM(C7/B7)*100</f>
        <v>7.637193878032493</v>
      </c>
      <c r="E7" s="21"/>
      <c r="F7" s="22">
        <f t="shared" si="0"/>
        <v>0</v>
      </c>
      <c r="G7" s="21">
        <v>4702</v>
      </c>
      <c r="H7" s="22">
        <f>SUM(G7/B7*100)</f>
        <v>0.26101239725620573</v>
      </c>
      <c r="I7" s="21">
        <v>183685</v>
      </c>
      <c r="J7" s="17">
        <f aca="true" t="shared" si="1" ref="J7:J31">SUM(I7/B7*100)</f>
        <v>10.196525348789057</v>
      </c>
      <c r="K7" s="21">
        <f aca="true" t="shared" si="2" ref="K7:K19">SUM(B7-C7-E7-G7-I7)</f>
        <v>1475480</v>
      </c>
      <c r="L7" s="23">
        <f>SUM(K7/B7)*100</f>
        <v>81.90526837592225</v>
      </c>
    </row>
    <row r="8" spans="1:12" ht="12.75">
      <c r="A8" s="14" t="s">
        <v>1</v>
      </c>
      <c r="B8" s="20">
        <v>100000</v>
      </c>
      <c r="C8" s="20"/>
      <c r="D8" s="117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</row>
    <row r="9" spans="1:12" ht="12.75">
      <c r="A9" s="19" t="s">
        <v>26</v>
      </c>
      <c r="B9" s="20">
        <f>720843-10523-1652-2147-11934-45000-765-1630-300+34308-9180-15017+1873-2500-860-300-5800-1108-930-830-20761-25639-41745-3298</f>
        <v>555105</v>
      </c>
      <c r="C9" s="20"/>
      <c r="D9" s="117">
        <f aca="true" t="shared" si="3" ref="D9:D20">SUM(C9/B9)*100</f>
        <v>0</v>
      </c>
      <c r="E9" s="21"/>
      <c r="F9" s="22">
        <f t="shared" si="0"/>
        <v>0</v>
      </c>
      <c r="G9" s="21"/>
      <c r="H9" s="22">
        <f aca="true" t="shared" si="4" ref="H9:H20">SUM(G9/B9*100)</f>
        <v>0</v>
      </c>
      <c r="I9" s="21">
        <f>136811+28048</f>
        <v>164859</v>
      </c>
      <c r="J9" s="17">
        <f t="shared" si="1"/>
        <v>29.69870565028238</v>
      </c>
      <c r="K9" s="21">
        <f t="shared" si="2"/>
        <v>390246</v>
      </c>
      <c r="L9" s="23">
        <f aca="true" t="shared" si="5" ref="L9:L20">SUM(K9/B9)*100</f>
        <v>70.30129434971762</v>
      </c>
    </row>
    <row r="10" spans="1:12" ht="12.75">
      <c r="A10" s="19" t="s">
        <v>62</v>
      </c>
      <c r="B10" s="20">
        <f>414113-'kötelező2016.'!C12-B34</f>
        <v>342830</v>
      </c>
      <c r="C10" s="20"/>
      <c r="D10" s="117">
        <f t="shared" si="3"/>
        <v>0</v>
      </c>
      <c r="E10" s="21"/>
      <c r="F10" s="22">
        <f t="shared" si="0"/>
        <v>0</v>
      </c>
      <c r="G10" s="21"/>
      <c r="H10" s="22">
        <f t="shared" si="4"/>
        <v>0</v>
      </c>
      <c r="I10" s="21">
        <f>274+43657+27287</f>
        <v>71218</v>
      </c>
      <c r="J10" s="17">
        <f t="shared" si="1"/>
        <v>20.773561240264854</v>
      </c>
      <c r="K10" s="21">
        <f t="shared" si="2"/>
        <v>271612</v>
      </c>
      <c r="L10" s="23">
        <f t="shared" si="5"/>
        <v>79.22643875973515</v>
      </c>
    </row>
    <row r="11" spans="1:12" ht="12.75">
      <c r="A11" s="19" t="s">
        <v>64</v>
      </c>
      <c r="B11" s="20">
        <f>907+2617+2567</f>
        <v>6091</v>
      </c>
      <c r="C11" s="20"/>
      <c r="D11" s="117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>
        <f>907+42+894</f>
        <v>1843</v>
      </c>
      <c r="J11" s="17">
        <f>SUM(I11/B11*100)</f>
        <v>30.25775734690527</v>
      </c>
      <c r="K11" s="21">
        <f>SUM(B11-C11-E11-G11-I11)</f>
        <v>4248</v>
      </c>
      <c r="L11" s="23">
        <f>SUM(K11/B11)*100</f>
        <v>69.74224265309473</v>
      </c>
    </row>
    <row r="12" spans="1:12" ht="12.75">
      <c r="A12" s="19" t="s">
        <v>18</v>
      </c>
      <c r="B12" s="20">
        <f>407119-'kötelező2016.'!C10</f>
        <v>70744</v>
      </c>
      <c r="C12" s="20"/>
      <c r="D12" s="117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>
        <v>11000</v>
      </c>
      <c r="J12" s="17">
        <f>SUM(I12/B12*100)</f>
        <v>15.549021825172451</v>
      </c>
      <c r="K12" s="21">
        <f>SUM(B12-C12-E12-G12-I12)</f>
        <v>59744</v>
      </c>
      <c r="L12" s="23">
        <f>SUM(K12/B12)*100</f>
        <v>84.45097817482755</v>
      </c>
    </row>
    <row r="13" spans="1:12" ht="12.75">
      <c r="A13" s="19" t="s">
        <v>65</v>
      </c>
      <c r="B13" s="20">
        <f>7835+4977+1124+2601</f>
        <v>16537</v>
      </c>
      <c r="C13" s="20"/>
      <c r="D13" s="117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f>7835-58+17+38</f>
        <v>7832</v>
      </c>
      <c r="J13" s="17">
        <f>SUM(I13/B13*100)</f>
        <v>47.36046441313418</v>
      </c>
      <c r="K13" s="21">
        <f>SUM(B13-C13-E13-G13-I13)</f>
        <v>8705</v>
      </c>
      <c r="L13" s="23">
        <f>SUM(K13/B13)*100</f>
        <v>52.63953558686582</v>
      </c>
    </row>
    <row r="14" spans="1:12" ht="12.75">
      <c r="A14" s="19" t="s">
        <v>85</v>
      </c>
      <c r="B14" s="20">
        <f>1358+34+2635</f>
        <v>4027</v>
      </c>
      <c r="C14" s="20"/>
      <c r="D14" s="117">
        <f>SUM(C14/B14)*100</f>
        <v>0</v>
      </c>
      <c r="E14" s="21"/>
      <c r="F14" s="22">
        <f>SUM(E14/B14)*100</f>
        <v>0</v>
      </c>
      <c r="G14" s="21"/>
      <c r="H14" s="22">
        <f>SUM(G14/B14*100)</f>
        <v>0</v>
      </c>
      <c r="I14" s="21">
        <f>139+286+723</f>
        <v>1148</v>
      </c>
      <c r="J14" s="17"/>
      <c r="K14" s="21">
        <f>SUM(B14-C14-E14-G14-I14)</f>
        <v>2879</v>
      </c>
      <c r="L14" s="23">
        <f>SUM(K14/B14)*100</f>
        <v>71.49242612366527</v>
      </c>
    </row>
    <row r="15" spans="1:12" ht="12.75">
      <c r="A15" s="19" t="s">
        <v>86</v>
      </c>
      <c r="B15" s="20">
        <f>565+120</f>
        <v>685</v>
      </c>
      <c r="C15" s="20"/>
      <c r="D15" s="117">
        <f>SUM(C15/B15)*100</f>
        <v>0</v>
      </c>
      <c r="E15" s="21"/>
      <c r="F15" s="22">
        <f>SUM(E15/B15)*100</f>
        <v>0</v>
      </c>
      <c r="G15" s="21"/>
      <c r="H15" s="22">
        <f>SUM(G15/B15*100)</f>
        <v>0</v>
      </c>
      <c r="I15" s="21">
        <f>148+146+121</f>
        <v>415</v>
      </c>
      <c r="J15" s="17"/>
      <c r="K15" s="21">
        <f>SUM(B15-C15-E15-G15-I15)</f>
        <v>270</v>
      </c>
      <c r="L15" s="23">
        <f>SUM(K15/B15)*100</f>
        <v>39.416058394160586</v>
      </c>
    </row>
    <row r="16" spans="1:12" ht="12.75">
      <c r="A16" s="19" t="s">
        <v>2</v>
      </c>
      <c r="B16" s="20">
        <v>15000</v>
      </c>
      <c r="C16" s="20"/>
      <c r="D16" s="117">
        <f t="shared" si="3"/>
        <v>0</v>
      </c>
      <c r="E16" s="21"/>
      <c r="F16" s="22">
        <f t="shared" si="0"/>
        <v>0</v>
      </c>
      <c r="G16" s="21"/>
      <c r="H16" s="22">
        <f t="shared" si="4"/>
        <v>0</v>
      </c>
      <c r="I16" s="21"/>
      <c r="J16" s="17">
        <f t="shared" si="1"/>
        <v>0</v>
      </c>
      <c r="K16" s="21">
        <f t="shared" si="2"/>
        <v>15000</v>
      </c>
      <c r="L16" s="23">
        <f t="shared" si="5"/>
        <v>100</v>
      </c>
    </row>
    <row r="17" spans="1:12" ht="12.75">
      <c r="A17" s="19" t="s">
        <v>27</v>
      </c>
      <c r="B17" s="20">
        <v>66180</v>
      </c>
      <c r="C17" s="20"/>
      <c r="D17" s="117">
        <f t="shared" si="3"/>
        <v>0</v>
      </c>
      <c r="E17" s="21"/>
      <c r="F17" s="22">
        <f t="shared" si="0"/>
        <v>0</v>
      </c>
      <c r="G17" s="21"/>
      <c r="H17" s="22">
        <f t="shared" si="4"/>
        <v>0</v>
      </c>
      <c r="I17" s="21"/>
      <c r="J17" s="17">
        <f t="shared" si="1"/>
        <v>0</v>
      </c>
      <c r="K17" s="21">
        <f t="shared" si="2"/>
        <v>66180</v>
      </c>
      <c r="L17" s="23">
        <f t="shared" si="5"/>
        <v>100</v>
      </c>
    </row>
    <row r="18" spans="1:12" ht="12.75">
      <c r="A18" s="19" t="s">
        <v>88</v>
      </c>
      <c r="B18" s="20">
        <f>5800+64718</f>
        <v>70518</v>
      </c>
      <c r="C18" s="20"/>
      <c r="D18" s="117">
        <f t="shared" si="3"/>
        <v>0</v>
      </c>
      <c r="E18" s="21"/>
      <c r="F18" s="22">
        <f t="shared" si="0"/>
        <v>0</v>
      </c>
      <c r="G18" s="21"/>
      <c r="H18" s="22">
        <f t="shared" si="4"/>
        <v>0</v>
      </c>
      <c r="I18" s="21"/>
      <c r="J18" s="17"/>
      <c r="K18" s="21">
        <f t="shared" si="2"/>
        <v>70518</v>
      </c>
      <c r="L18" s="23">
        <f t="shared" si="5"/>
        <v>100</v>
      </c>
    </row>
    <row r="19" spans="1:12" ht="13.5" thickBot="1">
      <c r="A19" s="19" t="s">
        <v>28</v>
      </c>
      <c r="B19" s="20">
        <f>632486-'kötelező2016.'!C6</f>
        <v>547215</v>
      </c>
      <c r="C19" s="20"/>
      <c r="D19" s="117">
        <f t="shared" si="3"/>
        <v>0</v>
      </c>
      <c r="E19" s="21"/>
      <c r="F19" s="22">
        <f t="shared" si="0"/>
        <v>0</v>
      </c>
      <c r="G19" s="21"/>
      <c r="H19" s="22">
        <f t="shared" si="4"/>
        <v>0</v>
      </c>
      <c r="I19" s="21">
        <v>17770</v>
      </c>
      <c r="J19" s="17">
        <f t="shared" si="1"/>
        <v>3.247352503129483</v>
      </c>
      <c r="K19" s="21">
        <f t="shared" si="2"/>
        <v>529445</v>
      </c>
      <c r="L19" s="23">
        <f t="shared" si="5"/>
        <v>96.75264749687051</v>
      </c>
    </row>
    <row r="20" spans="1:12" s="37" customFormat="1" ht="13.5" thickBot="1">
      <c r="A20" s="32" t="s">
        <v>42</v>
      </c>
      <c r="B20" s="29">
        <f>SUM(B6:B19)</f>
        <v>4001120</v>
      </c>
      <c r="C20" s="29">
        <f>SUM(C6:C19)</f>
        <v>137580</v>
      </c>
      <c r="D20" s="118">
        <f t="shared" si="3"/>
        <v>3.4385372095813174</v>
      </c>
      <c r="E20" s="29">
        <f>SUM(E6:E19)</f>
        <v>0</v>
      </c>
      <c r="F20" s="73">
        <f>SUM(E20/B20*100)</f>
        <v>0</v>
      </c>
      <c r="G20" s="29">
        <f>SUM(G6:G19)</f>
        <v>4702</v>
      </c>
      <c r="H20" s="33">
        <f t="shared" si="4"/>
        <v>0.11751709521334026</v>
      </c>
      <c r="I20" s="29">
        <f>SUM(I6:I19)</f>
        <v>483108</v>
      </c>
      <c r="J20" s="33">
        <f t="shared" si="1"/>
        <v>12.074319190626625</v>
      </c>
      <c r="K20" s="29">
        <f>SUM(K6:K19)</f>
        <v>3375730</v>
      </c>
      <c r="L20" s="53">
        <f t="shared" si="5"/>
        <v>84.36962650457872</v>
      </c>
    </row>
    <row r="21" spans="1:12" ht="12.75">
      <c r="A21" s="119" t="s">
        <v>23</v>
      </c>
      <c r="B21" s="15">
        <v>69746</v>
      </c>
      <c r="C21" s="15">
        <v>1728</v>
      </c>
      <c r="D21" s="116">
        <f aca="true" t="shared" si="6" ref="D21:D31">SUM(C21/B21)*100</f>
        <v>2.4775614372150376</v>
      </c>
      <c r="E21" s="102"/>
      <c r="F21" s="17">
        <f aca="true" t="shared" si="7" ref="F21:F31">SUM(E21/B21)*100</f>
        <v>0</v>
      </c>
      <c r="G21" s="102">
        <v>58181</v>
      </c>
      <c r="H21" s="17">
        <f aca="true" t="shared" si="8" ref="H21:H27">SUM(G21/B21*100)</f>
        <v>83.41840392280561</v>
      </c>
      <c r="I21" s="16">
        <v>52</v>
      </c>
      <c r="J21" s="17">
        <f t="shared" si="1"/>
        <v>0.07455624695323029</v>
      </c>
      <c r="K21" s="16">
        <f aca="true" t="shared" si="9" ref="K21:K26">SUM(B21-C21-E21-G21-I21)</f>
        <v>9785</v>
      </c>
      <c r="L21" s="18">
        <f aca="true" t="shared" si="10" ref="L21:L29">SUM(K21/B21)*100</f>
        <v>14.029478393026123</v>
      </c>
    </row>
    <row r="22" spans="1:12" ht="12.75">
      <c r="A22" s="98" t="s">
        <v>36</v>
      </c>
      <c r="B22" s="20">
        <f>828420+2417+30078</f>
        <v>860915</v>
      </c>
      <c r="C22" s="20">
        <v>49106</v>
      </c>
      <c r="D22" s="117">
        <f t="shared" si="6"/>
        <v>5.703931282414641</v>
      </c>
      <c r="E22" s="99">
        <v>10604</v>
      </c>
      <c r="F22" s="22">
        <f t="shared" si="7"/>
        <v>1.231712770714879</v>
      </c>
      <c r="G22" s="99">
        <v>536013</v>
      </c>
      <c r="H22" s="22">
        <f t="shared" si="8"/>
        <v>62.26085037431105</v>
      </c>
      <c r="I22" s="16">
        <f>34113-27839</f>
        <v>6274</v>
      </c>
      <c r="J22" s="17">
        <f t="shared" si="1"/>
        <v>0.7287595174901123</v>
      </c>
      <c r="K22" s="16">
        <f t="shared" si="9"/>
        <v>258918</v>
      </c>
      <c r="L22" s="23">
        <f t="shared" si="10"/>
        <v>30.07474605506932</v>
      </c>
    </row>
    <row r="23" spans="1:12" ht="12.75">
      <c r="A23" s="98" t="s">
        <v>24</v>
      </c>
      <c r="B23" s="20">
        <v>110404</v>
      </c>
      <c r="C23" s="20">
        <v>8098</v>
      </c>
      <c r="D23" s="117">
        <f t="shared" si="6"/>
        <v>7.334879171044527</v>
      </c>
      <c r="E23" s="99">
        <v>496</v>
      </c>
      <c r="F23" s="22">
        <f t="shared" si="7"/>
        <v>0.44925908481576754</v>
      </c>
      <c r="G23" s="99">
        <v>90490</v>
      </c>
      <c r="H23" s="22">
        <f t="shared" si="8"/>
        <v>81.9626100503605</v>
      </c>
      <c r="I23" s="16">
        <v>614</v>
      </c>
      <c r="J23" s="17">
        <f t="shared" si="1"/>
        <v>0.5561392703162928</v>
      </c>
      <c r="K23" s="16">
        <f t="shared" si="9"/>
        <v>10706</v>
      </c>
      <c r="L23" s="23">
        <f t="shared" si="10"/>
        <v>9.697112423462919</v>
      </c>
    </row>
    <row r="24" spans="1:12" ht="12.75">
      <c r="A24" s="98" t="s">
        <v>25</v>
      </c>
      <c r="B24" s="20">
        <v>56390</v>
      </c>
      <c r="C24" s="20">
        <v>9201</v>
      </c>
      <c r="D24" s="117">
        <f t="shared" si="6"/>
        <v>16.3167228231956</v>
      </c>
      <c r="E24" s="99"/>
      <c r="F24" s="22">
        <f t="shared" si="7"/>
        <v>0</v>
      </c>
      <c r="G24" s="99">
        <v>51989</v>
      </c>
      <c r="H24" s="22">
        <f t="shared" si="8"/>
        <v>92.19542472069516</v>
      </c>
      <c r="I24" s="16"/>
      <c r="J24" s="17">
        <f t="shared" si="1"/>
        <v>0</v>
      </c>
      <c r="K24" s="16">
        <f t="shared" si="9"/>
        <v>-4800</v>
      </c>
      <c r="L24" s="23">
        <f t="shared" si="10"/>
        <v>-8.51214754389076</v>
      </c>
    </row>
    <row r="25" spans="1:12" ht="12.75">
      <c r="A25" s="98" t="s">
        <v>37</v>
      </c>
      <c r="B25" s="20">
        <v>39127</v>
      </c>
      <c r="C25" s="20">
        <v>42190</v>
      </c>
      <c r="D25" s="117">
        <f t="shared" si="6"/>
        <v>107.82835382216885</v>
      </c>
      <c r="E25" s="99">
        <v>68</v>
      </c>
      <c r="F25" s="22">
        <f t="shared" si="7"/>
        <v>0.17379303294400286</v>
      </c>
      <c r="G25" s="99">
        <v>0</v>
      </c>
      <c r="H25" s="22">
        <f t="shared" si="8"/>
        <v>0</v>
      </c>
      <c r="I25" s="16">
        <v>137</v>
      </c>
      <c r="J25" s="17">
        <f t="shared" si="1"/>
        <v>0.35014184578424107</v>
      </c>
      <c r="K25" s="16">
        <f t="shared" si="9"/>
        <v>-3268</v>
      </c>
      <c r="L25" s="23">
        <f t="shared" si="10"/>
        <v>-8.352288700897079</v>
      </c>
    </row>
    <row r="26" spans="1:12" ht="13.5" thickBot="1">
      <c r="A26" s="105" t="s">
        <v>38</v>
      </c>
      <c r="B26" s="25">
        <v>81844</v>
      </c>
      <c r="C26" s="25">
        <v>180</v>
      </c>
      <c r="D26" s="120">
        <f t="shared" si="6"/>
        <v>0.21993059967743514</v>
      </c>
      <c r="E26" s="106">
        <v>138</v>
      </c>
      <c r="F26" s="27">
        <f t="shared" si="7"/>
        <v>0.16861345975270026</v>
      </c>
      <c r="G26" s="106">
        <v>5458</v>
      </c>
      <c r="H26" s="27">
        <f t="shared" si="8"/>
        <v>6.668784516885783</v>
      </c>
      <c r="I26" s="40">
        <v>165</v>
      </c>
      <c r="J26" s="17">
        <f t="shared" si="1"/>
        <v>0.20160304970431553</v>
      </c>
      <c r="K26" s="16">
        <f t="shared" si="9"/>
        <v>75903</v>
      </c>
      <c r="L26" s="96">
        <f t="shared" si="10"/>
        <v>92.74106837397976</v>
      </c>
    </row>
    <row r="27" spans="1:12" s="37" customFormat="1" ht="13.5" thickBot="1">
      <c r="A27" s="28" t="s">
        <v>46</v>
      </c>
      <c r="B27" s="29">
        <f>SUM(B21:B26)</f>
        <v>1218426</v>
      </c>
      <c r="C27" s="29">
        <f aca="true" t="shared" si="11" ref="C27:K27">SUM(C21:C26)</f>
        <v>110503</v>
      </c>
      <c r="D27" s="92">
        <f t="shared" si="6"/>
        <v>9.069323865380417</v>
      </c>
      <c r="E27" s="29">
        <f t="shared" si="11"/>
        <v>11306</v>
      </c>
      <c r="F27" s="33">
        <f t="shared" si="7"/>
        <v>0.9279184784303683</v>
      </c>
      <c r="G27" s="29">
        <f t="shared" si="11"/>
        <v>742131</v>
      </c>
      <c r="H27" s="33">
        <f t="shared" si="8"/>
        <v>60.90899242136987</v>
      </c>
      <c r="I27" s="29">
        <f>SUM(I21:I26)</f>
        <v>7242</v>
      </c>
      <c r="J27" s="33">
        <f t="shared" si="1"/>
        <v>0.5943733964967918</v>
      </c>
      <c r="K27" s="29">
        <f t="shared" si="11"/>
        <v>347244</v>
      </c>
      <c r="L27" s="53">
        <f t="shared" si="10"/>
        <v>28.49939183832256</v>
      </c>
    </row>
    <row r="28" spans="1:12" s="123" customFormat="1" ht="12.75">
      <c r="A28" s="121" t="s">
        <v>59</v>
      </c>
      <c r="B28" s="39">
        <f>2671181-'kötelező2016.'!C29-'önként2016.'!B29</f>
        <v>267726</v>
      </c>
      <c r="C28" s="39">
        <v>1016</v>
      </c>
      <c r="D28" s="122">
        <f t="shared" si="6"/>
        <v>0.37949246617810745</v>
      </c>
      <c r="E28" s="39"/>
      <c r="F28" s="41">
        <f t="shared" si="7"/>
        <v>0</v>
      </c>
      <c r="G28" s="39">
        <v>300</v>
      </c>
      <c r="H28" s="41">
        <f>SUM(G28/B28*100)</f>
        <v>0.1120548620604648</v>
      </c>
      <c r="I28" s="39">
        <v>108818</v>
      </c>
      <c r="J28" s="41">
        <f t="shared" si="1"/>
        <v>40.64528659898553</v>
      </c>
      <c r="K28" s="40">
        <f>SUM(B28-C28-E28-G28-I28)</f>
        <v>157592</v>
      </c>
      <c r="L28" s="42">
        <f t="shared" si="10"/>
        <v>58.8631660727759</v>
      </c>
    </row>
    <row r="29" spans="1:13" ht="13.5" thickBot="1">
      <c r="A29" s="50" t="s">
        <v>39</v>
      </c>
      <c r="B29" s="30">
        <v>2550</v>
      </c>
      <c r="C29" s="30"/>
      <c r="D29" s="124">
        <f t="shared" si="6"/>
        <v>0</v>
      </c>
      <c r="E29" s="31"/>
      <c r="F29" s="51">
        <f t="shared" si="7"/>
        <v>0</v>
      </c>
      <c r="G29" s="31"/>
      <c r="H29" s="51">
        <f>SUM(G29/B29*100)</f>
        <v>0</v>
      </c>
      <c r="I29" s="31"/>
      <c r="J29" s="51">
        <f t="shared" si="1"/>
        <v>0</v>
      </c>
      <c r="K29" s="31">
        <f>SUM(B29-C29-E29-G29-I29)</f>
        <v>2550</v>
      </c>
      <c r="L29" s="52">
        <f t="shared" si="10"/>
        <v>100</v>
      </c>
      <c r="M29" s="3"/>
    </row>
    <row r="30" spans="1:13" s="37" customFormat="1" ht="13.5" thickBot="1">
      <c r="A30" s="32" t="s">
        <v>43</v>
      </c>
      <c r="B30" s="29">
        <f>SUM(B28:B29)</f>
        <v>270276</v>
      </c>
      <c r="C30" s="29">
        <f>SUM(C28:C29)</f>
        <v>1016</v>
      </c>
      <c r="D30" s="92">
        <f t="shared" si="6"/>
        <v>0.37591203066494994</v>
      </c>
      <c r="E30" s="29">
        <f>SUM(E29)</f>
        <v>0</v>
      </c>
      <c r="F30" s="33">
        <f t="shared" si="7"/>
        <v>0</v>
      </c>
      <c r="G30" s="29">
        <f>SUM(G28:G29)</f>
        <v>300</v>
      </c>
      <c r="H30" s="33">
        <f>SUM(H29)</f>
        <v>0</v>
      </c>
      <c r="I30" s="29">
        <f>SUM(I28:I29)</f>
        <v>108818</v>
      </c>
      <c r="J30" s="33">
        <f t="shared" si="1"/>
        <v>40.26180644970327</v>
      </c>
      <c r="K30" s="29">
        <f>SUM(K28:K29)</f>
        <v>160142</v>
      </c>
      <c r="L30" s="53">
        <f>SUM(L29)</f>
        <v>100</v>
      </c>
      <c r="M30" s="44"/>
    </row>
    <row r="31" spans="1:12" s="37" customFormat="1" ht="13.5" thickBot="1">
      <c r="A31" s="28" t="s">
        <v>20</v>
      </c>
      <c r="B31" s="29">
        <f>SUM(B30,B27,B20)</f>
        <v>5489822</v>
      </c>
      <c r="C31" s="29">
        <f>SUM(C30,C27,C20)</f>
        <v>249099</v>
      </c>
      <c r="D31" s="92">
        <f t="shared" si="6"/>
        <v>4.537469520869712</v>
      </c>
      <c r="E31" s="29">
        <f>SUM(E30,E27,E20)</f>
        <v>11306</v>
      </c>
      <c r="F31" s="33">
        <f t="shared" si="7"/>
        <v>0.20594474647811895</v>
      </c>
      <c r="G31" s="29">
        <f>SUM(G30,G27,G20)</f>
        <v>747133</v>
      </c>
      <c r="H31" s="33">
        <f>SUM(G31/B31*100)</f>
        <v>13.60942121620701</v>
      </c>
      <c r="I31" s="29">
        <f>SUM(I30,I27,I20)</f>
        <v>599168</v>
      </c>
      <c r="J31" s="33">
        <f t="shared" si="1"/>
        <v>10.914160786998194</v>
      </c>
      <c r="K31" s="29">
        <f>SUM(K30,K27,K20)</f>
        <v>3883116</v>
      </c>
      <c r="L31" s="53">
        <f>SUM(K31/B31)*100</f>
        <v>70.73300372944696</v>
      </c>
    </row>
    <row r="32" spans="3:11" ht="12.75">
      <c r="C32" s="6"/>
      <c r="D32" s="93"/>
      <c r="E32" s="3"/>
      <c r="F32" s="2"/>
      <c r="G32" s="3"/>
      <c r="H32" s="2"/>
      <c r="I32" s="2"/>
      <c r="J32" s="2"/>
      <c r="K32" s="6"/>
    </row>
    <row r="33" spans="1:7" s="3" customFormat="1" ht="13.5" thickBot="1">
      <c r="A33" s="78" t="s">
        <v>60</v>
      </c>
      <c r="D33" s="94"/>
      <c r="G33" s="64"/>
    </row>
    <row r="34" spans="1:12" s="3" customFormat="1" ht="13.5" thickBot="1">
      <c r="A34" s="125" t="s">
        <v>61</v>
      </c>
      <c r="B34" s="126">
        <v>36000</v>
      </c>
      <c r="C34" s="126">
        <v>60000</v>
      </c>
      <c r="D34" s="127">
        <f>SUM(C34/B34)*100</f>
        <v>166.66666666666669</v>
      </c>
      <c r="E34" s="126"/>
      <c r="F34" s="126">
        <f>SUM(E34/B34)*100</f>
        <v>0</v>
      </c>
      <c r="G34" s="128"/>
      <c r="H34" s="126">
        <f>SUM(G34/B34*100)</f>
        <v>0</v>
      </c>
      <c r="I34" s="126"/>
      <c r="J34" s="126">
        <f>SUM(I34/B34*100)</f>
        <v>0</v>
      </c>
      <c r="K34" s="126">
        <f>SUM(B34-C34-E34-G34-I34)</f>
        <v>-24000</v>
      </c>
      <c r="L34" s="129">
        <f>SUM(K34/B34)*100</f>
        <v>-66.66666666666666</v>
      </c>
    </row>
    <row r="35" spans="4:7" s="3" customFormat="1" ht="12.75">
      <c r="D35" s="94"/>
      <c r="G35" s="64"/>
    </row>
    <row r="36" ht="12.75">
      <c r="B36" s="3"/>
    </row>
    <row r="37" spans="2:3" ht="12.75">
      <c r="B37" s="3"/>
      <c r="C37" s="3"/>
    </row>
    <row r="38" ht="12.75">
      <c r="B38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B3">
      <selection activeCell="V27" sqref="V27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33" t="s">
        <v>33</v>
      </c>
      <c r="M1" s="133"/>
    </row>
    <row r="2" spans="2:13" ht="18" customHeight="1">
      <c r="B2" s="132" t="s">
        <v>67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72</v>
      </c>
      <c r="D4" s="61" t="s">
        <v>71</v>
      </c>
      <c r="E4" s="62" t="s">
        <v>70</v>
      </c>
      <c r="F4" s="61" t="s">
        <v>69</v>
      </c>
      <c r="G4" s="70" t="s">
        <v>68</v>
      </c>
      <c r="H4" s="61" t="s">
        <v>73</v>
      </c>
      <c r="I4" s="70" t="s">
        <v>74</v>
      </c>
      <c r="J4" s="62" t="s">
        <v>63</v>
      </c>
      <c r="K4" s="62" t="s">
        <v>51</v>
      </c>
      <c r="L4" s="63" t="s">
        <v>75</v>
      </c>
      <c r="M4" s="71" t="s">
        <v>76</v>
      </c>
    </row>
    <row r="5" spans="2:13" ht="12" customHeight="1">
      <c r="B5" s="19" t="s">
        <v>40</v>
      </c>
      <c r="C5" s="20">
        <f>27285+21114+155</f>
        <v>48554</v>
      </c>
      <c r="D5" s="21"/>
      <c r="E5" s="22">
        <f>SUM(D5/C5)*100</f>
        <v>0</v>
      </c>
      <c r="F5" s="21"/>
      <c r="G5" s="17">
        <f>SUM(F5/C5)*100</f>
        <v>0</v>
      </c>
      <c r="H5" s="21"/>
      <c r="I5" s="81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48554</v>
      </c>
      <c r="M5" s="23">
        <f>SUM(L5/C5)*100</f>
        <v>100</v>
      </c>
    </row>
    <row r="6" spans="2:13" ht="12" customHeight="1">
      <c r="B6" s="19" t="s">
        <v>5</v>
      </c>
      <c r="C6" s="20">
        <f>85104+17+132+18</f>
        <v>85271</v>
      </c>
      <c r="D6" s="21"/>
      <c r="E6" s="22">
        <f>SUM(D6/C6)*100</f>
        <v>0</v>
      </c>
      <c r="F6" s="21">
        <v>17</v>
      </c>
      <c r="G6" s="17">
        <f>SUM(F6/C6)*100</f>
        <v>0.01993643794490507</v>
      </c>
      <c r="H6" s="21">
        <f>132+18+21</f>
        <v>171</v>
      </c>
      <c r="I6" s="81">
        <f t="shared" si="0"/>
        <v>0.20053711109286862</v>
      </c>
      <c r="J6" s="16"/>
      <c r="K6" s="17">
        <f t="shared" si="1"/>
        <v>0</v>
      </c>
      <c r="L6" s="16">
        <f t="shared" si="2"/>
        <v>85083</v>
      </c>
      <c r="M6" s="23">
        <f>SUM(L6/C6)*100</f>
        <v>99.77952645096224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10561</v>
      </c>
      <c r="G7" s="17">
        <f>SUM(F7/C7)*100</f>
        <v>3.9852830188679245</v>
      </c>
      <c r="H7" s="21"/>
      <c r="I7" s="81">
        <f t="shared" si="0"/>
        <v>0</v>
      </c>
      <c r="J7" s="16"/>
      <c r="K7" s="17">
        <f t="shared" si="1"/>
        <v>0</v>
      </c>
      <c r="L7" s="16">
        <f t="shared" si="2"/>
        <v>254439</v>
      </c>
      <c r="M7" s="23">
        <f>SUM(L7/C7)*100</f>
        <v>96.01471698113208</v>
      </c>
    </row>
    <row r="8" spans="2:13" ht="12" customHeight="1">
      <c r="B8" s="19" t="s">
        <v>16</v>
      </c>
      <c r="C8" s="20">
        <v>148703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81">
        <f t="shared" si="0"/>
        <v>0</v>
      </c>
      <c r="J8" s="16"/>
      <c r="K8" s="17">
        <f t="shared" si="1"/>
        <v>0</v>
      </c>
      <c r="L8" s="16">
        <f t="shared" si="2"/>
        <v>148703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986027+2734</f>
        <v>988761</v>
      </c>
      <c r="D9" s="21"/>
      <c r="E9" s="22">
        <f t="shared" si="3"/>
        <v>0</v>
      </c>
      <c r="F9" s="21"/>
      <c r="G9" s="22">
        <f t="shared" si="4"/>
        <v>0</v>
      </c>
      <c r="H9" s="21"/>
      <c r="I9" s="81">
        <f t="shared" si="0"/>
        <v>0</v>
      </c>
      <c r="J9" s="16">
        <f>191862+2734</f>
        <v>194596</v>
      </c>
      <c r="K9" s="17">
        <f t="shared" si="1"/>
        <v>19.68079242607668</v>
      </c>
      <c r="L9" s="16">
        <f t="shared" si="2"/>
        <v>794165</v>
      </c>
      <c r="M9" s="23">
        <f t="shared" si="5"/>
        <v>80.31920757392332</v>
      </c>
    </row>
    <row r="10" spans="2:13" ht="12" customHeight="1">
      <c r="B10" s="19" t="s">
        <v>18</v>
      </c>
      <c r="C10" s="20">
        <v>336375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81">
        <f t="shared" si="0"/>
        <v>0</v>
      </c>
      <c r="J10" s="16"/>
      <c r="K10" s="17">
        <f t="shared" si="1"/>
        <v>0</v>
      </c>
      <c r="L10" s="16">
        <f t="shared" si="2"/>
        <v>336375</v>
      </c>
      <c r="M10" s="23">
        <f t="shared" si="5"/>
        <v>100</v>
      </c>
    </row>
    <row r="11" spans="2:13" ht="12" customHeight="1">
      <c r="B11" s="19" t="s">
        <v>19</v>
      </c>
      <c r="C11" s="20">
        <f>1166277+477695</f>
        <v>1643972</v>
      </c>
      <c r="D11" s="21">
        <f>38857+301308+1594400+14843+110000-1016</f>
        <v>2058392</v>
      </c>
      <c r="E11" s="22">
        <f t="shared" si="3"/>
        <v>125.20845853822328</v>
      </c>
      <c r="F11" s="21"/>
      <c r="G11" s="22">
        <f t="shared" si="4"/>
        <v>0</v>
      </c>
      <c r="H11" s="21"/>
      <c r="I11" s="81">
        <f t="shared" si="0"/>
        <v>0</v>
      </c>
      <c r="J11" s="16">
        <v>47556</v>
      </c>
      <c r="K11" s="17">
        <f t="shared" si="1"/>
        <v>2.892749998175151</v>
      </c>
      <c r="L11" s="16">
        <f>SUM(C11-D11-F11-H11-J11)</f>
        <v>-461976</v>
      </c>
      <c r="M11" s="23">
        <f t="shared" si="5"/>
        <v>-28.10120853639843</v>
      </c>
    </row>
    <row r="12" spans="2:13" ht="12" customHeight="1">
      <c r="B12" s="19" t="s">
        <v>62</v>
      </c>
      <c r="C12" s="25">
        <v>35283</v>
      </c>
      <c r="D12" s="26"/>
      <c r="E12" s="22">
        <f t="shared" si="3"/>
        <v>0</v>
      </c>
      <c r="F12" s="26"/>
      <c r="G12" s="22">
        <f t="shared" si="4"/>
        <v>0</v>
      </c>
      <c r="H12" s="26"/>
      <c r="I12" s="81">
        <f t="shared" si="0"/>
        <v>0</v>
      </c>
      <c r="J12" s="21"/>
      <c r="K12" s="17">
        <f t="shared" si="1"/>
        <v>0</v>
      </c>
      <c r="L12" s="16">
        <f>SUM(C12-D12-F12-H12-J12)</f>
        <v>35283</v>
      </c>
      <c r="M12" s="23">
        <f t="shared" si="5"/>
        <v>100</v>
      </c>
    </row>
    <row r="13" spans="2:13" ht="12" customHeight="1">
      <c r="B13" s="24" t="s">
        <v>56</v>
      </c>
      <c r="C13" s="25">
        <f>1094963+300000+110000</f>
        <v>1504963</v>
      </c>
      <c r="D13" s="26">
        <f>2780822+110000</f>
        <v>2890822</v>
      </c>
      <c r="E13" s="27">
        <f t="shared" si="3"/>
        <v>192.08591839134917</v>
      </c>
      <c r="F13" s="26"/>
      <c r="G13" s="27">
        <f t="shared" si="4"/>
        <v>0</v>
      </c>
      <c r="H13" s="26"/>
      <c r="I13" s="81">
        <f t="shared" si="0"/>
        <v>0</v>
      </c>
      <c r="J13" s="40"/>
      <c r="K13" s="17">
        <f t="shared" si="1"/>
        <v>0</v>
      </c>
      <c r="L13" s="16">
        <f t="shared" si="2"/>
        <v>-1385859</v>
      </c>
      <c r="M13" s="96">
        <f t="shared" si="5"/>
        <v>-92.08591839134915</v>
      </c>
    </row>
    <row r="14" spans="2:13" ht="12" customHeight="1" thickBot="1">
      <c r="B14" s="24" t="s">
        <v>32</v>
      </c>
      <c r="C14" s="25">
        <f>447185+5130+696+5326</f>
        <v>458337</v>
      </c>
      <c r="D14" s="26">
        <v>38178</v>
      </c>
      <c r="E14" s="27">
        <f t="shared" si="3"/>
        <v>8.329678817114917</v>
      </c>
      <c r="F14" s="26">
        <v>46796</v>
      </c>
      <c r="G14" s="27">
        <f t="shared" si="4"/>
        <v>10.209954683998891</v>
      </c>
      <c r="H14" s="26"/>
      <c r="I14" s="82">
        <f t="shared" si="0"/>
        <v>0</v>
      </c>
      <c r="J14" s="26">
        <v>101</v>
      </c>
      <c r="K14" s="41">
        <f t="shared" si="1"/>
        <v>0.022036187346864862</v>
      </c>
      <c r="L14" s="40">
        <f t="shared" si="2"/>
        <v>373262</v>
      </c>
      <c r="M14" s="96">
        <f t="shared" si="5"/>
        <v>81.43833031153933</v>
      </c>
    </row>
    <row r="15" spans="2:13" s="37" customFormat="1" ht="12" customHeight="1" thickBot="1">
      <c r="B15" s="32" t="s">
        <v>42</v>
      </c>
      <c r="C15" s="29">
        <f>SUM(C5:C14)</f>
        <v>5515219</v>
      </c>
      <c r="D15" s="29">
        <f>SUM(D5:D14)</f>
        <v>4987392</v>
      </c>
      <c r="E15" s="73">
        <f t="shared" si="3"/>
        <v>90.42962754516185</v>
      </c>
      <c r="F15" s="29">
        <f>SUM(F5:F14)</f>
        <v>57374</v>
      </c>
      <c r="G15" s="73">
        <f t="shared" si="4"/>
        <v>1.0402850729952882</v>
      </c>
      <c r="H15" s="29">
        <f>SUM(H5:H14)</f>
        <v>171</v>
      </c>
      <c r="I15" s="73">
        <f t="shared" si="0"/>
        <v>0.0031005115118728738</v>
      </c>
      <c r="J15" s="29">
        <f>SUM(J5:J14)</f>
        <v>242253</v>
      </c>
      <c r="K15" s="33">
        <f t="shared" si="1"/>
        <v>4.392445703425376</v>
      </c>
      <c r="L15" s="29">
        <f>SUM(L5:L14)</f>
        <v>228029</v>
      </c>
      <c r="M15" s="97">
        <f t="shared" si="5"/>
        <v>4.134541166905612</v>
      </c>
    </row>
    <row r="16" spans="2:13" s="104" customFormat="1" ht="12" customHeight="1">
      <c r="B16" s="98" t="s">
        <v>15</v>
      </c>
      <c r="C16" s="20">
        <v>39452</v>
      </c>
      <c r="D16" s="99">
        <v>3720</v>
      </c>
      <c r="E16" s="22">
        <f aca="true" t="shared" si="6" ref="E16:E24">SUM(D16/C16)*100</f>
        <v>9.429179762749671</v>
      </c>
      <c r="F16" s="99"/>
      <c r="G16" s="100">
        <f aca="true" t="shared" si="7" ref="G16:G23">SUM(F16/C16)*100</f>
        <v>0</v>
      </c>
      <c r="H16" s="99"/>
      <c r="I16" s="101">
        <f t="shared" si="0"/>
        <v>0</v>
      </c>
      <c r="J16" s="102"/>
      <c r="K16" s="103">
        <f t="shared" si="1"/>
        <v>0</v>
      </c>
      <c r="L16" s="16">
        <f>SUM(C16-D16-F16-H16-J16)</f>
        <v>35732</v>
      </c>
      <c r="M16" s="23">
        <f aca="true" t="shared" si="8" ref="M16:M24">SUM(L16/C16)*100</f>
        <v>90.57082023725033</v>
      </c>
    </row>
    <row r="17" spans="2:13" s="104" customFormat="1" ht="12" customHeight="1">
      <c r="B17" s="98" t="s">
        <v>29</v>
      </c>
      <c r="C17" s="20">
        <v>33048</v>
      </c>
      <c r="D17" s="99">
        <v>750</v>
      </c>
      <c r="E17" s="22">
        <f t="shared" si="6"/>
        <v>2.269426289034132</v>
      </c>
      <c r="F17" s="99">
        <v>91</v>
      </c>
      <c r="G17" s="100">
        <f t="shared" si="7"/>
        <v>0.275357056402808</v>
      </c>
      <c r="H17" s="99">
        <v>12952</v>
      </c>
      <c r="I17" s="101">
        <f t="shared" si="0"/>
        <v>39.1914790607601</v>
      </c>
      <c r="J17" s="102">
        <v>136</v>
      </c>
      <c r="K17" s="103">
        <f t="shared" si="1"/>
        <v>0.411522633744856</v>
      </c>
      <c r="L17" s="16">
        <f>SUM(C17-D17-F17-H17-J17)</f>
        <v>19119</v>
      </c>
      <c r="M17" s="23">
        <f t="shared" si="8"/>
        <v>57.8522149600581</v>
      </c>
    </row>
    <row r="18" spans="2:13" s="104" customFormat="1" ht="12" customHeight="1">
      <c r="B18" s="98" t="s">
        <v>35</v>
      </c>
      <c r="C18" s="20">
        <v>65671</v>
      </c>
      <c r="D18" s="99"/>
      <c r="E18" s="22">
        <f t="shared" si="6"/>
        <v>0</v>
      </c>
      <c r="F18" s="99">
        <v>550</v>
      </c>
      <c r="G18" s="100">
        <f t="shared" si="7"/>
        <v>0.8375081847390782</v>
      </c>
      <c r="H18" s="99">
        <v>38743</v>
      </c>
      <c r="I18" s="101">
        <f t="shared" si="0"/>
        <v>58.99559927517474</v>
      </c>
      <c r="J18" s="102">
        <v>558</v>
      </c>
      <c r="K18" s="103">
        <f t="shared" si="1"/>
        <v>0.8496901219716465</v>
      </c>
      <c r="L18" s="16">
        <f>SUM(C18-D18-F18-H18-J18)</f>
        <v>25820</v>
      </c>
      <c r="M18" s="23">
        <f t="shared" si="8"/>
        <v>39.31720241811454</v>
      </c>
    </row>
    <row r="19" spans="2:13" s="104" customFormat="1" ht="12" customHeight="1">
      <c r="B19" s="98" t="s">
        <v>31</v>
      </c>
      <c r="C19" s="20">
        <v>20383</v>
      </c>
      <c r="D19" s="99"/>
      <c r="E19" s="22">
        <f t="shared" si="6"/>
        <v>0</v>
      </c>
      <c r="F19" s="99"/>
      <c r="G19" s="100">
        <f t="shared" si="7"/>
        <v>0</v>
      </c>
      <c r="H19" s="99">
        <v>13304</v>
      </c>
      <c r="I19" s="101">
        <f t="shared" si="0"/>
        <v>65.27007800618162</v>
      </c>
      <c r="J19" s="102"/>
      <c r="K19" s="103">
        <f t="shared" si="1"/>
        <v>0</v>
      </c>
      <c r="L19" s="16">
        <f>SUM(C19-D19-F19-H19-J19)</f>
        <v>7079</v>
      </c>
      <c r="M19" s="23">
        <f t="shared" si="8"/>
        <v>34.72992199381838</v>
      </c>
    </row>
    <row r="20" spans="2:13" s="104" customFormat="1" ht="12" customHeight="1" thickBot="1">
      <c r="B20" s="105" t="s">
        <v>30</v>
      </c>
      <c r="C20" s="25">
        <v>29872</v>
      </c>
      <c r="D20" s="106"/>
      <c r="E20" s="27">
        <f t="shared" si="6"/>
        <v>0</v>
      </c>
      <c r="F20" s="106"/>
      <c r="G20" s="107">
        <f t="shared" si="7"/>
        <v>0</v>
      </c>
      <c r="H20" s="106">
        <v>18091</v>
      </c>
      <c r="I20" s="101">
        <f t="shared" si="0"/>
        <v>60.561730048205675</v>
      </c>
      <c r="J20" s="108"/>
      <c r="K20" s="103">
        <f t="shared" si="1"/>
        <v>0</v>
      </c>
      <c r="L20" s="16">
        <f>SUM(C20-D20-F20-H20-J20)</f>
        <v>11781</v>
      </c>
      <c r="M20" s="96">
        <f t="shared" si="8"/>
        <v>39.438269951794325</v>
      </c>
    </row>
    <row r="21" spans="2:13" s="37" customFormat="1" ht="12" customHeight="1" thickBot="1">
      <c r="B21" s="32" t="s">
        <v>41</v>
      </c>
      <c r="C21" s="29">
        <f>SUM(C16:C20)</f>
        <v>188426</v>
      </c>
      <c r="D21" s="29">
        <f aca="true" t="shared" si="9" ref="D21:L21">SUM(D16:D20)</f>
        <v>4470</v>
      </c>
      <c r="E21" s="33">
        <f t="shared" si="6"/>
        <v>2.3722840796917626</v>
      </c>
      <c r="F21" s="29">
        <f t="shared" si="9"/>
        <v>641</v>
      </c>
      <c r="G21" s="33">
        <f t="shared" si="7"/>
        <v>0.34018659845244287</v>
      </c>
      <c r="H21" s="29">
        <f t="shared" si="9"/>
        <v>83090</v>
      </c>
      <c r="I21" s="73">
        <f aca="true" t="shared" si="10" ref="I21:I39">SUM(H21/C21)*100</f>
        <v>44.09688684151868</v>
      </c>
      <c r="J21" s="29">
        <f>SUM(J16:J20)</f>
        <v>694</v>
      </c>
      <c r="K21" s="33">
        <f aca="true" t="shared" si="11" ref="K21:K39">SUM(J21/C21)*100</f>
        <v>0.36831435152261366</v>
      </c>
      <c r="L21" s="29">
        <f t="shared" si="9"/>
        <v>99531</v>
      </c>
      <c r="M21" s="53">
        <f t="shared" si="8"/>
        <v>52.8223281288145</v>
      </c>
    </row>
    <row r="22" spans="2:13" ht="12" customHeight="1">
      <c r="B22" s="109" t="s">
        <v>53</v>
      </c>
      <c r="C22" s="110">
        <f>313095+41602+168</f>
        <v>354865</v>
      </c>
      <c r="D22" s="111">
        <v>379000</v>
      </c>
      <c r="E22" s="112">
        <f t="shared" si="6"/>
        <v>106.80117791272738</v>
      </c>
      <c r="F22" s="111">
        <f>105+476+168</f>
        <v>749</v>
      </c>
      <c r="G22" s="112">
        <f t="shared" si="7"/>
        <v>0.21106618009665645</v>
      </c>
      <c r="H22" s="111"/>
      <c r="I22" s="113">
        <f>SUM(H22/C22)*100</f>
        <v>0</v>
      </c>
      <c r="J22" s="111">
        <f>8488+41021</f>
        <v>49509</v>
      </c>
      <c r="K22" s="112">
        <f>SUM(J22/C22)*100</f>
        <v>13.951502684119314</v>
      </c>
      <c r="L22" s="111">
        <f>SUM(C22-D22-F22-H22-J22)</f>
        <v>-74393</v>
      </c>
      <c r="M22" s="114">
        <f t="shared" si="8"/>
        <v>-20.963746776943346</v>
      </c>
    </row>
    <row r="23" spans="2:13" ht="12" customHeight="1" thickBot="1">
      <c r="B23" s="50" t="s">
        <v>54</v>
      </c>
      <c r="C23" s="30">
        <f>811361-6822</f>
        <v>804539</v>
      </c>
      <c r="D23" s="31">
        <v>106000</v>
      </c>
      <c r="E23" s="51">
        <f t="shared" si="6"/>
        <v>13.175246942659088</v>
      </c>
      <c r="F23" s="31"/>
      <c r="G23" s="51">
        <f t="shared" si="7"/>
        <v>0</v>
      </c>
      <c r="H23" s="31"/>
      <c r="I23" s="83">
        <f>SUM(H23/C23)*100</f>
        <v>0</v>
      </c>
      <c r="J23" s="31">
        <v>12418</v>
      </c>
      <c r="K23" s="51">
        <f>SUM(J23/C23)*100</f>
        <v>1.54349260881076</v>
      </c>
      <c r="L23" s="31">
        <f>SUM(C23-D23-F23-H23-J23)</f>
        <v>686121</v>
      </c>
      <c r="M23" s="52">
        <f t="shared" si="8"/>
        <v>85.28126044853015</v>
      </c>
    </row>
    <row r="24" spans="2:13" ht="12" customHeight="1" thickBot="1">
      <c r="B24" s="32" t="s">
        <v>55</v>
      </c>
      <c r="C24" s="29">
        <f>SUM(C22:C23)</f>
        <v>1159404</v>
      </c>
      <c r="D24" s="29">
        <f>SUM(D22:D23)</f>
        <v>485000</v>
      </c>
      <c r="E24" s="73">
        <f t="shared" si="6"/>
        <v>41.83183773732021</v>
      </c>
      <c r="F24" s="29">
        <f aca="true" t="shared" si="12" ref="F24:L24">SUM(F22:F23)</f>
        <v>749</v>
      </c>
      <c r="G24" s="73">
        <f t="shared" si="12"/>
        <v>0.21106618009665645</v>
      </c>
      <c r="H24" s="29">
        <f t="shared" si="12"/>
        <v>0</v>
      </c>
      <c r="I24" s="73">
        <f t="shared" si="12"/>
        <v>0</v>
      </c>
      <c r="J24" s="29">
        <f t="shared" si="12"/>
        <v>61927</v>
      </c>
      <c r="K24" s="33">
        <f t="shared" si="12"/>
        <v>15.494995292930074</v>
      </c>
      <c r="L24" s="29">
        <f t="shared" si="12"/>
        <v>611728</v>
      </c>
      <c r="M24" s="97">
        <f t="shared" si="8"/>
        <v>52.76228131005241</v>
      </c>
    </row>
    <row r="25" spans="2:13" ht="12" customHeight="1">
      <c r="B25" s="38" t="s">
        <v>4</v>
      </c>
      <c r="C25" s="39">
        <f>2189980+205+1026+911+1005+271+607</f>
        <v>2194005</v>
      </c>
      <c r="D25" s="40">
        <f>67138-60000</f>
        <v>7138</v>
      </c>
      <c r="E25" s="41">
        <f aca="true" t="shared" si="13" ref="E25:E45">SUM(D25/C25)*100</f>
        <v>0.3253410999519144</v>
      </c>
      <c r="F25" s="40">
        <f>326325+205+1026+911+1005+271</f>
        <v>329743</v>
      </c>
      <c r="G25" s="41">
        <f aca="true" t="shared" si="14" ref="G25:G45">SUM(F25/C25)*100</f>
        <v>15.029272950608592</v>
      </c>
      <c r="H25" s="40">
        <v>1000</v>
      </c>
      <c r="I25" s="82">
        <f t="shared" si="10"/>
        <v>0.045578747541596305</v>
      </c>
      <c r="J25" s="40">
        <v>45532</v>
      </c>
      <c r="K25" s="41">
        <f t="shared" si="11"/>
        <v>2.075291533063963</v>
      </c>
      <c r="L25" s="40">
        <f>SUM(C25-D25-F25-H25-J25)</f>
        <v>1810592</v>
      </c>
      <c r="M25" s="42">
        <f aca="true" t="shared" si="15" ref="M25:M45">SUM(L25/C25)*100</f>
        <v>82.52451566883393</v>
      </c>
    </row>
    <row r="26" spans="2:13" ht="12" customHeigh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15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>
      <c r="B27" s="19" t="s">
        <v>89</v>
      </c>
      <c r="C27" s="20">
        <v>3513</v>
      </c>
      <c r="D27" s="21"/>
      <c r="E27" s="22">
        <f t="shared" si="13"/>
        <v>0</v>
      </c>
      <c r="F27" s="21"/>
      <c r="G27" s="22">
        <f t="shared" si="14"/>
        <v>0</v>
      </c>
      <c r="H27" s="21">
        <v>3513</v>
      </c>
      <c r="I27" s="115">
        <f t="shared" si="10"/>
        <v>100</v>
      </c>
      <c r="J27" s="21"/>
      <c r="K27" s="22">
        <f t="shared" si="11"/>
        <v>0</v>
      </c>
      <c r="L27" s="21">
        <f>SUM(C27-D27-F27-H27-J27)</f>
        <v>0</v>
      </c>
      <c r="M27" s="23">
        <f t="shared" si="15"/>
        <v>0</v>
      </c>
    </row>
    <row r="28" spans="2:13" ht="12" customHeight="1" thickBot="1">
      <c r="B28" s="38" t="s">
        <v>57</v>
      </c>
      <c r="C28" s="39">
        <v>202387</v>
      </c>
      <c r="D28" s="40"/>
      <c r="E28" s="41">
        <f t="shared" si="13"/>
        <v>0</v>
      </c>
      <c r="F28" s="40"/>
      <c r="G28" s="41">
        <f t="shared" si="14"/>
        <v>0</v>
      </c>
      <c r="H28" s="40"/>
      <c r="I28" s="82">
        <f t="shared" si="10"/>
        <v>0</v>
      </c>
      <c r="J28" s="40"/>
      <c r="K28" s="41">
        <f t="shared" si="11"/>
        <v>0</v>
      </c>
      <c r="L28" s="40">
        <f>SUM(C28-D28-F28-H28-J28)</f>
        <v>202387</v>
      </c>
      <c r="M28" s="42">
        <f t="shared" si="15"/>
        <v>100</v>
      </c>
    </row>
    <row r="29" spans="2:13" ht="12" customHeight="1" thickBot="1">
      <c r="B29" s="32" t="s">
        <v>43</v>
      </c>
      <c r="C29" s="29">
        <f>SUM(C25:C28)</f>
        <v>2400905</v>
      </c>
      <c r="D29" s="29">
        <f>SUM(D25:D28)</f>
        <v>7138</v>
      </c>
      <c r="E29" s="33">
        <f t="shared" si="13"/>
        <v>0.29730455807289335</v>
      </c>
      <c r="F29" s="29">
        <f>SUM(F25:F28)</f>
        <v>329743</v>
      </c>
      <c r="G29" s="33">
        <f t="shared" si="14"/>
        <v>13.73411276164613</v>
      </c>
      <c r="H29" s="29">
        <f>SUM(H25:H28)</f>
        <v>4513</v>
      </c>
      <c r="I29" s="73">
        <f t="shared" si="10"/>
        <v>0.18797078601610642</v>
      </c>
      <c r="J29" s="29">
        <f>SUM(J25)</f>
        <v>45532</v>
      </c>
      <c r="K29" s="33">
        <f t="shared" si="11"/>
        <v>1.8964515463960465</v>
      </c>
      <c r="L29" s="29">
        <f>SUM(L25:L28)</f>
        <v>2013979</v>
      </c>
      <c r="M29" s="53">
        <f t="shared" si="15"/>
        <v>83.88416034786881</v>
      </c>
    </row>
    <row r="30" spans="2:13" ht="12" customHeight="1" thickBot="1">
      <c r="B30" s="38" t="s">
        <v>7</v>
      </c>
      <c r="C30" s="39">
        <f>173982+15639+2828+4018</f>
        <v>196467</v>
      </c>
      <c r="D30" s="40">
        <v>4200</v>
      </c>
      <c r="E30" s="41">
        <f t="shared" si="13"/>
        <v>2.137763593885996</v>
      </c>
      <c r="F30" s="40">
        <f>48422+4380+291+1330+4764+2828+381+2447+6035-2847</f>
        <v>68031</v>
      </c>
      <c r="G30" s="41">
        <f t="shared" si="14"/>
        <v>34.627189298966236</v>
      </c>
      <c r="H30" s="40"/>
      <c r="I30" s="82">
        <f t="shared" si="10"/>
        <v>0</v>
      </c>
      <c r="J30" s="40">
        <f>1888+3379</f>
        <v>5267</v>
      </c>
      <c r="K30" s="41">
        <f t="shared" si="11"/>
        <v>2.680857344999415</v>
      </c>
      <c r="L30" s="40">
        <f>SUM(C30-D30-F30-H30-J30)</f>
        <v>118969</v>
      </c>
      <c r="M30" s="42">
        <f t="shared" si="15"/>
        <v>60.55418976214835</v>
      </c>
    </row>
    <row r="31" spans="2:13" ht="12" customHeight="1" thickBot="1">
      <c r="B31" s="32" t="s">
        <v>44</v>
      </c>
      <c r="C31" s="29">
        <f>SUM(C30)</f>
        <v>196467</v>
      </c>
      <c r="D31" s="34">
        <f>SUM(D30)</f>
        <v>4200</v>
      </c>
      <c r="E31" s="35">
        <f t="shared" si="13"/>
        <v>2.137763593885996</v>
      </c>
      <c r="F31" s="34">
        <f>SUM(F30)</f>
        <v>68031</v>
      </c>
      <c r="G31" s="35">
        <f t="shared" si="14"/>
        <v>34.627189298966236</v>
      </c>
      <c r="H31" s="34">
        <f>SUM(H30)</f>
        <v>0</v>
      </c>
      <c r="I31" s="84">
        <f t="shared" si="10"/>
        <v>0</v>
      </c>
      <c r="J31" s="34">
        <f>SUM(J30)</f>
        <v>5267</v>
      </c>
      <c r="K31" s="35">
        <f t="shared" si="11"/>
        <v>2.680857344999415</v>
      </c>
      <c r="L31" s="34">
        <f>SUM(L30)</f>
        <v>118969</v>
      </c>
      <c r="M31" s="36">
        <f t="shared" si="15"/>
        <v>60.55418976214835</v>
      </c>
    </row>
    <row r="32" spans="2:13" ht="12" customHeight="1">
      <c r="B32" s="14" t="s">
        <v>8</v>
      </c>
      <c r="C32" s="15">
        <f>247553+16280+2921+1080-7416-4406</f>
        <v>256012</v>
      </c>
      <c r="D32" s="16">
        <v>56300</v>
      </c>
      <c r="E32" s="17">
        <f t="shared" si="13"/>
        <v>21.99115666453135</v>
      </c>
      <c r="F32" s="16">
        <f>31065+198+750+4817+1080+183-1845</f>
        <v>36248</v>
      </c>
      <c r="G32" s="17">
        <f t="shared" si="14"/>
        <v>14.158711310407323</v>
      </c>
      <c r="H32" s="16"/>
      <c r="I32" s="81">
        <f t="shared" si="10"/>
        <v>0</v>
      </c>
      <c r="J32" s="16">
        <f>6037+12158</f>
        <v>18195</v>
      </c>
      <c r="K32" s="17">
        <f t="shared" si="11"/>
        <v>7.1070887302157715</v>
      </c>
      <c r="L32" s="16">
        <f>SUM(C32-D32-F32-H32-J32)</f>
        <v>145269</v>
      </c>
      <c r="M32" s="18">
        <f t="shared" si="15"/>
        <v>56.74304329484555</v>
      </c>
    </row>
    <row r="33" spans="2:13" ht="12" customHeight="1">
      <c r="B33" s="19" t="s">
        <v>9</v>
      </c>
      <c r="C33" s="20">
        <f>207625+884+4021</f>
        <v>212530</v>
      </c>
      <c r="D33" s="21"/>
      <c r="E33" s="22">
        <f t="shared" si="13"/>
        <v>0</v>
      </c>
      <c r="F33" s="21">
        <f>12325+4780+884+4021</f>
        <v>22010</v>
      </c>
      <c r="G33" s="22">
        <f t="shared" si="14"/>
        <v>10.356185009175176</v>
      </c>
      <c r="H33" s="21"/>
      <c r="I33" s="81">
        <f t="shared" si="10"/>
        <v>0</v>
      </c>
      <c r="J33" s="16"/>
      <c r="K33" s="17">
        <f t="shared" si="11"/>
        <v>0</v>
      </c>
      <c r="L33" s="16">
        <f aca="true" t="shared" si="16" ref="L33:L39">SUM(C33-D33-F33-H33-J33)</f>
        <v>190520</v>
      </c>
      <c r="M33" s="23">
        <f t="shared" si="15"/>
        <v>89.64381499082482</v>
      </c>
    </row>
    <row r="34" spans="2:13" ht="12" customHeight="1">
      <c r="B34" s="19" t="s">
        <v>10</v>
      </c>
      <c r="C34" s="20">
        <f>55899+183+963</f>
        <v>57045</v>
      </c>
      <c r="D34" s="21"/>
      <c r="E34" s="22">
        <f t="shared" si="13"/>
        <v>0</v>
      </c>
      <c r="F34" s="21">
        <f>10424+8960+1192</f>
        <v>20576</v>
      </c>
      <c r="G34" s="22">
        <f t="shared" si="14"/>
        <v>36.0697694802349</v>
      </c>
      <c r="H34" s="21"/>
      <c r="I34" s="81">
        <f t="shared" si="10"/>
        <v>0</v>
      </c>
      <c r="J34" s="16"/>
      <c r="K34" s="17">
        <f t="shared" si="11"/>
        <v>0</v>
      </c>
      <c r="L34" s="16">
        <f t="shared" si="16"/>
        <v>36469</v>
      </c>
      <c r="M34" s="23">
        <f t="shared" si="15"/>
        <v>63.9302305197651</v>
      </c>
    </row>
    <row r="35" spans="2:13" ht="12" customHeight="1">
      <c r="B35" s="19" t="s">
        <v>11</v>
      </c>
      <c r="C35" s="20">
        <f>7986+38+433</f>
        <v>8457</v>
      </c>
      <c r="D35" s="21"/>
      <c r="E35" s="22">
        <f t="shared" si="13"/>
        <v>0</v>
      </c>
      <c r="F35" s="21">
        <f>27680+388+38+433</f>
        <v>28539</v>
      </c>
      <c r="G35" s="22">
        <f t="shared" si="14"/>
        <v>337.46009223128766</v>
      </c>
      <c r="H35" s="21"/>
      <c r="I35" s="81">
        <f t="shared" si="10"/>
        <v>0</v>
      </c>
      <c r="J35" s="16"/>
      <c r="K35" s="17">
        <f t="shared" si="11"/>
        <v>0</v>
      </c>
      <c r="L35" s="16">
        <f t="shared" si="16"/>
        <v>-20082</v>
      </c>
      <c r="M35" s="23">
        <f t="shared" si="15"/>
        <v>-237.4600922312877</v>
      </c>
    </row>
    <row r="36" spans="2:13" ht="12" customHeight="1">
      <c r="B36" s="19" t="s">
        <v>12</v>
      </c>
      <c r="C36" s="20">
        <f>8211+3975</f>
        <v>12186</v>
      </c>
      <c r="D36" s="21"/>
      <c r="E36" s="22">
        <f t="shared" si="13"/>
        <v>0</v>
      </c>
      <c r="F36" s="21"/>
      <c r="G36" s="22">
        <f t="shared" si="14"/>
        <v>0</v>
      </c>
      <c r="H36" s="21">
        <f>7070+3975</f>
        <v>11045</v>
      </c>
      <c r="I36" s="81">
        <f t="shared" si="10"/>
        <v>90.63679632365009</v>
      </c>
      <c r="J36" s="16"/>
      <c r="K36" s="17">
        <f t="shared" si="11"/>
        <v>0</v>
      </c>
      <c r="L36" s="16">
        <f t="shared" si="16"/>
        <v>1141</v>
      </c>
      <c r="M36" s="23">
        <f t="shared" si="15"/>
        <v>9.36320367634991</v>
      </c>
    </row>
    <row r="37" spans="2:13" ht="12" customHeight="1">
      <c r="B37" s="19" t="s">
        <v>13</v>
      </c>
      <c r="C37" s="20">
        <f>183669-8211+527+317+5141-430</f>
        <v>181013</v>
      </c>
      <c r="D37" s="21"/>
      <c r="E37" s="22">
        <f t="shared" si="13"/>
        <v>0</v>
      </c>
      <c r="F37" s="21">
        <f>6600+6600+4876+1907+527+317+5141</f>
        <v>25968</v>
      </c>
      <c r="G37" s="22">
        <f t="shared" si="14"/>
        <v>14.345930955235259</v>
      </c>
      <c r="H37" s="21"/>
      <c r="I37" s="81">
        <f t="shared" si="10"/>
        <v>0</v>
      </c>
      <c r="J37" s="16"/>
      <c r="K37" s="17">
        <f t="shared" si="11"/>
        <v>0</v>
      </c>
      <c r="L37" s="16">
        <f t="shared" si="16"/>
        <v>155045</v>
      </c>
      <c r="M37" s="23">
        <f t="shared" si="15"/>
        <v>85.65406904476474</v>
      </c>
    </row>
    <row r="38" spans="2:13" ht="12" customHeight="1">
      <c r="B38" s="24" t="s">
        <v>58</v>
      </c>
      <c r="C38" s="25">
        <f>7986+38+275</f>
        <v>8299</v>
      </c>
      <c r="D38" s="26"/>
      <c r="E38" s="27">
        <f t="shared" si="13"/>
        <v>0</v>
      </c>
      <c r="F38" s="26">
        <f>254+38+275</f>
        <v>567</v>
      </c>
      <c r="G38" s="22">
        <f t="shared" si="14"/>
        <v>6.832148451620677</v>
      </c>
      <c r="H38" s="26">
        <v>1963</v>
      </c>
      <c r="I38" s="82">
        <f t="shared" si="10"/>
        <v>23.653452223159416</v>
      </c>
      <c r="J38" s="40"/>
      <c r="K38" s="41">
        <f t="shared" si="11"/>
        <v>0</v>
      </c>
      <c r="L38" s="16">
        <f t="shared" si="16"/>
        <v>5769</v>
      </c>
      <c r="M38" s="23">
        <f t="shared" si="15"/>
        <v>69.51439932521991</v>
      </c>
    </row>
    <row r="39" spans="2:13" ht="12" customHeight="1" thickBot="1">
      <c r="B39" s="50" t="s">
        <v>14</v>
      </c>
      <c r="C39" s="30">
        <f>23956+123+1437</f>
        <v>25516</v>
      </c>
      <c r="D39" s="31"/>
      <c r="E39" s="51">
        <f t="shared" si="13"/>
        <v>0</v>
      </c>
      <c r="F39" s="31">
        <f>8150+1178+123+1437</f>
        <v>10888</v>
      </c>
      <c r="G39" s="51">
        <f t="shared" si="14"/>
        <v>42.67126508857187</v>
      </c>
      <c r="H39" s="31"/>
      <c r="I39" s="83">
        <f t="shared" si="10"/>
        <v>0</v>
      </c>
      <c r="J39" s="31"/>
      <c r="K39" s="51">
        <f t="shared" si="11"/>
        <v>0</v>
      </c>
      <c r="L39" s="31">
        <f t="shared" si="16"/>
        <v>14628</v>
      </c>
      <c r="M39" s="52">
        <f t="shared" si="15"/>
        <v>57.32873491142813</v>
      </c>
    </row>
    <row r="40" spans="2:13" s="37" customFormat="1" ht="12.75" customHeight="1" thickBot="1">
      <c r="B40" s="32" t="s">
        <v>45</v>
      </c>
      <c r="C40" s="29">
        <f>SUM(C32:C39)</f>
        <v>761058</v>
      </c>
      <c r="D40" s="34">
        <f>SUM(D32:D39)</f>
        <v>56300</v>
      </c>
      <c r="E40" s="35">
        <f t="shared" si="13"/>
        <v>7.397596503814427</v>
      </c>
      <c r="F40" s="34">
        <f>SUM(F32:F39)</f>
        <v>144796</v>
      </c>
      <c r="G40" s="35">
        <f t="shared" si="14"/>
        <v>19.025619597980707</v>
      </c>
      <c r="H40" s="34">
        <f>SUM(H32:H39)</f>
        <v>13008</v>
      </c>
      <c r="I40" s="84">
        <f aca="true" t="shared" si="17" ref="I40:I45">SUM(H40/C40)*100</f>
        <v>1.709199561662843</v>
      </c>
      <c r="J40" s="34">
        <f>SUM(J32:J39)</f>
        <v>18195</v>
      </c>
      <c r="K40" s="35">
        <f aca="true" t="shared" si="18" ref="K40:K45">SUM(J40/C40)*100</f>
        <v>2.3907507706377173</v>
      </c>
      <c r="L40" s="34">
        <f>SUM(L32:L39)</f>
        <v>528759</v>
      </c>
      <c r="M40" s="36">
        <f t="shared" si="15"/>
        <v>69.4768335659043</v>
      </c>
    </row>
    <row r="41" spans="2:13" s="37" customFormat="1" ht="12" customHeight="1" thickBot="1">
      <c r="B41" s="54" t="s">
        <v>47</v>
      </c>
      <c r="C41" s="43">
        <f>157613+1066+259+282</f>
        <v>159220</v>
      </c>
      <c r="D41" s="45">
        <v>5020</v>
      </c>
      <c r="E41" s="46">
        <f t="shared" si="13"/>
        <v>3.152870242431855</v>
      </c>
      <c r="F41" s="45">
        <f>93942+17+97+46+13-300</f>
        <v>93815</v>
      </c>
      <c r="G41" s="46">
        <f t="shared" si="14"/>
        <v>58.92161788720009</v>
      </c>
      <c r="H41" s="45"/>
      <c r="I41" s="85">
        <f t="shared" si="17"/>
        <v>0</v>
      </c>
      <c r="J41" s="45">
        <f>1816+952</f>
        <v>2768</v>
      </c>
      <c r="K41" s="35">
        <f t="shared" si="18"/>
        <v>1.738475065946489</v>
      </c>
      <c r="L41" s="45">
        <f>SUM(C41-D41-F41-H41-J41)</f>
        <v>57617</v>
      </c>
      <c r="M41" s="47">
        <f t="shared" si="15"/>
        <v>36.18703680442156</v>
      </c>
    </row>
    <row r="42" spans="2:13" s="37" customFormat="1" ht="12" customHeight="1" thickBot="1">
      <c r="B42" s="32" t="s">
        <v>48</v>
      </c>
      <c r="C42" s="29">
        <f>92165+583+296+440</f>
        <v>93484</v>
      </c>
      <c r="D42" s="34">
        <v>3000</v>
      </c>
      <c r="E42" s="35">
        <f t="shared" si="13"/>
        <v>3.2091053014419577</v>
      </c>
      <c r="F42" s="34">
        <f>47842+105+478+208+56-300</f>
        <v>48389</v>
      </c>
      <c r="G42" s="35">
        <f t="shared" si="14"/>
        <v>51.761798810491634</v>
      </c>
      <c r="H42" s="34"/>
      <c r="I42" s="84">
        <f t="shared" si="17"/>
        <v>0</v>
      </c>
      <c r="J42" s="34">
        <f>1145-209</f>
        <v>936</v>
      </c>
      <c r="K42" s="55">
        <f t="shared" si="18"/>
        <v>1.0012408540498907</v>
      </c>
      <c r="L42" s="57">
        <f>SUM(C42-D42-F42-H42-J42)</f>
        <v>41159</v>
      </c>
      <c r="M42" s="56">
        <f t="shared" si="15"/>
        <v>44.02785503401652</v>
      </c>
    </row>
    <row r="43" spans="2:13" s="37" customFormat="1" ht="12" customHeight="1" thickBot="1">
      <c r="B43" s="32" t="s">
        <v>49</v>
      </c>
      <c r="C43" s="29">
        <f>169380+1492+297+753</f>
        <v>171922</v>
      </c>
      <c r="D43" s="34">
        <v>22500</v>
      </c>
      <c r="E43" s="35">
        <f t="shared" si="13"/>
        <v>13.08733030095043</v>
      </c>
      <c r="F43" s="34">
        <f>93430+142+567+297-300</f>
        <v>94136</v>
      </c>
      <c r="G43" s="35">
        <f t="shared" si="14"/>
        <v>54.75506334267865</v>
      </c>
      <c r="H43" s="34"/>
      <c r="I43" s="84">
        <f t="shared" si="17"/>
        <v>0</v>
      </c>
      <c r="J43" s="34">
        <f>1889+474</f>
        <v>2363</v>
      </c>
      <c r="K43" s="55">
        <f t="shared" si="18"/>
        <v>1.3744605111620387</v>
      </c>
      <c r="L43" s="57">
        <f>SUM(C43-D43-F43-H43-J43)</f>
        <v>52923</v>
      </c>
      <c r="M43" s="56">
        <f t="shared" si="15"/>
        <v>30.783145845208875</v>
      </c>
    </row>
    <row r="44" spans="2:13" s="37" customFormat="1" ht="12" customHeight="1" thickBot="1">
      <c r="B44" s="54" t="s">
        <v>50</v>
      </c>
      <c r="C44" s="43">
        <f>129668+16879+29+533</f>
        <v>147109</v>
      </c>
      <c r="D44" s="45">
        <v>2350</v>
      </c>
      <c r="E44" s="46">
        <f t="shared" si="13"/>
        <v>1.5974549483716154</v>
      </c>
      <c r="F44" s="45">
        <f>78509+17+59+29-336</f>
        <v>78278</v>
      </c>
      <c r="G44" s="46">
        <f t="shared" si="14"/>
        <v>53.21088444622695</v>
      </c>
      <c r="H44" s="45"/>
      <c r="I44" s="85">
        <f t="shared" si="17"/>
        <v>0</v>
      </c>
      <c r="J44" s="45">
        <f>1548+16582</f>
        <v>18130</v>
      </c>
      <c r="K44" s="35">
        <f t="shared" si="18"/>
        <v>12.32419498467123</v>
      </c>
      <c r="L44" s="45">
        <f>SUM(C44-D44-F44-H44-J44)</f>
        <v>48351</v>
      </c>
      <c r="M44" s="47">
        <f t="shared" si="15"/>
        <v>32.86746562073021</v>
      </c>
    </row>
    <row r="45" spans="2:13" s="4" customFormat="1" ht="12" customHeight="1" thickBot="1">
      <c r="B45" s="28" t="s">
        <v>20</v>
      </c>
      <c r="C45" s="29">
        <f>SUM(C40,C31,C29,C21,C15,C41,C42,C43,C44,C24)</f>
        <v>10793214</v>
      </c>
      <c r="D45" s="29">
        <f>SUM(D40,D31,D29,D21,D15,D41,D42,D43,D44,D24)</f>
        <v>5577370</v>
      </c>
      <c r="E45" s="33">
        <f t="shared" si="13"/>
        <v>51.67478380397165</v>
      </c>
      <c r="F45" s="29">
        <f>SUM(F40,F31,F29,F21,F15,F41,F42,F43,F44,F24)</f>
        <v>915952</v>
      </c>
      <c r="G45" s="33">
        <f t="shared" si="14"/>
        <v>8.486369305750816</v>
      </c>
      <c r="H45" s="29">
        <f>SUM(H40,H31,H29,H21,H15,H41,H42,H43,H44)</f>
        <v>100782</v>
      </c>
      <c r="I45" s="73">
        <f t="shared" si="17"/>
        <v>0.9337533750373151</v>
      </c>
      <c r="J45" s="29">
        <f>SUM(J40,J31,J29,J21,J15,J41,J42,J43,J44,J24)</f>
        <v>398065</v>
      </c>
      <c r="K45" s="35">
        <f t="shared" si="18"/>
        <v>3.6881043959658353</v>
      </c>
      <c r="L45" s="29">
        <f>SUM(L40,L31,L29,L21,L15,L41,L42,L43,L44,L24)</f>
        <v>3801045</v>
      </c>
      <c r="M45" s="53">
        <f t="shared" si="15"/>
        <v>35.21698911927439</v>
      </c>
    </row>
    <row r="46" spans="2:13" ht="12.75">
      <c r="B46" s="8"/>
      <c r="C46" s="9"/>
      <c r="D46" s="9"/>
      <c r="E46" s="13"/>
      <c r="F46" s="9"/>
      <c r="G46" s="10"/>
      <c r="H46" s="77"/>
      <c r="I46" s="86"/>
      <c r="J46" s="11"/>
      <c r="K46" s="89"/>
      <c r="L46" s="12"/>
      <c r="M46" s="8"/>
    </row>
  </sheetData>
  <sheetProtection/>
  <mergeCells count="2">
    <mergeCell ref="B2:M2"/>
    <mergeCell ref="L1:M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2016-12-08T07:53:08Z</cp:lastPrinted>
  <dcterms:created xsi:type="dcterms:W3CDTF">2009-02-04T11:37:44Z</dcterms:created>
  <dcterms:modified xsi:type="dcterms:W3CDTF">2016-12-08T07:53:11Z</dcterms:modified>
  <cp:category/>
  <cp:version/>
  <cp:contentType/>
  <cp:contentStatus/>
</cp:coreProperties>
</file>