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2" activeTab="9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 - közgazd.mérleg" sheetId="7" r:id="rId7"/>
    <sheet name="7.mell. -ei.felh.ütemt." sheetId="8" r:id="rId8"/>
    <sheet name="8.mell." sheetId="9" r:id="rId9"/>
    <sheet name="9.mell" sheetId="10" r:id="rId10"/>
    <sheet name="Munka1" sheetId="11" r:id="rId11"/>
  </sheets>
  <definedNames>
    <definedName name="_xlnm.Print_Titles" localSheetId="2">'2.mell - bevétel'!$10:$12</definedName>
    <definedName name="_xlnm.Print_Area" localSheetId="2">'2.mell - bevétel'!$A$1:$I$120</definedName>
  </definedNames>
  <calcPr fullCalcOnLoad="1"/>
</workbook>
</file>

<file path=xl/sharedStrings.xml><?xml version="1.0" encoding="utf-8"?>
<sst xmlns="http://schemas.openxmlformats.org/spreadsheetml/2006/main" count="821" uniqueCount="477">
  <si>
    <t>Megnevezés</t>
  </si>
  <si>
    <t>Ft</t>
  </si>
  <si>
    <t>létszám</t>
  </si>
  <si>
    <t>Sitke község Önkormányzata</t>
  </si>
  <si>
    <t>e Ft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</si>
  <si>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</si>
  <si>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</si>
  <si>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</si>
  <si>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</si>
  <si>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</si>
  <si>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</si>
  <si>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</si>
  <si>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</si>
  <si>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</si>
  <si>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</si>
  <si>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</si>
  <si>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</si>
  <si>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</si>
  <si>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</si>
  <si>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</si>
  <si>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</si>
  <si>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</si>
  <si>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</si>
  <si>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</si>
  <si>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</si>
  <si>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</si>
  <si>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</si>
  <si>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</si>
  <si>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</si>
  <si>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</si>
  <si>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</si>
  <si>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</si>
  <si>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</si>
  <si>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</si>
  <si>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</si>
  <si>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</si>
  <si>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</si>
  <si>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</si>
  <si>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</si>
  <si>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</si>
  <si>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</si>
  <si>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</si>
  <si>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</si>
  <si>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</si>
  <si>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</si>
  <si>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</si>
  <si>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 xml:space="preserve">       - egyéb működési kiadások</t>
  </si>
  <si>
    <t xml:space="preserve">       - egyéb felhalmozási kiadások</t>
  </si>
  <si>
    <t>szociális étkeztetés térítési díja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</si>
  <si>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</si>
  <si>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</si>
  <si>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</si>
  <si>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</si>
  <si>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</si>
  <si>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</si>
  <si>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</si>
  <si>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</si>
  <si>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</si>
  <si>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</si>
  <si>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</si>
  <si>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</si>
  <si>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</si>
  <si>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</si>
  <si>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</si>
  <si>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</si>
  <si>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</si>
  <si>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</si>
  <si>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</si>
  <si>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</si>
  <si>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</si>
  <si>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</si>
  <si>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</si>
  <si>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</si>
  <si>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</si>
  <si>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</si>
  <si>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</si>
  <si>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</si>
  <si>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</si>
  <si>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</si>
  <si>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</si>
  <si>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</si>
  <si>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</si>
  <si>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</si>
  <si>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</si>
  <si>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</si>
  <si>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</si>
  <si>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</si>
  <si>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</si>
  <si>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</si>
  <si>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</si>
  <si>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</si>
  <si>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</si>
  <si>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</si>
  <si>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</si>
  <si>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</si>
  <si>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</si>
  <si>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</si>
  <si>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</si>
  <si>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</si>
  <si>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</si>
  <si>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</si>
  <si>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</si>
  <si>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</si>
  <si>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</si>
  <si>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</si>
  <si>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</si>
  <si>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</si>
  <si>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</si>
  <si>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</si>
  <si>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</si>
  <si>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</si>
  <si>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</si>
  <si>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</si>
  <si>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</si>
  <si>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</si>
  <si>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</si>
  <si>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</si>
  <si>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</si>
  <si>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</si>
  <si>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</si>
  <si>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</si>
  <si>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</si>
  <si>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</si>
  <si>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</si>
  <si>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</si>
  <si>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</si>
  <si>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</si>
  <si>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</si>
  <si>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</si>
  <si>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</si>
  <si>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</si>
  <si>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</si>
  <si>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</si>
  <si>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</si>
  <si>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</si>
  <si>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</si>
  <si>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</si>
  <si>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</si>
  <si>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</si>
  <si>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</si>
  <si>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</si>
  <si>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</si>
  <si>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</si>
  <si>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</si>
  <si>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</si>
  <si>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</si>
  <si>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</si>
  <si>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</si>
  <si>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</si>
  <si>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</si>
  <si>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</si>
  <si>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</si>
  <si>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</si>
  <si>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</si>
  <si>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</si>
  <si>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</si>
  <si>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</si>
  <si>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</si>
  <si>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</si>
  <si>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</si>
  <si>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</si>
  <si>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</si>
  <si>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</si>
  <si>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</si>
  <si>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</si>
  <si>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</si>
  <si>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</si>
  <si>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</si>
  <si>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</si>
  <si>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</si>
  <si>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</si>
  <si>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</si>
  <si>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</si>
  <si>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</si>
  <si>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</si>
  <si>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</si>
  <si>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</si>
  <si>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</si>
  <si>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</si>
  <si>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</si>
  <si>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</si>
  <si>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</si>
  <si>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</si>
  <si>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</si>
  <si>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</si>
  <si>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</si>
  <si>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</si>
  <si>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</si>
  <si>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</si>
  <si>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</si>
  <si>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</si>
  <si>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</si>
  <si>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</si>
  <si>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</si>
  <si>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</si>
  <si>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</si>
  <si>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</si>
  <si>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</si>
  <si>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</si>
  <si>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</si>
  <si>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</si>
  <si>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</si>
  <si>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</si>
  <si>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</si>
  <si>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</si>
  <si>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</si>
  <si>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</si>
  <si>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</si>
  <si>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</si>
  <si>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</si>
  <si>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</si>
  <si>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</si>
  <si>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</si>
  <si>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</si>
  <si>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</si>
  <si>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</si>
  <si>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</si>
  <si>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</si>
  <si>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</si>
  <si>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</si>
  <si>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</si>
  <si>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</si>
  <si>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</si>
  <si>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</si>
  <si>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</si>
  <si>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</si>
  <si>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</si>
  <si>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</si>
  <si>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</si>
  <si>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</si>
  <si>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</si>
  <si>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</si>
  <si>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</si>
  <si>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</si>
  <si>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</si>
  <si>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</si>
  <si>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</si>
  <si>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</si>
  <si>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</si>
  <si>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</si>
  <si>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</si>
  <si>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</si>
  <si>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</si>
  <si>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</si>
  <si>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</si>
  <si>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</si>
  <si>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</si>
  <si>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</si>
  <si>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</si>
  <si>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</si>
  <si>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</si>
  <si>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</si>
  <si>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</si>
  <si>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</si>
  <si>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</si>
  <si>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</si>
  <si>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</si>
  <si>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</si>
  <si>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</si>
  <si>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</si>
  <si>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</si>
  <si>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</si>
  <si>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</si>
  <si>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</si>
  <si>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</si>
  <si>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</si>
  <si>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</si>
  <si>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</si>
  <si>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</si>
  <si>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</si>
  <si>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</si>
  <si>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</si>
  <si>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</si>
  <si>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</si>
  <si>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</si>
  <si>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</si>
  <si>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</si>
  <si>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</si>
  <si>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</si>
  <si>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</si>
  <si>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</si>
  <si>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</si>
  <si>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</si>
  <si>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</si>
  <si>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</si>
  <si>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</si>
  <si>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</si>
  <si>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</si>
  <si>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</si>
  <si>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</si>
  <si>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</si>
  <si>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</si>
  <si>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</si>
  <si>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</si>
  <si>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</si>
  <si>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</si>
  <si>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</si>
  <si>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</si>
  <si>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</si>
  <si>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</si>
  <si>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</si>
  <si>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</si>
  <si>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</si>
  <si>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</si>
  <si>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</si>
  <si>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</si>
  <si>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</si>
  <si>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</si>
  <si>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</si>
  <si>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</si>
  <si>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</si>
  <si>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</si>
  <si>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</si>
  <si>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</si>
  <si>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</si>
  <si>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</si>
  <si>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</si>
  <si>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</si>
  <si>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</si>
  <si>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</si>
  <si>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</si>
  <si>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</si>
  <si>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( Ft-ban)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</si>
  <si>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</si>
  <si>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</si>
  <si>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</si>
  <si>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</si>
  <si>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</si>
  <si>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</si>
  <si>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</si>
  <si>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</si>
  <si>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</si>
  <si>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</si>
  <si>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</si>
  <si>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</si>
  <si>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</si>
  <si>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</si>
  <si>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</si>
  <si>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</si>
  <si>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</si>
  <si>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</si>
  <si>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</si>
  <si>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</si>
  <si>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</si>
  <si>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</si>
  <si>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</si>
  <si>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</si>
  <si>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</si>
  <si>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</si>
  <si>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</si>
  <si>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</si>
  <si>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</si>
  <si>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</si>
  <si>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</si>
  <si>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</si>
  <si>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</si>
  <si>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</si>
  <si>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</si>
  <si>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</si>
  <si>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</si>
  <si>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</si>
  <si>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</si>
  <si>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</si>
  <si>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</si>
  <si>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</si>
  <si>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</si>
  <si>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</si>
  <si>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</si>
  <si>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 xml:space="preserve">       - Általános tartalék</t>
  </si>
  <si>
    <t>3.1.6.</t>
  </si>
  <si>
    <t>Polgármesteri illetmény támogatása</t>
  </si>
  <si>
    <t>A finanszírozás szempontjából elismert dolgozók bértámogatása</t>
  </si>
  <si>
    <t>Gyermekétkeztetés üzemeltetési támogatása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</si>
  <si>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</si>
  <si>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</si>
  <si>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</si>
  <si>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</si>
  <si>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</si>
  <si>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</si>
  <si>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</si>
  <si>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</si>
  <si>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</si>
  <si>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</si>
  <si>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</si>
  <si>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</si>
  <si>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</si>
  <si>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</si>
  <si>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</si>
  <si>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</si>
  <si>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</si>
  <si>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</si>
  <si>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</si>
  <si>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</si>
  <si>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</si>
  <si>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</si>
  <si>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</si>
  <si>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</si>
  <si>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</si>
  <si>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</si>
  <si>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</si>
  <si>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</si>
  <si>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</si>
  <si>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</si>
  <si>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 xml:space="preserve"> - egyéb működési célú támogatások </t>
  </si>
  <si>
    <t xml:space="preserve">Áht-n belüli megelőlegezések </t>
  </si>
  <si>
    <t>26..</t>
  </si>
  <si>
    <t>31.</t>
  </si>
  <si>
    <t>2019. év</t>
  </si>
  <si>
    <t>felhalmozási célú visszatérítendő támogatások államháztartáson kívülről</t>
  </si>
  <si>
    <t xml:space="preserve">2. </t>
  </si>
  <si>
    <t>Felhalmozási célú egyéb átvett pénzeszközök (Kápolnáért Kultúrális és Sport Egyesület támogatása ( műfüves pálya önrészéhez)</t>
  </si>
  <si>
    <t xml:space="preserve">2020. évi </t>
  </si>
  <si>
    <t>2020. évre</t>
  </si>
  <si>
    <t>2020. év</t>
  </si>
  <si>
    <t>előző év költségvetési maradvány igénybevétele áthúzódó fejlesztési feladatokra</t>
  </si>
  <si>
    <t>2020. évi feladatokra</t>
  </si>
  <si>
    <t xml:space="preserve">ELŐZŐ ÉVEK KÖLTSÉGVETÉSI MARADVÁNY IGÉNYBEVÉTELE </t>
  </si>
  <si>
    <t>2019.ÉVBEN MEGELŐLEGEZETT ÁLLAMI TÁMOGATÁS</t>
  </si>
  <si>
    <t>1. melléklet  a  2/2020. (II.13.) önkormányzati rendelethez</t>
  </si>
  <si>
    <t>2. melléklet  a  2/2020. (II.13.) önkormányzati rendelethez</t>
  </si>
  <si>
    <t>4. melléklet  a  2/2020. (II.13.) önkormányzati rendelethez</t>
  </si>
  <si>
    <t>5. melléklet  a 2/2020. (II.13. ) önkormányzati rendelethez</t>
  </si>
  <si>
    <t>10. melléklet a 2/2020. (II.13.) önkormányzati rendelethez</t>
  </si>
  <si>
    <t>11. melléklet a 2/2020. (II.13.) önkormányzati rendelethez</t>
  </si>
  <si>
    <t>1.1</t>
  </si>
  <si>
    <t>2.1</t>
  </si>
  <si>
    <t>2.2</t>
  </si>
  <si>
    <t>2.3</t>
  </si>
  <si>
    <t>32.</t>
  </si>
  <si>
    <t xml:space="preserve"> 17. melléklet a 2/2020. (II. 13.) önkormányzati rendelethez </t>
  </si>
  <si>
    <t>3. melléklet  a  2/2020. (II.13.) önkormányzati rendelethez</t>
  </si>
  <si>
    <t>2.sz. módosítása</t>
  </si>
  <si>
    <t>2/1</t>
  </si>
  <si>
    <t>2/2</t>
  </si>
  <si>
    <t>2/3</t>
  </si>
  <si>
    <t>5/1</t>
  </si>
  <si>
    <t>5/2</t>
  </si>
  <si>
    <t>jóvagyott maradvány ( konyha )</t>
  </si>
  <si>
    <t>jóvagyott maradvány (önkormányzat)</t>
  </si>
  <si>
    <t>2/4</t>
  </si>
  <si>
    <t>3/1</t>
  </si>
  <si>
    <t>3/2</t>
  </si>
  <si>
    <t>3/3</t>
  </si>
  <si>
    <t>4/1</t>
  </si>
  <si>
    <t>Egyéb működési célú támogatások bevételei államháztartáson belülről</t>
  </si>
  <si>
    <t>Egyéb működési célú támogatások bevételei államháztartáson belülről összesen:</t>
  </si>
  <si>
    <t>Előző évi elszámolásból adódó bevétel</t>
  </si>
  <si>
    <t>4/2</t>
  </si>
  <si>
    <t>074040</t>
  </si>
  <si>
    <t>Fertőző megbetegedések megelőzése, járványügyi ellátás</t>
  </si>
  <si>
    <t>33.</t>
  </si>
  <si>
    <t>3. Nyári diákmunka támogatás</t>
  </si>
  <si>
    <t>4. Vas Megyei Közgűlés Elnöki támogatása</t>
  </si>
  <si>
    <t>Idegenforgalmi adóhoz kapcsolódó kiegészítő támogatás</t>
  </si>
  <si>
    <t>KÖLTSÉGVETÉSI SZERVEK KÖZPONTI KÖLTSÉGVETÉSI ÉS ÖNKORMÁNYZATI TÁMOGATÁSA</t>
  </si>
  <si>
    <t xml:space="preserve"> (  Ft-ban ) </t>
  </si>
  <si>
    <t>Intézmény megnevezése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</si>
  <si>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</si>
  <si>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</si>
  <si>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</si>
  <si>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</si>
  <si>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</si>
  <si>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</si>
  <si>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</si>
  <si>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Összesen:</t>
  </si>
  <si>
    <t>- 2 -</t>
  </si>
  <si>
    <t>Tartalékok</t>
  </si>
  <si>
    <t xml:space="preserve"> 18. melléklet a 2/2020.(II. 13.) önkormányzati rendelethez </t>
  </si>
  <si>
    <t>1. melléklet  a  7/2020. (IX. 22.) önkormányzati rendelethez</t>
  </si>
  <si>
    <t>2. melléklet  a   7/2020. (IX. 22.) önkormányzati rendelethez</t>
  </si>
  <si>
    <t>3. melléklet  a  7/2020. (IX. 22.) önkormányzati rendelethez</t>
  </si>
  <si>
    <t>4. melléklet  a   7/2020. (IX. 22.) önkormányzati rendelethez</t>
  </si>
  <si>
    <t>5. melléklet  a  7/2020. (IX. 22.) önkormányzati rendelethez</t>
  </si>
  <si>
    <t>6. melléklet a  7/2020. (IX. 22.) önkormányzati rendelethez</t>
  </si>
  <si>
    <t>7. melléklet a  7/2020. (IX. 22.) önkormányzati rendelethe7</t>
  </si>
  <si>
    <t xml:space="preserve"> 8. melléklet a  7/2020. (IX. 22.) önkormányzati rendelethez </t>
  </si>
  <si>
    <t xml:space="preserve"> 9. melléklet a  7/2020. (IX. 22.) önkormányzati rendelethez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</si>
</sst>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  <numFmt numFmtId="181" formatCode="0.0%"/>
  </numFmts>
  <fonts count="6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b/>
      <sz val="10"/>
      <name val="Arial CE"/>
      <family val="0"/>
    </font>
    <font>
      <b/>
      <sz val="22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9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56" applyFont="1" applyBorder="1" applyAlignment="1">
      <alignment horizontal="center" vertical="center"/>
      <protection/>
    </xf>
    <xf numFmtId="168" fontId="12" fillId="0" borderId="12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16" xfId="59" applyFont="1" applyBorder="1">
      <alignment/>
      <protection/>
    </xf>
    <xf numFmtId="0" fontId="11" fillId="0" borderId="14" xfId="59" applyFont="1" applyBorder="1">
      <alignment/>
      <protection/>
    </xf>
    <xf numFmtId="0" fontId="11" fillId="0" borderId="17" xfId="58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4" fillId="0" borderId="0" xfId="56" applyFont="1">
      <alignment/>
      <protection/>
    </xf>
    <xf numFmtId="0" fontId="14" fillId="0" borderId="0" xfId="0" applyFont="1" applyAlignment="1">
      <alignment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6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7" xfId="56" applyFont="1" applyBorder="1" applyAlignment="1">
      <alignment horizontal="right"/>
      <protection/>
    </xf>
    <xf numFmtId="0" fontId="12" fillId="0" borderId="17" xfId="56" applyFont="1" applyBorder="1" applyAlignment="1">
      <alignment/>
      <protection/>
    </xf>
    <xf numFmtId="168" fontId="12" fillId="0" borderId="17" xfId="4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18" xfId="56" applyFont="1" applyBorder="1" applyAlignment="1">
      <alignment horizontal="right"/>
      <protection/>
    </xf>
    <xf numFmtId="0" fontId="6" fillId="0" borderId="18" xfId="56" applyFont="1" applyBorder="1">
      <alignment/>
      <protection/>
    </xf>
    <xf numFmtId="168" fontId="6" fillId="0" borderId="18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1" fillId="0" borderId="17" xfId="0" applyFont="1" applyBorder="1" applyAlignment="1">
      <alignment/>
    </xf>
    <xf numFmtId="168" fontId="6" fillId="0" borderId="17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8" xfId="57" applyFont="1" applyBorder="1" applyAlignment="1">
      <alignment horizontal="right"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19" fillId="0" borderId="18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19" fillId="0" borderId="0" xfId="56" applyFont="1" applyAlignment="1">
      <alignment horizontal="center"/>
      <protection/>
    </xf>
    <xf numFmtId="168" fontId="19" fillId="0" borderId="0" xfId="40" applyNumberFormat="1" applyFont="1" applyAlignment="1">
      <alignment horizontal="centerContinuous"/>
    </xf>
    <xf numFmtId="168" fontId="19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8" applyFont="1" applyBorder="1" applyAlignment="1">
      <alignment horizontal="left" wrapText="1"/>
      <protection/>
    </xf>
    <xf numFmtId="168" fontId="4" fillId="0" borderId="19" xfId="40" applyNumberFormat="1" applyFont="1" applyBorder="1" applyAlignment="1">
      <alignment/>
    </xf>
    <xf numFmtId="168" fontId="4" fillId="0" borderId="20" xfId="40" applyNumberFormat="1" applyFont="1" applyBorder="1" applyAlignment="1">
      <alignment/>
    </xf>
    <xf numFmtId="168" fontId="4" fillId="0" borderId="17" xfId="40" applyNumberFormat="1" applyFont="1" applyBorder="1" applyAlignment="1">
      <alignment/>
    </xf>
    <xf numFmtId="168" fontId="4" fillId="0" borderId="21" xfId="40" applyNumberFormat="1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58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22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3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2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6" xfId="0" applyFont="1" applyBorder="1" applyAlignment="1">
      <alignment horizontal="center"/>
    </xf>
    <xf numFmtId="168" fontId="12" fillId="0" borderId="27" xfId="40" applyNumberFormat="1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30" xfId="0" applyFont="1" applyBorder="1" applyAlignment="1">
      <alignment/>
    </xf>
    <xf numFmtId="168" fontId="12" fillId="0" borderId="13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168" fontId="12" fillId="0" borderId="17" xfId="40" applyNumberFormat="1" applyFont="1" applyBorder="1" applyAlignment="1">
      <alignment/>
    </xf>
    <xf numFmtId="168" fontId="12" fillId="0" borderId="21" xfId="40" applyNumberFormat="1" applyFont="1" applyBorder="1" applyAlignment="1">
      <alignment/>
    </xf>
    <xf numFmtId="0" fontId="12" fillId="0" borderId="17" xfId="0" applyFont="1" applyBorder="1" applyAlignment="1">
      <alignment/>
    </xf>
    <xf numFmtId="168" fontId="12" fillId="0" borderId="17" xfId="40" applyNumberFormat="1" applyFont="1" applyBorder="1" applyAlignment="1">
      <alignment/>
    </xf>
    <xf numFmtId="168" fontId="24" fillId="0" borderId="17" xfId="40" applyNumberFormat="1" applyFont="1" applyFill="1" applyBorder="1" applyAlignment="1">
      <alignment/>
    </xf>
    <xf numFmtId="168" fontId="24" fillId="0" borderId="34" xfId="40" applyNumberFormat="1" applyFont="1" applyFill="1" applyBorder="1" applyAlignment="1">
      <alignment/>
    </xf>
    <xf numFmtId="168" fontId="12" fillId="0" borderId="17" xfId="40" applyNumberFormat="1" applyFont="1" applyFill="1" applyBorder="1" applyAlignment="1">
      <alignment/>
    </xf>
    <xf numFmtId="168" fontId="12" fillId="0" borderId="34" xfId="40" applyNumberFormat="1" applyFont="1" applyFill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6" fillId="0" borderId="18" xfId="0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6" fillId="0" borderId="19" xfId="0" applyFont="1" applyBorder="1" applyAlignment="1">
      <alignment/>
    </xf>
    <xf numFmtId="168" fontId="12" fillId="0" borderId="39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8" xfId="0" applyFont="1" applyBorder="1" applyAlignment="1">
      <alignment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0" fontId="12" fillId="0" borderId="17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14" fontId="16" fillId="0" borderId="0" xfId="0" applyNumberFormat="1" applyFont="1" applyAlignment="1">
      <alignment/>
    </xf>
    <xf numFmtId="0" fontId="12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43" xfId="56" applyFont="1" applyBorder="1">
      <alignment/>
      <protection/>
    </xf>
    <xf numFmtId="0" fontId="6" fillId="0" borderId="4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17" xfId="0" applyFont="1" applyBorder="1" applyAlignment="1" quotePrefix="1">
      <alignment/>
    </xf>
    <xf numFmtId="0" fontId="4" fillId="0" borderId="0" xfId="0" applyFont="1" applyBorder="1" applyAlignment="1">
      <alignment/>
    </xf>
    <xf numFmtId="0" fontId="11" fillId="0" borderId="0" xfId="58" applyFont="1" applyBorder="1" applyAlignment="1">
      <alignment horizontal="right"/>
      <protection/>
    </xf>
    <xf numFmtId="0" fontId="18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Alignment="1">
      <alignment horizontal="right"/>
      <protection/>
    </xf>
    <xf numFmtId="3" fontId="14" fillId="0" borderId="0" xfId="56" applyNumberFormat="1" applyFont="1" applyAlignment="1">
      <alignment horizontal="right"/>
      <protection/>
    </xf>
    <xf numFmtId="3" fontId="14" fillId="0" borderId="0" xfId="40" applyNumberFormat="1" applyFont="1" applyAlignment="1">
      <alignment horizontal="right" wrapText="1"/>
    </xf>
    <xf numFmtId="3" fontId="14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44" xfId="58" applyFont="1" applyBorder="1" applyAlignment="1" quotePrefix="1">
      <alignment horizontal="center" vertical="center" wrapText="1"/>
      <protection/>
    </xf>
    <xf numFmtId="0" fontId="11" fillId="0" borderId="45" xfId="58" applyFont="1" applyBorder="1" applyAlignment="1" quotePrefix="1">
      <alignment horizontal="center" vertical="center" wrapText="1"/>
      <protection/>
    </xf>
    <xf numFmtId="0" fontId="11" fillId="0" borderId="46" xfId="58" applyFont="1" applyBorder="1" applyAlignment="1" quotePrefix="1">
      <alignment horizontal="center" vertical="center" wrapText="1"/>
      <protection/>
    </xf>
    <xf numFmtId="0" fontId="4" fillId="0" borderId="15" xfId="0" applyFont="1" applyBorder="1" applyAlignment="1">
      <alignment/>
    </xf>
    <xf numFmtId="168" fontId="19" fillId="0" borderId="47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/>
    </xf>
    <xf numFmtId="168" fontId="19" fillId="0" borderId="11" xfId="4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/>
    </xf>
    <xf numFmtId="3" fontId="11" fillId="0" borderId="16" xfId="58" applyNumberFormat="1" applyFont="1" applyBorder="1" applyAlignment="1">
      <alignment horizontal="right"/>
      <protection/>
    </xf>
    <xf numFmtId="3" fontId="11" fillId="0" borderId="17" xfId="58" applyNumberFormat="1" applyFont="1" applyBorder="1" applyAlignment="1">
      <alignment horizontal="right"/>
      <protection/>
    </xf>
    <xf numFmtId="3" fontId="18" fillId="0" borderId="17" xfId="58" applyNumberFormat="1" applyFont="1" applyBorder="1">
      <alignment/>
      <protection/>
    </xf>
    <xf numFmtId="3" fontId="11" fillId="0" borderId="17" xfId="58" applyNumberFormat="1" applyFont="1" applyBorder="1">
      <alignment/>
      <protection/>
    </xf>
    <xf numFmtId="3" fontId="18" fillId="0" borderId="34" xfId="58" applyNumberFormat="1" applyFont="1" applyBorder="1">
      <alignment/>
      <protection/>
    </xf>
    <xf numFmtId="3" fontId="11" fillId="0" borderId="34" xfId="58" applyNumberFormat="1" applyFont="1" applyBorder="1">
      <alignment/>
      <protection/>
    </xf>
    <xf numFmtId="3" fontId="11" fillId="0" borderId="21" xfId="58" applyNumberFormat="1" applyFont="1" applyBorder="1">
      <alignment/>
      <protection/>
    </xf>
    <xf numFmtId="3" fontId="10" fillId="0" borderId="40" xfId="58" applyNumberFormat="1" applyFont="1" applyBorder="1" applyAlignment="1">
      <alignment horizontal="right"/>
      <protection/>
    </xf>
    <xf numFmtId="3" fontId="10" fillId="0" borderId="49" xfId="58" applyNumberFormat="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0" fillId="0" borderId="50" xfId="59" applyFont="1" applyBorder="1">
      <alignment/>
      <protection/>
    </xf>
    <xf numFmtId="0" fontId="12" fillId="0" borderId="0" xfId="56" applyFont="1" applyBorder="1">
      <alignment/>
      <protection/>
    </xf>
    <xf numFmtId="0" fontId="1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44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0" fontId="11" fillId="0" borderId="51" xfId="58" applyFont="1" applyBorder="1" applyAlignment="1" quotePrefix="1">
      <alignment horizontal="center" vertical="center" wrapText="1"/>
      <protection/>
    </xf>
    <xf numFmtId="0" fontId="11" fillId="0" borderId="50" xfId="58" applyFont="1" applyBorder="1" applyAlignment="1">
      <alignment horizontal="left" wrapText="1"/>
      <protection/>
    </xf>
    <xf numFmtId="168" fontId="4" fillId="0" borderId="41" xfId="40" applyNumberFormat="1" applyFont="1" applyBorder="1" applyAlignment="1">
      <alignment/>
    </xf>
    <xf numFmtId="168" fontId="4" fillId="0" borderId="52" xfId="40" applyNumberFormat="1" applyFont="1" applyBorder="1" applyAlignment="1">
      <alignment/>
    </xf>
    <xf numFmtId="0" fontId="11" fillId="0" borderId="21" xfId="58" applyFont="1" applyBorder="1" applyAlignment="1">
      <alignment horizontal="right"/>
      <protection/>
    </xf>
    <xf numFmtId="0" fontId="4" fillId="0" borderId="53" xfId="0" applyFont="1" applyBorder="1" applyAlignment="1">
      <alignment/>
    </xf>
    <xf numFmtId="0" fontId="10" fillId="0" borderId="40" xfId="59" applyFont="1" applyBorder="1">
      <alignment/>
      <protection/>
    </xf>
    <xf numFmtId="168" fontId="4" fillId="0" borderId="54" xfId="40" applyNumberFormat="1" applyFont="1" applyBorder="1" applyAlignment="1">
      <alignment/>
    </xf>
    <xf numFmtId="168" fontId="4" fillId="0" borderId="55" xfId="40" applyNumberFormat="1" applyFont="1" applyBorder="1" applyAlignment="1">
      <alignment/>
    </xf>
    <xf numFmtId="168" fontId="4" fillId="0" borderId="56" xfId="40" applyNumberFormat="1" applyFont="1" applyBorder="1" applyAlignment="1">
      <alignment/>
    </xf>
    <xf numFmtId="168" fontId="4" fillId="0" borderId="56" xfId="58" applyNumberFormat="1" applyFont="1" applyBorder="1" applyAlignment="1">
      <alignment/>
      <protection/>
    </xf>
    <xf numFmtId="168" fontId="4" fillId="0" borderId="56" xfId="58" applyNumberFormat="1" applyFont="1" applyBorder="1" applyAlignment="1">
      <alignment horizontal="right"/>
      <protection/>
    </xf>
    <xf numFmtId="168" fontId="7" fillId="0" borderId="18" xfId="40" applyNumberFormat="1" applyFont="1" applyBorder="1" applyAlignment="1">
      <alignment/>
    </xf>
    <xf numFmtId="168" fontId="7" fillId="0" borderId="48" xfId="40" applyNumberFormat="1" applyFont="1" applyBorder="1" applyAlignment="1">
      <alignment/>
    </xf>
    <xf numFmtId="168" fontId="7" fillId="0" borderId="15" xfId="40" applyNumberFormat="1" applyFont="1" applyBorder="1" applyAlignment="1">
      <alignment/>
    </xf>
    <xf numFmtId="0" fontId="6" fillId="0" borderId="17" xfId="56" applyFont="1" applyBorder="1" applyAlignment="1">
      <alignment horizontal="right"/>
      <protection/>
    </xf>
    <xf numFmtId="0" fontId="6" fillId="0" borderId="17" xfId="56" applyFont="1" applyBorder="1" applyAlignment="1">
      <alignment/>
      <protection/>
    </xf>
    <xf numFmtId="0" fontId="6" fillId="0" borderId="18" xfId="57" applyFont="1" applyBorder="1" applyAlignment="1">
      <alignment vertical="center"/>
      <protection/>
    </xf>
    <xf numFmtId="168" fontId="6" fillId="0" borderId="18" xfId="57" applyNumberFormat="1" applyFont="1" applyBorder="1" applyAlignment="1">
      <alignment vertical="center"/>
      <protection/>
    </xf>
    <xf numFmtId="0" fontId="11" fillId="0" borderId="57" xfId="58" applyFont="1" applyBorder="1" applyAlignment="1" quotePrefix="1">
      <alignment horizontal="center" vertical="center" wrapText="1"/>
      <protection/>
    </xf>
    <xf numFmtId="0" fontId="10" fillId="0" borderId="50" xfId="58" applyFont="1" applyBorder="1">
      <alignment/>
      <protection/>
    </xf>
    <xf numFmtId="0" fontId="11" fillId="0" borderId="17" xfId="59" applyFont="1" applyBorder="1">
      <alignment/>
      <protection/>
    </xf>
    <xf numFmtId="4" fontId="11" fillId="0" borderId="49" xfId="59" applyNumberFormat="1" applyFont="1" applyBorder="1">
      <alignment/>
      <protection/>
    </xf>
    <xf numFmtId="4" fontId="11" fillId="0" borderId="19" xfId="59" applyNumberFormat="1" applyFont="1" applyBorder="1">
      <alignment/>
      <protection/>
    </xf>
    <xf numFmtId="4" fontId="11" fillId="0" borderId="58" xfId="59" applyNumberFormat="1" applyFont="1" applyBorder="1">
      <alignment/>
      <protection/>
    </xf>
    <xf numFmtId="4" fontId="11" fillId="0" borderId="17" xfId="59" applyNumberFormat="1" applyFont="1" applyBorder="1">
      <alignment/>
      <protection/>
    </xf>
    <xf numFmtId="4" fontId="11" fillId="0" borderId="34" xfId="59" applyNumberFormat="1" applyFont="1" applyBorder="1">
      <alignment/>
      <protection/>
    </xf>
    <xf numFmtId="4" fontId="10" fillId="0" borderId="18" xfId="59" applyNumberFormat="1" applyFont="1" applyBorder="1">
      <alignment/>
      <protection/>
    </xf>
    <xf numFmtId="3" fontId="64" fillId="0" borderId="0" xfId="56" applyNumberFormat="1" applyFont="1" applyAlignment="1">
      <alignment horizontal="right"/>
      <protection/>
    </xf>
    <xf numFmtId="3" fontId="11" fillId="0" borderId="56" xfId="58" applyNumberFormat="1" applyFont="1" applyBorder="1" applyAlignment="1">
      <alignment horizontal="right"/>
      <protection/>
    </xf>
    <xf numFmtId="3" fontId="10" fillId="0" borderId="17" xfId="58" applyNumberFormat="1" applyFont="1" applyBorder="1" applyAlignment="1">
      <alignment horizontal="right"/>
      <protection/>
    </xf>
    <xf numFmtId="3" fontId="10" fillId="0" borderId="19" xfId="58" applyNumberFormat="1" applyFont="1" applyBorder="1" applyAlignment="1">
      <alignment horizontal="right"/>
      <protection/>
    </xf>
    <xf numFmtId="0" fontId="11" fillId="0" borderId="36" xfId="59" applyFont="1" applyBorder="1">
      <alignment/>
      <protection/>
    </xf>
    <xf numFmtId="0" fontId="11" fillId="0" borderId="35" xfId="59" applyFont="1" applyBorder="1">
      <alignment/>
      <protection/>
    </xf>
    <xf numFmtId="3" fontId="10" fillId="0" borderId="29" xfId="58" applyNumberFormat="1" applyFont="1" applyBorder="1" applyAlignment="1">
      <alignment horizontal="right"/>
      <protection/>
    </xf>
    <xf numFmtId="3" fontId="11" fillId="0" borderId="59" xfId="58" applyNumberFormat="1" applyFont="1" applyBorder="1" applyAlignment="1">
      <alignment horizontal="right"/>
      <protection/>
    </xf>
    <xf numFmtId="3" fontId="11" fillId="0" borderId="36" xfId="58" applyNumberFormat="1" applyFont="1" applyBorder="1" applyAlignment="1">
      <alignment horizontal="right"/>
      <protection/>
    </xf>
    <xf numFmtId="3" fontId="18" fillId="0" borderId="36" xfId="58" applyNumberFormat="1" applyFont="1" applyBorder="1">
      <alignment/>
      <protection/>
    </xf>
    <xf numFmtId="3" fontId="11" fillId="0" borderId="36" xfId="58" applyNumberFormat="1" applyFont="1" applyBorder="1">
      <alignment/>
      <protection/>
    </xf>
    <xf numFmtId="3" fontId="18" fillId="0" borderId="58" xfId="58" applyNumberFormat="1" applyFont="1" applyBorder="1">
      <alignment/>
      <protection/>
    </xf>
    <xf numFmtId="3" fontId="11" fillId="0" borderId="58" xfId="58" applyNumberFormat="1" applyFont="1" applyBorder="1">
      <alignment/>
      <protection/>
    </xf>
    <xf numFmtId="3" fontId="11" fillId="0" borderId="60" xfId="58" applyNumberFormat="1" applyFont="1" applyBorder="1">
      <alignment/>
      <protection/>
    </xf>
    <xf numFmtId="4" fontId="11" fillId="0" borderId="36" xfId="59" applyNumberFormat="1" applyFont="1" applyBorder="1">
      <alignment/>
      <protection/>
    </xf>
    <xf numFmtId="0" fontId="4" fillId="0" borderId="18" xfId="59" applyFont="1" applyBorder="1">
      <alignment/>
      <protection/>
    </xf>
    <xf numFmtId="0" fontId="7" fillId="0" borderId="17" xfId="59" applyFont="1" applyBorder="1">
      <alignment/>
      <protection/>
    </xf>
    <xf numFmtId="0" fontId="7" fillId="0" borderId="18" xfId="59" applyFont="1" applyBorder="1">
      <alignment/>
      <protection/>
    </xf>
    <xf numFmtId="0" fontId="10" fillId="0" borderId="18" xfId="59" applyFont="1" applyBorder="1">
      <alignment/>
      <protection/>
    </xf>
    <xf numFmtId="0" fontId="6" fillId="0" borderId="18" xfId="59" applyFont="1" applyBorder="1">
      <alignment/>
      <protection/>
    </xf>
    <xf numFmtId="0" fontId="10" fillId="0" borderId="0" xfId="58" applyFont="1" applyBorder="1">
      <alignment/>
      <protection/>
    </xf>
    <xf numFmtId="3" fontId="10" fillId="0" borderId="0" xfId="58" applyNumberFormat="1" applyFont="1" applyBorder="1" applyAlignment="1">
      <alignment horizontal="right"/>
      <protection/>
    </xf>
    <xf numFmtId="4" fontId="10" fillId="0" borderId="0" xfId="59" applyNumberFormat="1" applyFont="1" applyBorder="1">
      <alignment/>
      <protection/>
    </xf>
    <xf numFmtId="3" fontId="10" fillId="0" borderId="18" xfId="59" applyNumberFormat="1" applyFont="1" applyBorder="1">
      <alignment/>
      <protection/>
    </xf>
    <xf numFmtId="3" fontId="4" fillId="0" borderId="0" xfId="59" applyNumberFormat="1" applyFont="1">
      <alignment/>
      <protection/>
    </xf>
    <xf numFmtId="0" fontId="4" fillId="0" borderId="61" xfId="0" applyFont="1" applyBorder="1" applyAlignment="1">
      <alignment/>
    </xf>
    <xf numFmtId="0" fontId="11" fillId="0" borderId="62" xfId="59" applyFont="1" applyBorder="1">
      <alignment/>
      <protection/>
    </xf>
    <xf numFmtId="168" fontId="7" fillId="0" borderId="61" xfId="40" applyNumberFormat="1" applyFont="1" applyBorder="1" applyAlignment="1">
      <alignment/>
    </xf>
    <xf numFmtId="168" fontId="4" fillId="0" borderId="59" xfId="40" applyNumberFormat="1" applyFont="1" applyBorder="1" applyAlignment="1">
      <alignment/>
    </xf>
    <xf numFmtId="168" fontId="4" fillId="0" borderId="36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0" applyNumberFormat="1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10" fillId="0" borderId="51" xfId="4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15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51" xfId="0" applyFont="1" applyBorder="1" applyAlignment="1">
      <alignment/>
    </xf>
    <xf numFmtId="168" fontId="7" fillId="0" borderId="18" xfId="0" applyNumberFormat="1" applyFont="1" applyBorder="1" applyAlignment="1">
      <alignment/>
    </xf>
    <xf numFmtId="16" fontId="0" fillId="0" borderId="0" xfId="0" applyNumberFormat="1" applyAlignment="1" quotePrefix="1">
      <alignment/>
    </xf>
    <xf numFmtId="3" fontId="12" fillId="32" borderId="0" xfId="56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168" fontId="12" fillId="0" borderId="17" xfId="40" applyNumberFormat="1" applyFont="1" applyBorder="1" applyAlignment="1">
      <alignment/>
    </xf>
    <xf numFmtId="4" fontId="10" fillId="0" borderId="18" xfId="59" applyNumberFormat="1" applyFont="1" applyBorder="1">
      <alignment/>
      <protection/>
    </xf>
    <xf numFmtId="0" fontId="7" fillId="0" borderId="36" xfId="59" applyFont="1" applyBorder="1">
      <alignment/>
      <protection/>
    </xf>
    <xf numFmtId="3" fontId="11" fillId="0" borderId="17" xfId="58" applyNumberFormat="1" applyFont="1" applyBorder="1" applyAlignment="1">
      <alignment horizontal="right"/>
      <protection/>
    </xf>
    <xf numFmtId="4" fontId="11" fillId="0" borderId="17" xfId="59" applyNumberFormat="1" applyFont="1" applyBorder="1">
      <alignment/>
      <protection/>
    </xf>
    <xf numFmtId="0" fontId="4" fillId="0" borderId="17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6" applyNumberFormat="1" applyFont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3" fontId="10" fillId="0" borderId="17" xfId="58" applyNumberFormat="1" applyFont="1" applyBorder="1" applyAlignment="1">
      <alignment horizontal="right"/>
      <protection/>
    </xf>
    <xf numFmtId="4" fontId="10" fillId="0" borderId="17" xfId="59" applyNumberFormat="1" applyFont="1" applyBorder="1">
      <alignment/>
      <protection/>
    </xf>
    <xf numFmtId="0" fontId="10" fillId="0" borderId="0" xfId="0" applyFont="1" applyBorder="1" applyAlignment="1">
      <alignment/>
    </xf>
    <xf numFmtId="168" fontId="10" fillId="0" borderId="0" xfId="40" applyNumberFormat="1" applyFont="1" applyBorder="1" applyAlignment="1">
      <alignment/>
    </xf>
    <xf numFmtId="3" fontId="12" fillId="0" borderId="0" xfId="40" applyNumberFormat="1" applyFont="1" applyBorder="1" applyAlignment="1">
      <alignment horizontal="right"/>
    </xf>
    <xf numFmtId="3" fontId="14" fillId="0" borderId="0" xfId="40" applyNumberFormat="1" applyFont="1" applyBorder="1" applyAlignment="1">
      <alignment horizontal="right"/>
    </xf>
    <xf numFmtId="0" fontId="4" fillId="0" borderId="63" xfId="59" applyFont="1" applyBorder="1">
      <alignment/>
      <protection/>
    </xf>
    <xf numFmtId="0" fontId="2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2" fillId="0" borderId="0" xfId="56" applyFont="1" applyBorder="1" applyAlignment="1" quotePrefix="1">
      <alignment horizontal="center"/>
      <protection/>
    </xf>
    <xf numFmtId="0" fontId="7" fillId="0" borderId="53" xfId="0" applyFont="1" applyBorder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left" wrapText="1"/>
    </xf>
    <xf numFmtId="0" fontId="6" fillId="0" borderId="22" xfId="56" applyFont="1" applyBorder="1" applyAlignment="1">
      <alignment horizontal="center" vertical="center"/>
      <protection/>
    </xf>
    <xf numFmtId="0" fontId="6" fillId="0" borderId="43" xfId="56" applyFont="1" applyBorder="1" applyAlignment="1">
      <alignment horizontal="center" vertical="center"/>
      <protection/>
    </xf>
    <xf numFmtId="0" fontId="6" fillId="0" borderId="47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64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65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2" fillId="0" borderId="0" xfId="56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4" fillId="0" borderId="11" xfId="56" applyFont="1" applyBorder="1" applyAlignment="1">
      <alignment horizontal="center" vertical="center" textRotation="255"/>
      <protection/>
    </xf>
    <xf numFmtId="0" fontId="4" fillId="0" borderId="12" xfId="56" applyFont="1" applyBorder="1" applyAlignment="1">
      <alignment horizontal="center" vertical="center" textRotation="255"/>
      <protection/>
    </xf>
    <xf numFmtId="0" fontId="4" fillId="0" borderId="13" xfId="56" applyFont="1" applyBorder="1" applyAlignment="1">
      <alignment horizontal="center" vertical="center" textRotation="255"/>
      <protection/>
    </xf>
    <xf numFmtId="0" fontId="11" fillId="0" borderId="47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9" fillId="0" borderId="13" xfId="56" applyFont="1" applyBorder="1" applyAlignment="1">
      <alignment horizontal="center" vertical="center" wrapText="1"/>
      <protection/>
    </xf>
    <xf numFmtId="168" fontId="19" fillId="0" borderId="50" xfId="40" applyNumberFormat="1" applyFont="1" applyBorder="1" applyAlignment="1">
      <alignment horizontal="center" vertical="center"/>
    </xf>
    <xf numFmtId="168" fontId="19" fillId="0" borderId="51" xfId="40" applyNumberFormat="1" applyFont="1" applyBorder="1" applyAlignment="1">
      <alignment horizontal="center" vertical="center"/>
    </xf>
    <xf numFmtId="168" fontId="19" fillId="0" borderId="22" xfId="40" applyNumberFormat="1" applyFont="1" applyBorder="1" applyAlignment="1">
      <alignment horizontal="center" vertical="center"/>
    </xf>
    <xf numFmtId="168" fontId="19" fillId="0" borderId="43" xfId="40" applyNumberFormat="1" applyFont="1" applyBorder="1" applyAlignment="1">
      <alignment horizontal="center" vertical="center"/>
    </xf>
    <xf numFmtId="168" fontId="19" fillId="0" borderId="47" xfId="40" applyNumberFormat="1" applyFont="1" applyBorder="1" applyAlignment="1">
      <alignment horizontal="center" vertical="center"/>
    </xf>
    <xf numFmtId="168" fontId="19" fillId="0" borderId="30" xfId="40" applyNumberFormat="1" applyFont="1" applyBorder="1" applyAlignment="1">
      <alignment horizontal="center" vertical="center"/>
    </xf>
    <xf numFmtId="168" fontId="19" fillId="0" borderId="10" xfId="40" applyNumberFormat="1" applyFont="1" applyBorder="1" applyAlignment="1">
      <alignment horizontal="center" vertical="center"/>
    </xf>
    <xf numFmtId="168" fontId="19" fillId="0" borderId="65" xfId="40" applyNumberFormat="1" applyFont="1" applyBorder="1" applyAlignment="1">
      <alignment horizontal="center" vertical="center"/>
    </xf>
    <xf numFmtId="0" fontId="7" fillId="0" borderId="40" xfId="56" applyFont="1" applyBorder="1" applyAlignment="1">
      <alignment horizontal="center"/>
      <protection/>
    </xf>
    <xf numFmtId="0" fontId="7" fillId="0" borderId="51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7" fillId="0" borderId="30" xfId="56" applyFont="1" applyBorder="1" applyAlignment="1">
      <alignment horizontal="center"/>
      <protection/>
    </xf>
    <xf numFmtId="0" fontId="7" fillId="0" borderId="65" xfId="56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47" xfId="58" applyFont="1" applyBorder="1" applyAlignment="1">
      <alignment horizontal="center" vertical="center" wrapText="1"/>
      <protection/>
    </xf>
    <xf numFmtId="0" fontId="11" fillId="0" borderId="64" xfId="58" applyFont="1" applyBorder="1" applyAlignment="1">
      <alignment horizontal="center" vertical="center" wrapText="1"/>
      <protection/>
    </xf>
    <xf numFmtId="0" fontId="11" fillId="0" borderId="65" xfId="58" applyFont="1" applyBorder="1" applyAlignment="1">
      <alignment horizontal="center" vertical="center" wrapText="1"/>
      <protection/>
    </xf>
    <xf numFmtId="0" fontId="11" fillId="0" borderId="36" xfId="56" applyFont="1" applyBorder="1" applyAlignment="1">
      <alignment horizontal="center" vertical="center" textRotation="180"/>
      <protection/>
    </xf>
    <xf numFmtId="0" fontId="11" fillId="0" borderId="29" xfId="56" applyFont="1" applyBorder="1" applyAlignment="1">
      <alignment horizontal="center" vertical="center" textRotation="180"/>
      <protection/>
    </xf>
    <xf numFmtId="0" fontId="11" fillId="0" borderId="19" xfId="56" applyFont="1" applyBorder="1" applyAlignment="1">
      <alignment horizontal="center" vertical="center" textRotation="180"/>
      <protection/>
    </xf>
    <xf numFmtId="0" fontId="11" fillId="0" borderId="10" xfId="59" applyFont="1" applyBorder="1" applyAlignment="1">
      <alignment horizontal="right"/>
      <protection/>
    </xf>
    <xf numFmtId="0" fontId="7" fillId="0" borderId="26" xfId="56" applyFont="1" applyBorder="1" applyAlignment="1">
      <alignment horizontal="center"/>
      <protection/>
    </xf>
    <xf numFmtId="0" fontId="7" fillId="0" borderId="64" xfId="56" applyFont="1" applyBorder="1" applyAlignment="1">
      <alignment horizontal="center"/>
      <protection/>
    </xf>
    <xf numFmtId="0" fontId="11" fillId="0" borderId="40" xfId="56" applyFont="1" applyBorder="1" applyAlignment="1">
      <alignment horizontal="center"/>
      <protection/>
    </xf>
    <xf numFmtId="0" fontId="11" fillId="0" borderId="50" xfId="56" applyFont="1" applyBorder="1" applyAlignment="1">
      <alignment horizontal="center"/>
      <protection/>
    </xf>
    <xf numFmtId="0" fontId="11" fillId="0" borderId="51" xfId="56" applyFont="1" applyBorder="1" applyAlignment="1">
      <alignment horizontal="center"/>
      <protection/>
    </xf>
    <xf numFmtId="0" fontId="11" fillId="0" borderId="40" xfId="56" applyFont="1" applyBorder="1" applyAlignment="1">
      <alignment horizontal="center" vertical="center"/>
      <protection/>
    </xf>
    <xf numFmtId="0" fontId="11" fillId="0" borderId="50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4" fontId="11" fillId="0" borderId="40" xfId="61" applyFont="1" applyBorder="1" applyAlignment="1">
      <alignment horizontal="center" vertical="center"/>
    </xf>
    <xf numFmtId="44" fontId="11" fillId="0" borderId="50" xfId="61" applyFont="1" applyBorder="1" applyAlignment="1">
      <alignment horizontal="center" vertical="center"/>
    </xf>
    <xf numFmtId="44" fontId="11" fillId="0" borderId="51" xfId="61" applyFont="1" applyBorder="1" applyAlignment="1">
      <alignment horizontal="center" vertical="center"/>
    </xf>
    <xf numFmtId="0" fontId="10" fillId="0" borderId="0" xfId="59" applyFont="1" applyAlignment="1">
      <alignment horizontal="center"/>
      <protection/>
    </xf>
    <xf numFmtId="0" fontId="11" fillId="0" borderId="40" xfId="56" applyFont="1" applyBorder="1" applyAlignment="1">
      <alignment horizontal="center" vertical="center" wrapText="1"/>
      <protection/>
    </xf>
    <xf numFmtId="0" fontId="11" fillId="0" borderId="50" xfId="56" applyFont="1" applyBorder="1" applyAlignment="1">
      <alignment horizontal="center" vertical="center" wrapText="1"/>
      <protection/>
    </xf>
    <xf numFmtId="0" fontId="11" fillId="0" borderId="5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59" applyFont="1" applyAlignment="1">
      <alignment horizontal="center"/>
      <protection/>
    </xf>
    <xf numFmtId="0" fontId="22" fillId="0" borderId="11" xfId="56" applyFont="1" applyBorder="1" applyAlignment="1">
      <alignment horizontal="center" textRotation="255"/>
      <protection/>
    </xf>
    <xf numFmtId="0" fontId="22" fillId="0" borderId="12" xfId="56" applyFont="1" applyBorder="1" applyAlignment="1">
      <alignment horizontal="center" textRotation="255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168" fontId="19" fillId="0" borderId="26" xfId="40" applyNumberFormat="1" applyFont="1" applyBorder="1" applyAlignment="1">
      <alignment horizontal="center" vertical="center"/>
    </xf>
    <xf numFmtId="168" fontId="19" fillId="0" borderId="0" xfId="40" applyNumberFormat="1" applyFont="1" applyBorder="1" applyAlignment="1">
      <alignment horizontal="center" vertical="center"/>
    </xf>
    <xf numFmtId="168" fontId="19" fillId="0" borderId="64" xfId="40" applyNumberFormat="1" applyFont="1" applyBorder="1" applyAlignment="1">
      <alignment horizontal="center" vertical="center"/>
    </xf>
    <xf numFmtId="0" fontId="6" fillId="0" borderId="0" xfId="57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0" fillId="0" borderId="18" xfId="0" applyBorder="1" applyAlignment="1">
      <alignment/>
    </xf>
    <xf numFmtId="0" fontId="15" fillId="0" borderId="18" xfId="0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6" fillId="0" borderId="4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8:U63"/>
  <sheetViews>
    <sheetView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6"/>
      <c r="J39" s="2"/>
      <c r="L39" s="341" t="s">
        <v>3</v>
      </c>
      <c r="M39" s="341"/>
      <c r="N39" s="341"/>
      <c r="O39" s="341"/>
      <c r="P39" s="341"/>
      <c r="Q39" s="341"/>
      <c r="R39" s="341"/>
      <c r="S39" s="341"/>
      <c r="T39" s="341"/>
      <c r="U39" s="2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1"/>
      <c r="J41" s="2"/>
      <c r="L41" s="341" t="s">
        <v>411</v>
      </c>
      <c r="M41" s="341"/>
      <c r="N41" s="341"/>
      <c r="O41" s="341"/>
      <c r="P41" s="341"/>
      <c r="Q41" s="341"/>
      <c r="R41" s="341"/>
      <c r="S41" s="341"/>
      <c r="T41" s="341"/>
      <c r="U41" s="2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1"/>
      <c r="J43" s="2"/>
      <c r="L43" s="341" t="s">
        <v>306</v>
      </c>
      <c r="M43" s="341"/>
      <c r="N43" s="341"/>
      <c r="O43" s="341"/>
      <c r="P43" s="341"/>
      <c r="Q43" s="341"/>
      <c r="R43" s="341"/>
      <c r="S43" s="341"/>
      <c r="T43" s="341"/>
      <c r="U43" s="26"/>
    </row>
    <row r="44" spans="2:20" ht="27.75">
      <c r="B44" s="2"/>
      <c r="C44" s="3"/>
      <c r="D44" s="3"/>
      <c r="E44" s="3"/>
      <c r="F44" s="3"/>
      <c r="G44" s="3"/>
      <c r="H44" s="3"/>
      <c r="I44" s="3"/>
      <c r="J44" s="2"/>
      <c r="L44" s="343" t="s">
        <v>431</v>
      </c>
      <c r="M44" s="344"/>
      <c r="N44" s="344"/>
      <c r="O44" s="344"/>
      <c r="P44" s="344"/>
      <c r="Q44" s="344"/>
      <c r="R44" s="344"/>
      <c r="S44" s="344"/>
      <c r="T44" s="344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342"/>
      <c r="M45" s="342"/>
      <c r="N45" s="342"/>
      <c r="O45" s="342"/>
      <c r="P45" s="342"/>
      <c r="Q45" s="342"/>
      <c r="R45" s="342"/>
      <c r="S45" s="342"/>
      <c r="T45" s="34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27"/>
      <c r="M46" s="187"/>
      <c r="N46" s="11"/>
      <c r="O46" s="119"/>
    </row>
    <row r="47" spans="1:10" ht="27.75">
      <c r="A47" s="27"/>
      <c r="B47" s="28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L39:T39"/>
    <mergeCell ref="L41:T41"/>
    <mergeCell ref="L43:T43"/>
    <mergeCell ref="L45:T45"/>
    <mergeCell ref="L44:T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2.125" style="0" customWidth="1"/>
    <col min="2" max="2" width="27.25390625" style="0" customWidth="1"/>
    <col min="3" max="3" width="13.125" style="0" customWidth="1"/>
    <col min="4" max="4" width="15.625" style="0" customWidth="1"/>
    <col min="5" max="5" width="14.75390625" style="0" customWidth="1"/>
    <col min="6" max="6" width="10.125" style="0" customWidth="1"/>
    <col min="7" max="7" width="17.125" style="0" customWidth="1"/>
  </cols>
  <sheetData>
    <row r="1" spans="1:14" ht="18.75" customHeight="1">
      <c r="A1" s="351" t="s">
        <v>476</v>
      </c>
      <c r="B1" s="351"/>
      <c r="C1" s="351"/>
      <c r="D1" s="351"/>
      <c r="E1" s="351"/>
      <c r="F1" s="351"/>
      <c r="G1" s="351"/>
      <c r="H1" s="304"/>
      <c r="I1" s="304"/>
      <c r="J1" s="304"/>
      <c r="K1" s="304"/>
      <c r="L1" s="304"/>
      <c r="M1" s="304"/>
      <c r="N1" s="304"/>
    </row>
    <row r="3" ht="12.75">
      <c r="A3" t="s">
        <v>467</v>
      </c>
    </row>
    <row r="6" spans="1:7" ht="18.75" customHeight="1">
      <c r="A6" s="458"/>
      <c r="B6" s="458"/>
      <c r="C6" s="458"/>
      <c r="D6" s="458"/>
      <c r="E6" s="458"/>
      <c r="F6" s="458"/>
      <c r="G6" s="458"/>
    </row>
    <row r="7" spans="1:7" ht="17.25" customHeight="1">
      <c r="A7" s="458" t="s">
        <v>21</v>
      </c>
      <c r="B7" s="458"/>
      <c r="C7" s="458"/>
      <c r="D7" s="458"/>
      <c r="E7" s="458"/>
      <c r="F7" s="458"/>
      <c r="G7" s="458"/>
    </row>
    <row r="8" spans="1:7" ht="19.5" customHeight="1">
      <c r="A8" s="458" t="s">
        <v>454</v>
      </c>
      <c r="B8" s="458"/>
      <c r="C8" s="458"/>
      <c r="D8" s="458"/>
      <c r="E8" s="458"/>
      <c r="F8" s="458"/>
      <c r="G8" s="458"/>
    </row>
    <row r="9" spans="1:7" ht="21.75" customHeight="1">
      <c r="A9" s="458" t="s">
        <v>413</v>
      </c>
      <c r="B9" s="458"/>
      <c r="C9" s="458"/>
      <c r="D9" s="458"/>
      <c r="E9" s="458"/>
      <c r="F9" s="458"/>
      <c r="G9" s="458"/>
    </row>
    <row r="11" ht="13.5" thickBot="1">
      <c r="G11" s="304" t="s">
        <v>455</v>
      </c>
    </row>
    <row r="12" spans="1:7" ht="40.5" customHeight="1" thickBot="1">
      <c r="A12" s="333" t="s">
        <v>386</v>
      </c>
      <c r="B12" s="333" t="s">
        <v>456</v>
      </c>
      <c r="C12" s="462" t="s">
        <v>457</v>
      </c>
      <c r="D12" s="463"/>
      <c r="E12" s="464" t="s">
        <v>458</v>
      </c>
      <c r="F12" s="465"/>
      <c r="G12" s="333" t="s">
        <v>459</v>
      </c>
    </row>
    <row r="13" spans="3:7" ht="22.5" customHeight="1">
      <c r="C13" s="334" t="s">
        <v>460</v>
      </c>
      <c r="D13" s="335" t="s">
        <v>461</v>
      </c>
      <c r="E13" s="335" t="s">
        <v>460</v>
      </c>
      <c r="F13" s="335" t="s">
        <v>462</v>
      </c>
      <c r="G13" s="335"/>
    </row>
    <row r="14" spans="1:7" ht="22.5" customHeight="1">
      <c r="A14" s="336" t="s">
        <v>24</v>
      </c>
      <c r="B14" s="336" t="s">
        <v>463</v>
      </c>
      <c r="C14" s="337">
        <f>6871675-700730+130720+148760</f>
        <v>6450425</v>
      </c>
      <c r="D14" s="338">
        <f>C14/G14*100</f>
        <v>52.20313044379045</v>
      </c>
      <c r="E14" s="337">
        <f>5484720+700730-130720-148760</f>
        <v>5905970</v>
      </c>
      <c r="F14" s="338">
        <f>E14/G14*100</f>
        <v>47.79686955620956</v>
      </c>
      <c r="G14" s="337">
        <v>12356395</v>
      </c>
    </row>
    <row r="15" spans="1:7" ht="22.5" customHeight="1">
      <c r="A15" s="336" t="s">
        <v>15</v>
      </c>
      <c r="B15" s="336" t="s">
        <v>464</v>
      </c>
      <c r="C15" s="337">
        <f>C14</f>
        <v>6450425</v>
      </c>
      <c r="D15" s="338">
        <f>D14</f>
        <v>52.20313044379045</v>
      </c>
      <c r="E15" s="337">
        <f>E14</f>
        <v>5905970</v>
      </c>
      <c r="F15" s="338">
        <f>F14</f>
        <v>47.79686955620956</v>
      </c>
      <c r="G15" s="337">
        <f>C15+E15</f>
        <v>12356395</v>
      </c>
    </row>
  </sheetData>
  <sheetProtection/>
  <mergeCells count="7">
    <mergeCell ref="A1:G1"/>
    <mergeCell ref="C12:D12"/>
    <mergeCell ref="E12:F12"/>
    <mergeCell ref="A6:G6"/>
    <mergeCell ref="A7:G7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3" width="10.625" style="0" customWidth="1"/>
    <col min="4" max="4" width="11.375" style="0" customWidth="1"/>
  </cols>
  <sheetData>
    <row r="1" ht="12.75">
      <c r="D1" s="324">
        <v>162158056</v>
      </c>
    </row>
    <row r="2" spans="1:4" ht="12.75">
      <c r="A2" s="312" t="s">
        <v>424</v>
      </c>
      <c r="B2" s="324">
        <v>25</v>
      </c>
      <c r="C2">
        <v>25</v>
      </c>
      <c r="D2" s="324">
        <f aca="true" t="shared" si="0" ref="D2:D25">D1+C2</f>
        <v>162158081</v>
      </c>
    </row>
    <row r="3" spans="1:4" ht="12.75">
      <c r="A3" s="325" t="s">
        <v>425</v>
      </c>
      <c r="B3" s="324">
        <v>234696</v>
      </c>
      <c r="C3" s="324">
        <v>234696</v>
      </c>
      <c r="D3" s="324">
        <f t="shared" si="0"/>
        <v>162392777</v>
      </c>
    </row>
    <row r="4" spans="1:4" ht="12.75">
      <c r="A4" s="325" t="s">
        <v>426</v>
      </c>
      <c r="B4" s="324">
        <v>104</v>
      </c>
      <c r="C4" s="324">
        <v>104</v>
      </c>
      <c r="D4" s="324">
        <f t="shared" si="0"/>
        <v>162392881</v>
      </c>
    </row>
    <row r="5" spans="1:4" ht="12.75">
      <c r="A5" s="325" t="s">
        <v>427</v>
      </c>
      <c r="B5" s="324">
        <v>964900</v>
      </c>
      <c r="C5" s="324">
        <v>964900</v>
      </c>
      <c r="D5" s="324">
        <f t="shared" si="0"/>
        <v>163357781</v>
      </c>
    </row>
    <row r="6" spans="2:4" ht="12.75">
      <c r="B6" s="324"/>
      <c r="C6" s="324"/>
      <c r="D6" s="324">
        <f t="shared" si="0"/>
        <v>163357781</v>
      </c>
    </row>
    <row r="7" ht="12.75">
      <c r="D7" s="324">
        <f t="shared" si="0"/>
        <v>163357781</v>
      </c>
    </row>
    <row r="8" spans="1:4" ht="12.75">
      <c r="A8" s="325" t="s">
        <v>432</v>
      </c>
      <c r="B8" s="324">
        <v>130720</v>
      </c>
      <c r="C8" s="324">
        <v>130720</v>
      </c>
      <c r="D8" s="324">
        <f t="shared" si="0"/>
        <v>163488501</v>
      </c>
    </row>
    <row r="9" spans="1:4" ht="12.75">
      <c r="A9" s="325" t="s">
        <v>433</v>
      </c>
      <c r="B9" s="324">
        <v>-616000</v>
      </c>
      <c r="C9" s="324">
        <v>-616000</v>
      </c>
      <c r="D9" s="324">
        <f t="shared" si="0"/>
        <v>162872501</v>
      </c>
    </row>
    <row r="10" spans="1:4" ht="12.75">
      <c r="A10" s="325" t="s">
        <v>434</v>
      </c>
      <c r="B10" s="324">
        <v>-84730</v>
      </c>
      <c r="C10" s="324">
        <v>-84730</v>
      </c>
      <c r="D10" s="324">
        <f t="shared" si="0"/>
        <v>162787771</v>
      </c>
    </row>
    <row r="11" spans="1:4" ht="12.75">
      <c r="A11" s="325" t="s">
        <v>435</v>
      </c>
      <c r="B11" s="324">
        <v>20902499</v>
      </c>
      <c r="C11" s="324">
        <v>20902499</v>
      </c>
      <c r="D11" s="324">
        <f t="shared" si="0"/>
        <v>183690270</v>
      </c>
    </row>
    <row r="12" spans="1:4" ht="12.75">
      <c r="A12" s="325" t="s">
        <v>436</v>
      </c>
      <c r="B12" s="324">
        <v>822484</v>
      </c>
      <c r="C12" s="324">
        <v>822484</v>
      </c>
      <c r="D12" s="324">
        <f t="shared" si="0"/>
        <v>184512754</v>
      </c>
    </row>
    <row r="13" spans="1:4" ht="12.75">
      <c r="A13" s="325" t="s">
        <v>439</v>
      </c>
      <c r="B13" s="324">
        <v>467820</v>
      </c>
      <c r="C13" s="324">
        <v>467820</v>
      </c>
      <c r="D13" s="324">
        <f t="shared" si="0"/>
        <v>184980574</v>
      </c>
    </row>
    <row r="14" spans="1:4" ht="12.75">
      <c r="A14" s="325" t="s">
        <v>440</v>
      </c>
      <c r="B14" s="324">
        <v>140000</v>
      </c>
      <c r="C14" s="324">
        <v>140000</v>
      </c>
      <c r="D14" s="324">
        <f t="shared" si="0"/>
        <v>185120574</v>
      </c>
    </row>
    <row r="15" spans="1:4" ht="12.75">
      <c r="A15" s="325" t="s">
        <v>441</v>
      </c>
      <c r="B15" s="324">
        <v>16434</v>
      </c>
      <c r="D15" s="324">
        <f t="shared" si="0"/>
        <v>185120574</v>
      </c>
    </row>
    <row r="16" spans="1:4" ht="12.75">
      <c r="A16" s="325" t="s">
        <v>442</v>
      </c>
      <c r="B16" s="324">
        <v>16434</v>
      </c>
      <c r="D16" s="324">
        <f t="shared" si="0"/>
        <v>185120574</v>
      </c>
    </row>
    <row r="17" spans="1:4" ht="12.75">
      <c r="A17" s="325" t="s">
        <v>443</v>
      </c>
      <c r="B17" s="324">
        <v>128360</v>
      </c>
      <c r="C17" s="324">
        <v>128360</v>
      </c>
      <c r="D17" s="324">
        <f t="shared" si="0"/>
        <v>185248934</v>
      </c>
    </row>
    <row r="18" spans="1:4" ht="12.75">
      <c r="A18" s="325" t="s">
        <v>447</v>
      </c>
      <c r="B18" s="324">
        <v>40640</v>
      </c>
      <c r="D18" s="324">
        <f t="shared" si="0"/>
        <v>185248934</v>
      </c>
    </row>
    <row r="19" spans="2:4" ht="12.75">
      <c r="B19" s="324">
        <v>337700</v>
      </c>
      <c r="D19" s="324">
        <f t="shared" si="0"/>
        <v>185248934</v>
      </c>
    </row>
    <row r="20" spans="2:4" ht="12.75">
      <c r="B20" s="324">
        <v>32100</v>
      </c>
      <c r="C20" s="324">
        <v>32100</v>
      </c>
      <c r="D20" s="324">
        <f t="shared" si="0"/>
        <v>185281034</v>
      </c>
    </row>
    <row r="21" spans="2:4" ht="12.75">
      <c r="B21" s="324">
        <v>-417779</v>
      </c>
      <c r="C21" s="324">
        <v>-417779</v>
      </c>
      <c r="D21" s="324">
        <f t="shared" si="0"/>
        <v>184863255</v>
      </c>
    </row>
    <row r="22" spans="2:4" ht="12.75">
      <c r="B22" s="324">
        <v>289419</v>
      </c>
      <c r="C22" s="324">
        <v>289419</v>
      </c>
      <c r="D22" s="324">
        <f t="shared" si="0"/>
        <v>185152674</v>
      </c>
    </row>
    <row r="23" spans="2:4" ht="12.75">
      <c r="B23" s="324">
        <v>-2100000</v>
      </c>
      <c r="C23" s="324">
        <v>-2100000</v>
      </c>
      <c r="D23" s="324">
        <f t="shared" si="0"/>
        <v>183052674</v>
      </c>
    </row>
    <row r="24" spans="2:4" ht="12.75">
      <c r="B24" s="324">
        <v>-71944</v>
      </c>
      <c r="C24" s="324">
        <v>-71944</v>
      </c>
      <c r="D24" s="324">
        <f t="shared" si="0"/>
        <v>182980730</v>
      </c>
    </row>
    <row r="25" spans="2:4" ht="12.75">
      <c r="B25" s="324"/>
      <c r="C25" s="324"/>
      <c r="D25" s="324">
        <f t="shared" si="0"/>
        <v>182980730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22" customWidth="1"/>
    <col min="4" max="4" width="4.875" style="4" customWidth="1"/>
    <col min="5" max="5" width="16.375" style="2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350" t="s">
        <v>468</v>
      </c>
      <c r="B1" s="351"/>
      <c r="C1" s="351"/>
      <c r="D1" s="351"/>
      <c r="E1" s="351"/>
      <c r="F1" s="351"/>
    </row>
    <row r="3" spans="1:6" ht="15">
      <c r="A3" s="348" t="s">
        <v>418</v>
      </c>
      <c r="B3" s="349"/>
      <c r="C3" s="349"/>
      <c r="D3" s="349"/>
      <c r="E3" s="349"/>
      <c r="F3" s="349"/>
    </row>
    <row r="4" spans="2:6" ht="15">
      <c r="B4" s="45"/>
      <c r="C4" s="45"/>
      <c r="D4" s="45"/>
      <c r="E4" s="45"/>
      <c r="F4" s="45"/>
    </row>
    <row r="5" spans="2:6" s="19" customFormat="1" ht="15.75">
      <c r="B5" s="347"/>
      <c r="C5" s="347"/>
      <c r="D5" s="347"/>
      <c r="E5" s="347"/>
      <c r="F5" s="347"/>
    </row>
    <row r="6" spans="2:6" s="19" customFormat="1" ht="15.75">
      <c r="B6" s="346" t="s">
        <v>21</v>
      </c>
      <c r="C6" s="346"/>
      <c r="D6" s="346"/>
      <c r="E6" s="346"/>
      <c r="F6" s="346"/>
    </row>
    <row r="7" spans="2:6" ht="15.75">
      <c r="B7" s="346" t="s">
        <v>121</v>
      </c>
      <c r="C7" s="346"/>
      <c r="D7" s="346"/>
      <c r="E7" s="346"/>
      <c r="F7" s="346"/>
    </row>
    <row r="8" spans="2:6" ht="12.75" customHeight="1">
      <c r="B8" s="345" t="s">
        <v>412</v>
      </c>
      <c r="C8" s="345"/>
      <c r="D8" s="345"/>
      <c r="E8" s="345"/>
      <c r="F8" s="345"/>
    </row>
    <row r="9" spans="2:6" s="1" customFormat="1" ht="15">
      <c r="B9" s="4"/>
      <c r="C9" s="22"/>
      <c r="D9" s="4"/>
      <c r="E9" s="18"/>
      <c r="F9" s="4"/>
    </row>
    <row r="10" spans="1:5" s="1" customFormat="1" ht="18.75">
      <c r="A10" s="235" t="s">
        <v>24</v>
      </c>
      <c r="B10" s="62" t="s">
        <v>122</v>
      </c>
      <c r="C10" s="23"/>
      <c r="E10" s="63"/>
    </row>
    <row r="11" spans="1:6" ht="15.75">
      <c r="A11" s="235" t="s">
        <v>341</v>
      </c>
      <c r="B11" s="7" t="s">
        <v>123</v>
      </c>
      <c r="C11" s="23"/>
      <c r="D11" s="1"/>
      <c r="E11" s="64">
        <f>C12+C13</f>
        <v>35874463</v>
      </c>
      <c r="F11" s="1" t="s">
        <v>324</v>
      </c>
    </row>
    <row r="12" spans="1:8" ht="15.75">
      <c r="A12" s="235" t="s">
        <v>342</v>
      </c>
      <c r="B12" s="65" t="s">
        <v>124</v>
      </c>
      <c r="C12" s="22">
        <f>'2.mell - bevétel'!H50</f>
        <v>35714003</v>
      </c>
      <c r="D12" s="4" t="s">
        <v>4</v>
      </c>
      <c r="E12" s="18"/>
      <c r="H12" s="40"/>
    </row>
    <row r="13" spans="1:6" s="1" customFormat="1" ht="15.75" customHeight="1">
      <c r="A13" s="235" t="s">
        <v>343</v>
      </c>
      <c r="B13" s="65" t="s">
        <v>125</v>
      </c>
      <c r="C13" s="22">
        <f>'2.mell - bevétel'!H56</f>
        <v>160460</v>
      </c>
      <c r="D13" s="4" t="s">
        <v>4</v>
      </c>
      <c r="E13" s="18"/>
      <c r="F13" s="4"/>
    </row>
    <row r="14" spans="1:5" s="1" customFormat="1" ht="15.75">
      <c r="A14" s="235"/>
      <c r="B14" s="7"/>
      <c r="C14" s="23"/>
      <c r="E14" s="64"/>
    </row>
    <row r="15" spans="1:6" s="1" customFormat="1" ht="15.75">
      <c r="A15" s="235" t="s">
        <v>344</v>
      </c>
      <c r="B15" s="7" t="s">
        <v>126</v>
      </c>
      <c r="C15" s="23"/>
      <c r="E15" s="64"/>
      <c r="F15" s="1" t="s">
        <v>324</v>
      </c>
    </row>
    <row r="16" spans="1:5" s="1" customFormat="1" ht="15.75">
      <c r="A16" s="235"/>
      <c r="B16" s="7"/>
      <c r="C16" s="23"/>
      <c r="E16" s="64"/>
    </row>
    <row r="17" spans="1:6" s="1" customFormat="1" ht="15.75">
      <c r="A17" s="235" t="s">
        <v>345</v>
      </c>
      <c r="B17" s="7" t="s">
        <v>80</v>
      </c>
      <c r="C17" s="23"/>
      <c r="E17" s="64">
        <f>'2.mell - bevétel'!H76</f>
        <v>6128056</v>
      </c>
      <c r="F17" s="1" t="s">
        <v>324</v>
      </c>
    </row>
    <row r="18" spans="1:8" s="1" customFormat="1" ht="15.75">
      <c r="A18" s="235"/>
      <c r="B18" s="7"/>
      <c r="C18" s="23"/>
      <c r="E18" s="64"/>
      <c r="H18" s="41"/>
    </row>
    <row r="19" spans="1:6" s="1" customFormat="1" ht="15.75">
      <c r="A19" s="235" t="s">
        <v>346</v>
      </c>
      <c r="B19" s="7" t="s">
        <v>35</v>
      </c>
      <c r="C19" s="23"/>
      <c r="E19" s="64">
        <f>'2.mell - bevétel'!H98</f>
        <v>11024170</v>
      </c>
      <c r="F19" s="1" t="s">
        <v>324</v>
      </c>
    </row>
    <row r="20" spans="1:5" s="1" customFormat="1" ht="15.75">
      <c r="A20" s="235"/>
      <c r="B20" s="8"/>
      <c r="C20" s="24"/>
      <c r="E20" s="64"/>
    </row>
    <row r="21" spans="1:6" s="1" customFormat="1" ht="15.75">
      <c r="A21" s="235" t="s">
        <v>347</v>
      </c>
      <c r="B21" s="7" t="s">
        <v>127</v>
      </c>
      <c r="C21" s="23"/>
      <c r="E21" s="64">
        <f>'2.mell - bevétel'!H59</f>
        <v>0</v>
      </c>
      <c r="F21" s="1" t="s">
        <v>324</v>
      </c>
    </row>
    <row r="22" spans="1:5" s="1" customFormat="1" ht="15.75">
      <c r="A22" s="235"/>
      <c r="B22" s="8"/>
      <c r="C22" s="23"/>
      <c r="E22" s="64"/>
    </row>
    <row r="23" spans="1:6" s="1" customFormat="1" ht="15.75">
      <c r="A23" s="235" t="s">
        <v>348</v>
      </c>
      <c r="B23" s="7" t="s">
        <v>128</v>
      </c>
      <c r="E23" s="64">
        <f>C24+C25</f>
        <v>0</v>
      </c>
      <c r="F23" s="1" t="s">
        <v>324</v>
      </c>
    </row>
    <row r="24" spans="1:8" s="6" customFormat="1" ht="32.25">
      <c r="A24" s="236" t="s">
        <v>349</v>
      </c>
      <c r="B24" s="65" t="s">
        <v>129</v>
      </c>
      <c r="C24" s="24">
        <v>0</v>
      </c>
      <c r="D24" s="1" t="s">
        <v>4</v>
      </c>
      <c r="E24" s="64"/>
      <c r="F24" s="1"/>
      <c r="G24" s="1"/>
      <c r="H24" s="42"/>
    </row>
    <row r="25" spans="1:8" ht="18.75">
      <c r="A25" s="235"/>
      <c r="B25" s="19" t="s">
        <v>130</v>
      </c>
      <c r="C25" s="23">
        <v>0</v>
      </c>
      <c r="D25" s="1" t="s">
        <v>4</v>
      </c>
      <c r="E25" s="64"/>
      <c r="F25" s="1"/>
      <c r="G25" s="6"/>
      <c r="H25" s="43"/>
    </row>
    <row r="26" spans="1:8" s="1" customFormat="1" ht="18.75">
      <c r="A26" s="235"/>
      <c r="B26" s="31"/>
      <c r="C26" s="22"/>
      <c r="D26" s="4"/>
      <c r="E26" s="66"/>
      <c r="F26" s="6"/>
      <c r="H26" s="44"/>
    </row>
    <row r="27" spans="1:6" s="1" customFormat="1" ht="15.75">
      <c r="A27" s="235" t="s">
        <v>350</v>
      </c>
      <c r="B27" s="7" t="s">
        <v>108</v>
      </c>
      <c r="C27" s="23"/>
      <c r="E27" s="64">
        <f>C28+C29</f>
        <v>8277879</v>
      </c>
      <c r="F27" s="1" t="s">
        <v>324</v>
      </c>
    </row>
    <row r="28" spans="1:5" s="1" customFormat="1" ht="31.5">
      <c r="A28" s="235" t="s">
        <v>351</v>
      </c>
      <c r="B28" s="65" t="s">
        <v>131</v>
      </c>
      <c r="C28" s="23">
        <f>'2.mell - bevétel'!H105+'2.mell - bevétel'!H104</f>
        <v>2277879</v>
      </c>
      <c r="D28" s="1" t="s">
        <v>4</v>
      </c>
      <c r="E28" s="64"/>
    </row>
    <row r="29" spans="1:5" s="1" customFormat="1" ht="15.75">
      <c r="A29" s="235" t="s">
        <v>352</v>
      </c>
      <c r="B29" s="19" t="s">
        <v>132</v>
      </c>
      <c r="C29" s="23">
        <f>'2.mell - bevétel'!H106</f>
        <v>6000000</v>
      </c>
      <c r="D29" s="1" t="s">
        <v>4</v>
      </c>
      <c r="E29" s="64"/>
    </row>
    <row r="30" spans="1:5" s="1" customFormat="1" ht="15.75">
      <c r="A30" s="235"/>
      <c r="B30" s="31"/>
      <c r="E30" s="63"/>
    </row>
    <row r="31" spans="1:6" s="1" customFormat="1" ht="15.75">
      <c r="A31" s="235" t="s">
        <v>15</v>
      </c>
      <c r="B31" s="7" t="s">
        <v>26</v>
      </c>
      <c r="E31" s="67">
        <f>SUM(E11:E30)</f>
        <v>61304568</v>
      </c>
      <c r="F31" s="1" t="s">
        <v>324</v>
      </c>
    </row>
    <row r="32" spans="1:5" s="1" customFormat="1" ht="15.75">
      <c r="A32" s="235"/>
      <c r="B32" s="19"/>
      <c r="E32" s="63"/>
    </row>
    <row r="33" spans="1:5" s="1" customFormat="1" ht="18.75">
      <c r="A33" s="235" t="s">
        <v>25</v>
      </c>
      <c r="B33" s="62" t="s">
        <v>133</v>
      </c>
      <c r="E33" s="63"/>
    </row>
    <row r="34" spans="1:6" s="1" customFormat="1" ht="15.75">
      <c r="A34" s="235" t="s">
        <v>353</v>
      </c>
      <c r="B34" s="9" t="s">
        <v>8</v>
      </c>
      <c r="C34" s="23"/>
      <c r="E34" s="64">
        <f>C36+C37+C38+C39+C40+C41</f>
        <v>80595219</v>
      </c>
      <c r="F34" s="1" t="s">
        <v>324</v>
      </c>
    </row>
    <row r="35" spans="1:5" s="1" customFormat="1" ht="15.75">
      <c r="A35" s="235"/>
      <c r="B35" s="8" t="s">
        <v>7</v>
      </c>
      <c r="C35" s="23"/>
      <c r="E35" s="64"/>
    </row>
    <row r="36" spans="1:5" s="1" customFormat="1" ht="15.75">
      <c r="A36" s="235" t="s">
        <v>354</v>
      </c>
      <c r="B36" s="19" t="s">
        <v>134</v>
      </c>
      <c r="C36" s="23">
        <f>'4.mell. - kiadás'!E49</f>
        <v>24850551</v>
      </c>
      <c r="D36" s="1" t="s">
        <v>324</v>
      </c>
      <c r="E36" s="64"/>
    </row>
    <row r="37" spans="1:5" s="1" customFormat="1" ht="15.75">
      <c r="A37" s="235" t="s">
        <v>355</v>
      </c>
      <c r="B37" s="19" t="s">
        <v>135</v>
      </c>
      <c r="C37" s="23">
        <f>'4.mell. - kiadás'!F49</f>
        <v>4343697</v>
      </c>
      <c r="D37" s="1" t="s">
        <v>324</v>
      </c>
      <c r="E37" s="64"/>
    </row>
    <row r="38" spans="1:5" s="1" customFormat="1" ht="15.75">
      <c r="A38" s="235" t="s">
        <v>356</v>
      </c>
      <c r="B38" s="19" t="s">
        <v>136</v>
      </c>
      <c r="C38" s="23">
        <f>'4.mell. - kiadás'!G49</f>
        <v>27510946</v>
      </c>
      <c r="D38" s="1" t="s">
        <v>324</v>
      </c>
      <c r="E38" s="64"/>
    </row>
    <row r="39" spans="1:5" s="1" customFormat="1" ht="15.75">
      <c r="A39" s="235" t="s">
        <v>357</v>
      </c>
      <c r="B39" s="68" t="s">
        <v>137</v>
      </c>
      <c r="C39" s="23">
        <f>'4.mell. - kiadás'!H49</f>
        <v>2700000</v>
      </c>
      <c r="D39" s="1" t="s">
        <v>324</v>
      </c>
      <c r="E39" s="64"/>
    </row>
    <row r="40" spans="1:5" s="1" customFormat="1" ht="15.75">
      <c r="A40" s="235" t="s">
        <v>364</v>
      </c>
      <c r="B40" s="19" t="s">
        <v>46</v>
      </c>
      <c r="C40" s="23">
        <f>'4.mell. - kiadás'!I49</f>
        <v>2570200</v>
      </c>
      <c r="D40" s="1" t="s">
        <v>324</v>
      </c>
      <c r="E40" s="64"/>
    </row>
    <row r="41" spans="1:5" s="1" customFormat="1" ht="15.75">
      <c r="A41" s="235" t="s">
        <v>369</v>
      </c>
      <c r="B41" s="19" t="s">
        <v>368</v>
      </c>
      <c r="C41" s="24">
        <f>'4.mell. - kiadás'!J40</f>
        <v>18619825</v>
      </c>
      <c r="D41" s="1" t="s">
        <v>1</v>
      </c>
      <c r="E41" s="64"/>
    </row>
    <row r="42" spans="1:6" s="1" customFormat="1" ht="15.75">
      <c r="A42" s="235" t="s">
        <v>358</v>
      </c>
      <c r="B42" s="9" t="s">
        <v>9</v>
      </c>
      <c r="C42" s="23"/>
      <c r="E42" s="69">
        <f>C44+C45+C46</f>
        <v>100936152</v>
      </c>
      <c r="F42" s="1" t="s">
        <v>324</v>
      </c>
    </row>
    <row r="43" spans="1:5" s="1" customFormat="1" ht="15.75">
      <c r="A43" s="235"/>
      <c r="B43" s="8" t="s">
        <v>7</v>
      </c>
      <c r="C43" s="23"/>
      <c r="E43" s="64"/>
    </row>
    <row r="44" spans="1:5" s="1" customFormat="1" ht="15.75">
      <c r="A44" s="235" t="s">
        <v>365</v>
      </c>
      <c r="B44" s="19" t="s">
        <v>138</v>
      </c>
      <c r="C44" s="24">
        <f>'4.mell. - kiadás'!L49</f>
        <v>10258089</v>
      </c>
      <c r="D44" s="1" t="s">
        <v>324</v>
      </c>
      <c r="E44" s="64"/>
    </row>
    <row r="45" spans="1:5" s="1" customFormat="1" ht="15.75">
      <c r="A45" s="235" t="s">
        <v>359</v>
      </c>
      <c r="B45" s="19" t="s">
        <v>139</v>
      </c>
      <c r="C45" s="24">
        <f>'4.mell. - kiadás'!M49</f>
        <v>87074490</v>
      </c>
      <c r="D45" s="1" t="s">
        <v>324</v>
      </c>
      <c r="E45" s="64"/>
    </row>
    <row r="46" spans="1:7" ht="15.75">
      <c r="A46" s="235" t="s">
        <v>360</v>
      </c>
      <c r="B46" s="19" t="s">
        <v>47</v>
      </c>
      <c r="C46" s="24">
        <f>'4.mell. - kiadás'!N49</f>
        <v>3603573</v>
      </c>
      <c r="D46" s="1" t="s">
        <v>324</v>
      </c>
      <c r="E46" s="64"/>
      <c r="F46" s="1"/>
      <c r="G46" s="1"/>
    </row>
    <row r="47" s="1" customFormat="1" ht="7.5" customHeight="1">
      <c r="E47" s="64"/>
    </row>
    <row r="48" spans="1:6" s="1" customFormat="1" ht="15.75">
      <c r="A48" s="235" t="s">
        <v>68</v>
      </c>
      <c r="B48" s="11" t="s">
        <v>140</v>
      </c>
      <c r="C48" s="24"/>
      <c r="E48" s="64">
        <f>C49+C50+C51</f>
        <v>1449359</v>
      </c>
      <c r="F48" s="1" t="s">
        <v>324</v>
      </c>
    </row>
    <row r="49" spans="1:5" s="1" customFormat="1" ht="15.75">
      <c r="A49" s="235" t="s">
        <v>361</v>
      </c>
      <c r="B49" s="19" t="s">
        <v>141</v>
      </c>
      <c r="C49" s="23"/>
      <c r="D49" s="1" t="s">
        <v>324</v>
      </c>
      <c r="E49" s="64"/>
    </row>
    <row r="50" spans="1:7" s="6" customFormat="1" ht="18.75">
      <c r="A50" s="237" t="s">
        <v>362</v>
      </c>
      <c r="B50" s="19" t="s">
        <v>142</v>
      </c>
      <c r="C50" s="23"/>
      <c r="D50" s="1" t="s">
        <v>324</v>
      </c>
      <c r="E50" s="64"/>
      <c r="F50" s="1"/>
      <c r="G50" s="4"/>
    </row>
    <row r="51" spans="1:7" ht="15.75">
      <c r="A51" s="235" t="s">
        <v>363</v>
      </c>
      <c r="B51" s="19" t="s">
        <v>320</v>
      </c>
      <c r="C51" s="24">
        <f>'4.mell. - kiadás'!P19</f>
        <v>1449359</v>
      </c>
      <c r="D51" s="1" t="s">
        <v>324</v>
      </c>
      <c r="E51" s="64"/>
      <c r="F51" s="1"/>
      <c r="G51" s="1"/>
    </row>
    <row r="52" spans="1:7" ht="15.75">
      <c r="A52" s="235" t="s">
        <v>69</v>
      </c>
      <c r="B52" s="7" t="s">
        <v>27</v>
      </c>
      <c r="C52" s="24"/>
      <c r="D52" s="1"/>
      <c r="E52" s="18">
        <f>SUM(E34:E51)</f>
        <v>182980730</v>
      </c>
      <c r="F52" s="4" t="s">
        <v>324</v>
      </c>
      <c r="G52" s="1"/>
    </row>
    <row r="53" spans="1:7" ht="15.75">
      <c r="A53" s="235"/>
      <c r="B53" s="19"/>
      <c r="C53" s="23"/>
      <c r="D53" s="1"/>
      <c r="E53" s="69"/>
      <c r="F53" s="1"/>
      <c r="G53" s="1"/>
    </row>
    <row r="54" spans="1:7" ht="18.75">
      <c r="A54" s="235" t="s">
        <v>75</v>
      </c>
      <c r="B54" s="7" t="s">
        <v>28</v>
      </c>
      <c r="C54" s="23"/>
      <c r="D54" s="1"/>
      <c r="E54" s="18">
        <f>E31-E52</f>
        <v>-121676162</v>
      </c>
      <c r="F54" s="4" t="s">
        <v>324</v>
      </c>
      <c r="G54" s="6"/>
    </row>
    <row r="55" spans="1:5" ht="15.75">
      <c r="A55" s="235"/>
      <c r="B55" s="19"/>
      <c r="C55" s="23"/>
      <c r="D55" s="1"/>
      <c r="E55" s="18"/>
    </row>
    <row r="56" spans="1:6" ht="32.25">
      <c r="A56" s="235" t="s">
        <v>201</v>
      </c>
      <c r="B56" s="57" t="s">
        <v>416</v>
      </c>
      <c r="C56" s="25"/>
      <c r="D56" s="6"/>
      <c r="E56" s="18">
        <f>'2.mell - bevétel'!H118-E57</f>
        <v>120226803</v>
      </c>
      <c r="F56" s="4" t="s">
        <v>324</v>
      </c>
    </row>
    <row r="57" spans="1:7" s="1" customFormat="1" ht="15.75">
      <c r="A57" s="235" t="s">
        <v>203</v>
      </c>
      <c r="B57" s="13" t="s">
        <v>417</v>
      </c>
      <c r="C57" s="22"/>
      <c r="D57" s="4"/>
      <c r="E57" s="18">
        <f>'4.mell. - kiadás'!P19</f>
        <v>1449359</v>
      </c>
      <c r="F57" s="4" t="s">
        <v>1</v>
      </c>
      <c r="G57" s="4"/>
    </row>
    <row r="58" spans="1:6" ht="15.75">
      <c r="A58" s="238" t="s">
        <v>205</v>
      </c>
      <c r="B58" s="7" t="s">
        <v>367</v>
      </c>
      <c r="E58" s="18">
        <f>E54+E56+E57</f>
        <v>0</v>
      </c>
      <c r="F58" s="4" t="s">
        <v>324</v>
      </c>
    </row>
    <row r="59" spans="2:5" s="1" customFormat="1" ht="10.5" customHeight="1">
      <c r="B59" s="5"/>
      <c r="C59" s="23"/>
      <c r="E59" s="14"/>
    </row>
    <row r="60" spans="2:6" ht="15.75">
      <c r="B60" s="5"/>
      <c r="C60" s="23"/>
      <c r="D60" s="1"/>
      <c r="E60" s="14"/>
      <c r="F60" s="7"/>
    </row>
    <row r="61" spans="2:6" ht="15.75">
      <c r="B61" s="7"/>
      <c r="E61" s="15"/>
      <c r="F61" s="7"/>
    </row>
  </sheetData>
  <sheetProtection/>
  <mergeCells count="6">
    <mergeCell ref="B8:F8"/>
    <mergeCell ref="B6:F6"/>
    <mergeCell ref="B5:F5"/>
    <mergeCell ref="B7:F7"/>
    <mergeCell ref="A3:F3"/>
    <mergeCell ref="A1:F1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5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30" customWidth="1"/>
    <col min="2" max="5" width="3.125" style="29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350" t="s">
        <v>469</v>
      </c>
      <c r="B1" s="350"/>
      <c r="C1" s="350"/>
      <c r="D1" s="350"/>
      <c r="E1" s="350"/>
      <c r="F1" s="350"/>
      <c r="G1" s="350"/>
      <c r="H1" s="350"/>
      <c r="I1" s="350"/>
    </row>
    <row r="3" spans="1:9" ht="15.75">
      <c r="A3" s="348" t="s">
        <v>419</v>
      </c>
      <c r="B3" s="348"/>
      <c r="C3" s="348"/>
      <c r="D3" s="348"/>
      <c r="E3" s="348"/>
      <c r="F3" s="348"/>
      <c r="G3" s="348"/>
      <c r="H3" s="348"/>
      <c r="I3" s="348"/>
    </row>
    <row r="4" spans="1:9" s="9" customFormat="1" ht="15.75">
      <c r="A4" s="363" t="s">
        <v>3</v>
      </c>
      <c r="B4" s="363"/>
      <c r="C4" s="363"/>
      <c r="D4" s="363"/>
      <c r="E4" s="363"/>
      <c r="F4" s="363"/>
      <c r="G4" s="363"/>
      <c r="H4" s="363"/>
      <c r="I4" s="363"/>
    </row>
    <row r="5" spans="1:9" s="9" customFormat="1" ht="15.75">
      <c r="A5" s="363" t="s">
        <v>20</v>
      </c>
      <c r="B5" s="363"/>
      <c r="C5" s="363"/>
      <c r="D5" s="363"/>
      <c r="E5" s="363"/>
      <c r="F5" s="363"/>
      <c r="G5" s="363"/>
      <c r="H5" s="363"/>
      <c r="I5" s="363"/>
    </row>
    <row r="6" spans="1:9" ht="15.75">
      <c r="A6" s="363" t="s">
        <v>413</v>
      </c>
      <c r="B6" s="363"/>
      <c r="C6" s="363"/>
      <c r="D6" s="363"/>
      <c r="E6" s="363"/>
      <c r="F6" s="363"/>
      <c r="G6" s="363"/>
      <c r="H6" s="363"/>
      <c r="I6" s="363"/>
    </row>
    <row r="7" ht="15.75" hidden="1"/>
    <row r="8" spans="1:9" ht="15.75">
      <c r="A8" s="352"/>
      <c r="B8" s="352"/>
      <c r="C8" s="352"/>
      <c r="D8" s="352"/>
      <c r="E8" s="352"/>
      <c r="F8" s="352"/>
      <c r="G8" s="352"/>
      <c r="H8" s="352"/>
      <c r="I8" s="352"/>
    </row>
    <row r="9" spans="8:9" ht="16.5" thickBot="1">
      <c r="H9" s="32"/>
      <c r="I9" s="33" t="s">
        <v>322</v>
      </c>
    </row>
    <row r="10" spans="1:9" ht="15.75">
      <c r="A10" s="354" t="s">
        <v>12</v>
      </c>
      <c r="B10" s="355"/>
      <c r="C10" s="355"/>
      <c r="D10" s="355"/>
      <c r="E10" s="355"/>
      <c r="F10" s="356"/>
      <c r="G10" s="34" t="s">
        <v>10</v>
      </c>
      <c r="H10" s="34" t="s">
        <v>10</v>
      </c>
      <c r="I10" s="34" t="s">
        <v>11</v>
      </c>
    </row>
    <row r="11" spans="1:9" ht="15.75">
      <c r="A11" s="357"/>
      <c r="B11" s="358"/>
      <c r="C11" s="358"/>
      <c r="D11" s="358"/>
      <c r="E11" s="358"/>
      <c r="F11" s="359"/>
      <c r="G11" s="35" t="s">
        <v>6</v>
      </c>
      <c r="H11" s="35" t="s">
        <v>6</v>
      </c>
      <c r="I11" s="35"/>
    </row>
    <row r="12" spans="1:9" ht="16.5" thickBot="1">
      <c r="A12" s="360"/>
      <c r="B12" s="361"/>
      <c r="C12" s="361"/>
      <c r="D12" s="361"/>
      <c r="E12" s="361"/>
      <c r="F12" s="362"/>
      <c r="G12" s="36" t="s">
        <v>407</v>
      </c>
      <c r="H12" s="36" t="s">
        <v>413</v>
      </c>
      <c r="I12" s="36" t="s">
        <v>13</v>
      </c>
    </row>
    <row r="13" spans="1:9" ht="6.75" customHeight="1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9" ht="15.75">
      <c r="A14" s="11" t="s">
        <v>29</v>
      </c>
      <c r="B14" s="353" t="s">
        <v>50</v>
      </c>
      <c r="C14" s="353"/>
      <c r="D14" s="353"/>
      <c r="E14" s="353"/>
      <c r="F14" s="353"/>
      <c r="G14" s="47"/>
      <c r="H14" s="48"/>
      <c r="I14" s="47"/>
    </row>
    <row r="15" spans="1:9" ht="15.75">
      <c r="A15" s="11"/>
      <c r="B15" s="11" t="s">
        <v>29</v>
      </c>
      <c r="C15" s="11" t="s">
        <v>51</v>
      </c>
      <c r="D15" s="11"/>
      <c r="E15" s="11"/>
      <c r="F15" s="11"/>
      <c r="G15" s="17"/>
      <c r="H15" s="17"/>
      <c r="I15" s="11"/>
    </row>
    <row r="16" spans="1:9" ht="18" customHeight="1">
      <c r="A16" s="11"/>
      <c r="B16" s="11"/>
      <c r="C16" s="11" t="s">
        <v>24</v>
      </c>
      <c r="D16" s="353" t="s">
        <v>52</v>
      </c>
      <c r="E16" s="353"/>
      <c r="F16" s="353"/>
      <c r="G16" s="48"/>
      <c r="H16" s="48"/>
      <c r="I16" s="47"/>
    </row>
    <row r="17" spans="1:9" ht="21.75" customHeight="1">
      <c r="A17" s="11"/>
      <c r="B17" s="11"/>
      <c r="C17" s="11"/>
      <c r="D17" s="11" t="s">
        <v>24</v>
      </c>
      <c r="E17" s="353" t="s">
        <v>53</v>
      </c>
      <c r="F17" s="353"/>
      <c r="G17" s="48"/>
      <c r="H17" s="48"/>
      <c r="I17" s="47"/>
    </row>
    <row r="18" spans="1:9" ht="15.75">
      <c r="A18" s="13"/>
      <c r="B18" s="13"/>
      <c r="C18" s="13"/>
      <c r="D18" s="13"/>
      <c r="E18" s="13" t="s">
        <v>36</v>
      </c>
      <c r="F18" s="13" t="s">
        <v>30</v>
      </c>
      <c r="G18" s="16"/>
      <c r="H18" s="16"/>
      <c r="I18" s="49"/>
    </row>
    <row r="19" spans="1:9" ht="17.25" customHeight="1">
      <c r="A19" s="13"/>
      <c r="B19" s="13"/>
      <c r="C19" s="13"/>
      <c r="D19" s="13"/>
      <c r="E19" s="13"/>
      <c r="F19" s="13" t="s">
        <v>54</v>
      </c>
      <c r="G19" s="16"/>
      <c r="I19" s="49"/>
    </row>
    <row r="20" spans="1:9" ht="17.25" customHeight="1">
      <c r="A20" s="13"/>
      <c r="B20" s="13"/>
      <c r="C20" s="13"/>
      <c r="D20" s="13"/>
      <c r="E20" s="13" t="s">
        <v>37</v>
      </c>
      <c r="F20" s="50" t="s">
        <v>31</v>
      </c>
      <c r="G20" s="51"/>
      <c r="I20" s="49"/>
    </row>
    <row r="21" spans="1:9" ht="36.75" customHeight="1">
      <c r="A21" s="13"/>
      <c r="B21" s="13"/>
      <c r="C21" s="13"/>
      <c r="D21" s="13"/>
      <c r="E21" s="13" t="s">
        <v>55</v>
      </c>
      <c r="F21" s="50" t="s">
        <v>56</v>
      </c>
      <c r="G21" s="199">
        <f>2553350</f>
        <v>2553350</v>
      </c>
      <c r="H21" s="199">
        <v>2885400</v>
      </c>
      <c r="I21" s="49">
        <f>H21/G21*100</f>
        <v>113.00448430493273</v>
      </c>
    </row>
    <row r="22" spans="1:9" ht="15.75">
      <c r="A22" s="13"/>
      <c r="B22" s="13"/>
      <c r="C22" s="13"/>
      <c r="D22" s="13"/>
      <c r="E22" s="13"/>
      <c r="F22" s="13" t="s">
        <v>54</v>
      </c>
      <c r="G22" s="199"/>
      <c r="H22" s="199"/>
      <c r="I22" s="49"/>
    </row>
    <row r="23" spans="1:9" ht="15.75">
      <c r="A23" s="13"/>
      <c r="B23" s="13"/>
      <c r="C23" s="13"/>
      <c r="D23" s="13"/>
      <c r="E23" s="13" t="s">
        <v>57</v>
      </c>
      <c r="F23" s="50" t="s">
        <v>58</v>
      </c>
      <c r="G23" s="199">
        <v>3072000</v>
      </c>
      <c r="H23" s="199">
        <v>3072000</v>
      </c>
      <c r="I23" s="49">
        <f>H23/G23*100</f>
        <v>100</v>
      </c>
    </row>
    <row r="24" spans="1:9" ht="15.75">
      <c r="A24" s="13"/>
      <c r="B24" s="13"/>
      <c r="C24" s="13"/>
      <c r="D24" s="13"/>
      <c r="E24" s="13"/>
      <c r="F24" s="13" t="s">
        <v>54</v>
      </c>
      <c r="G24" s="199"/>
      <c r="H24" s="199"/>
      <c r="I24" s="49"/>
    </row>
    <row r="25" spans="1:9" ht="17.25" customHeight="1">
      <c r="A25" s="13"/>
      <c r="B25" s="13"/>
      <c r="C25" s="13"/>
      <c r="D25" s="13"/>
      <c r="E25" s="13" t="s">
        <v>59</v>
      </c>
      <c r="F25" s="50" t="s">
        <v>60</v>
      </c>
      <c r="G25" s="199">
        <v>100000</v>
      </c>
      <c r="H25" s="199">
        <v>100000</v>
      </c>
      <c r="I25" s="49">
        <f>H25/G25*100</f>
        <v>100</v>
      </c>
    </row>
    <row r="26" spans="1:9" ht="15.75">
      <c r="A26" s="13"/>
      <c r="B26" s="13"/>
      <c r="C26" s="13"/>
      <c r="D26" s="13"/>
      <c r="E26" s="13"/>
      <c r="F26" s="13" t="s">
        <v>54</v>
      </c>
      <c r="G26" s="199"/>
      <c r="H26" s="199"/>
      <c r="I26" s="49"/>
    </row>
    <row r="27" spans="1:9" ht="15.75">
      <c r="A27" s="13"/>
      <c r="B27" s="13"/>
      <c r="C27" s="13"/>
      <c r="D27" s="13"/>
      <c r="E27" s="13" t="s">
        <v>61</v>
      </c>
      <c r="F27" s="50" t="s">
        <v>62</v>
      </c>
      <c r="G27" s="199">
        <v>7506890</v>
      </c>
      <c r="H27" s="199">
        <v>7416090</v>
      </c>
      <c r="I27" s="49">
        <f>H27/G27*100</f>
        <v>98.79044451164198</v>
      </c>
    </row>
    <row r="28" spans="1:9" s="20" customFormat="1" ht="15.75">
      <c r="A28" s="13"/>
      <c r="B28" s="13"/>
      <c r="C28" s="13"/>
      <c r="D28" s="13"/>
      <c r="E28" s="13"/>
      <c r="F28" s="13" t="s">
        <v>54</v>
      </c>
      <c r="G28" s="200"/>
      <c r="H28" s="200"/>
      <c r="I28" s="49"/>
    </row>
    <row r="29" spans="1:9" ht="15.75">
      <c r="A29" s="13"/>
      <c r="B29" s="13"/>
      <c r="C29" s="13"/>
      <c r="D29" s="13" t="s">
        <v>38</v>
      </c>
      <c r="E29" s="13" t="s">
        <v>63</v>
      </c>
      <c r="F29" s="13"/>
      <c r="G29" s="199">
        <v>5000000</v>
      </c>
      <c r="H29" s="199">
        <v>5000000</v>
      </c>
      <c r="I29" s="49">
        <f>H29/G29*100</f>
        <v>100</v>
      </c>
    </row>
    <row r="30" spans="1:9" ht="15.75">
      <c r="A30" s="13"/>
      <c r="B30" s="13"/>
      <c r="C30" s="13"/>
      <c r="D30" s="13"/>
      <c r="E30" s="13"/>
      <c r="F30" s="13" t="s">
        <v>54</v>
      </c>
      <c r="G30" s="199"/>
      <c r="H30" s="199"/>
      <c r="I30" s="49"/>
    </row>
    <row r="31" spans="1:9" ht="15.75">
      <c r="A31" s="13"/>
      <c r="B31" s="13"/>
      <c r="C31" s="13"/>
      <c r="D31" s="13"/>
      <c r="E31" s="13" t="s">
        <v>323</v>
      </c>
      <c r="F31" s="13"/>
      <c r="G31" s="199"/>
      <c r="H31" s="199">
        <v>4231957</v>
      </c>
      <c r="I31" s="49"/>
    </row>
    <row r="32" spans="1:9" ht="15.75">
      <c r="A32" s="13"/>
      <c r="B32" s="13"/>
      <c r="C32" s="13"/>
      <c r="D32" s="13" t="s">
        <v>39</v>
      </c>
      <c r="E32" s="13" t="s">
        <v>116</v>
      </c>
      <c r="F32" s="13"/>
      <c r="G32" s="199">
        <v>17850</v>
      </c>
      <c r="H32" s="199">
        <v>17850</v>
      </c>
      <c r="I32" s="49">
        <f>H32/G32*100</f>
        <v>100</v>
      </c>
    </row>
    <row r="33" spans="1:9" ht="15.75">
      <c r="A33" s="13"/>
      <c r="B33" s="13"/>
      <c r="C33" s="13"/>
      <c r="D33" s="13" t="s">
        <v>117</v>
      </c>
      <c r="E33" s="13" t="s">
        <v>76</v>
      </c>
      <c r="F33" s="13"/>
      <c r="G33" s="199">
        <v>423800</v>
      </c>
      <c r="H33" s="199">
        <f>525200-417779</f>
        <v>107421</v>
      </c>
      <c r="I33" s="49">
        <f>H33/G33*100</f>
        <v>25.347097687588484</v>
      </c>
    </row>
    <row r="34" spans="1:9" ht="15.75">
      <c r="A34" s="13"/>
      <c r="B34" s="13"/>
      <c r="C34" s="13" t="s">
        <v>15</v>
      </c>
      <c r="D34" s="364" t="s">
        <v>64</v>
      </c>
      <c r="E34" s="364"/>
      <c r="F34" s="364"/>
      <c r="G34" s="199">
        <v>3000</v>
      </c>
      <c r="H34" s="199"/>
      <c r="I34" s="49"/>
    </row>
    <row r="35" spans="1:9" ht="16.5" customHeight="1">
      <c r="A35" s="13"/>
      <c r="B35" s="13"/>
      <c r="C35" s="13" t="s">
        <v>75</v>
      </c>
      <c r="D35" s="13" t="s">
        <v>370</v>
      </c>
      <c r="E35" s="13"/>
      <c r="F35" s="13"/>
      <c r="G35" s="199">
        <v>1120500</v>
      </c>
      <c r="H35" s="199">
        <v>1024800</v>
      </c>
      <c r="I35" s="49">
        <f>H35/G35*100</f>
        <v>91.45917001338688</v>
      </c>
    </row>
    <row r="36" spans="1:9" ht="21" customHeight="1">
      <c r="A36" s="53"/>
      <c r="B36" s="53"/>
      <c r="C36" s="54"/>
      <c r="D36" s="365" t="s">
        <v>65</v>
      </c>
      <c r="E36" s="365"/>
      <c r="F36" s="365"/>
      <c r="G36" s="201">
        <f>SUM(G18:G35)</f>
        <v>19797390</v>
      </c>
      <c r="H36" s="201">
        <f>SUM(H18:H35)</f>
        <v>23855518</v>
      </c>
      <c r="I36" s="49">
        <f>H36/G36*100</f>
        <v>120.49829800796974</v>
      </c>
    </row>
    <row r="37" spans="1:9" ht="33" customHeight="1">
      <c r="A37" s="13"/>
      <c r="B37" s="11" t="s">
        <v>33</v>
      </c>
      <c r="C37" s="11" t="s">
        <v>25</v>
      </c>
      <c r="D37" s="353" t="s">
        <v>66</v>
      </c>
      <c r="E37" s="353"/>
      <c r="F37" s="353"/>
      <c r="G37" s="199"/>
      <c r="H37" s="199"/>
      <c r="I37" s="49"/>
    </row>
    <row r="38" spans="1:9" ht="15.75">
      <c r="A38" s="13"/>
      <c r="B38" s="13"/>
      <c r="C38" s="13"/>
      <c r="D38" s="13" t="s">
        <v>24</v>
      </c>
      <c r="E38" s="13" t="s">
        <v>118</v>
      </c>
      <c r="F38" s="13"/>
      <c r="G38" s="199"/>
      <c r="H38" s="199"/>
      <c r="I38" s="49"/>
    </row>
    <row r="39" spans="1:9" ht="30.75" customHeight="1">
      <c r="A39" s="13"/>
      <c r="B39" s="13"/>
      <c r="C39" s="13"/>
      <c r="D39" s="13" t="s">
        <v>15</v>
      </c>
      <c r="E39" s="364" t="s">
        <v>119</v>
      </c>
      <c r="F39" s="364"/>
      <c r="G39" s="199">
        <v>2728000</v>
      </c>
      <c r="H39" s="199">
        <v>3289000</v>
      </c>
      <c r="I39" s="49">
        <f>H39/G39*100</f>
        <v>120.56451612903226</v>
      </c>
    </row>
    <row r="40" spans="1:9" ht="15.75">
      <c r="A40" s="13"/>
      <c r="B40" s="13"/>
      <c r="C40" s="13"/>
      <c r="D40" s="13" t="s">
        <v>25</v>
      </c>
      <c r="E40" s="13" t="s">
        <v>67</v>
      </c>
      <c r="F40" s="13"/>
      <c r="G40" s="199">
        <v>719680</v>
      </c>
      <c r="H40" s="199">
        <f>849680+130720+15000</f>
        <v>995400</v>
      </c>
      <c r="I40" s="49">
        <f>H40/G40*100</f>
        <v>138.311471765229</v>
      </c>
    </row>
    <row r="41" spans="1:9" ht="15.75">
      <c r="A41" s="13"/>
      <c r="B41" s="13"/>
      <c r="C41" s="13"/>
      <c r="D41" s="13" t="s">
        <v>69</v>
      </c>
      <c r="E41" s="13" t="s">
        <v>70</v>
      </c>
      <c r="F41" s="13"/>
      <c r="G41" s="199"/>
      <c r="H41" s="199"/>
      <c r="I41" s="49"/>
    </row>
    <row r="42" spans="1:9" ht="31.5">
      <c r="A42" s="13"/>
      <c r="B42" s="13"/>
      <c r="C42" s="13"/>
      <c r="D42" s="13"/>
      <c r="E42" s="13" t="s">
        <v>36</v>
      </c>
      <c r="F42" s="50" t="s">
        <v>371</v>
      </c>
      <c r="G42" s="199">
        <v>1900000</v>
      </c>
      <c r="H42" s="199">
        <f>2288000-616000+133760</f>
        <v>1805760</v>
      </c>
      <c r="I42" s="49">
        <f>H42/G42*100</f>
        <v>95.04</v>
      </c>
    </row>
    <row r="43" spans="1:9" ht="15.75">
      <c r="A43" s="13"/>
      <c r="B43" s="13"/>
      <c r="C43" s="13"/>
      <c r="D43" s="13"/>
      <c r="E43" s="13" t="s">
        <v>37</v>
      </c>
      <c r="F43" s="13" t="s">
        <v>372</v>
      </c>
      <c r="G43" s="199">
        <v>4072068</v>
      </c>
      <c r="H43" s="199">
        <f>3733995-84730</f>
        <v>3649265</v>
      </c>
      <c r="I43" s="49">
        <f>H43/G43*100</f>
        <v>89.61699559044692</v>
      </c>
    </row>
    <row r="44" spans="1:9" ht="33.75" customHeight="1">
      <c r="A44" s="53"/>
      <c r="B44" s="53"/>
      <c r="C44" s="365" t="s">
        <v>71</v>
      </c>
      <c r="D44" s="365"/>
      <c r="E44" s="365"/>
      <c r="F44" s="365"/>
      <c r="G44" s="202">
        <f>SUM(G38:G43)</f>
        <v>9419748</v>
      </c>
      <c r="H44" s="202">
        <f>SUM(H38:H43)</f>
        <v>9739425</v>
      </c>
      <c r="I44" s="49">
        <f>H44/G44*100</f>
        <v>103.39368951271308</v>
      </c>
    </row>
    <row r="45" spans="1:9" ht="3" customHeight="1">
      <c r="A45" s="53"/>
      <c r="B45" s="53"/>
      <c r="C45" s="186"/>
      <c r="D45" s="186"/>
      <c r="E45" s="186"/>
      <c r="F45" s="186"/>
      <c r="G45" s="202"/>
      <c r="H45" s="199"/>
      <c r="I45" s="49"/>
    </row>
    <row r="46" spans="1:9" ht="14.25" customHeight="1">
      <c r="A46" s="13"/>
      <c r="B46" s="13"/>
      <c r="C46" s="11" t="s">
        <v>68</v>
      </c>
      <c r="D46" s="353" t="s">
        <v>72</v>
      </c>
      <c r="E46" s="353"/>
      <c r="F46" s="353"/>
      <c r="G46" s="203"/>
      <c r="H46" s="199"/>
      <c r="I46" s="49"/>
    </row>
    <row r="47" spans="1:9" ht="15.75">
      <c r="A47" s="13"/>
      <c r="B47" s="13"/>
      <c r="C47" s="13"/>
      <c r="D47" s="13" t="s">
        <v>24</v>
      </c>
      <c r="E47" s="364" t="s">
        <v>34</v>
      </c>
      <c r="F47" s="364"/>
      <c r="G47" s="204"/>
      <c r="H47" s="199"/>
      <c r="I47" s="49"/>
    </row>
    <row r="48" spans="1:9" ht="31.5">
      <c r="A48" s="13"/>
      <c r="B48" s="13"/>
      <c r="C48" s="13"/>
      <c r="D48" s="13"/>
      <c r="E48" s="13" t="s">
        <v>39</v>
      </c>
      <c r="F48" s="50" t="s">
        <v>73</v>
      </c>
      <c r="G48" s="204">
        <v>1800000</v>
      </c>
      <c r="H48" s="199">
        <f>1800000+319060</f>
        <v>2119060</v>
      </c>
      <c r="I48" s="49">
        <f>H48/G48*100</f>
        <v>117.72555555555554</v>
      </c>
    </row>
    <row r="49" spans="1:9" ht="30" customHeight="1">
      <c r="A49" s="53"/>
      <c r="B49" s="53"/>
      <c r="C49" s="366" t="s">
        <v>74</v>
      </c>
      <c r="D49" s="366"/>
      <c r="E49" s="366"/>
      <c r="F49" s="366"/>
      <c r="G49" s="202">
        <f>SUM(G48:G48)</f>
        <v>1800000</v>
      </c>
      <c r="H49" s="202">
        <f>SUM(H48:H48)</f>
        <v>2119060</v>
      </c>
      <c r="I49" s="49">
        <f>H49/G49*100</f>
        <v>117.72555555555554</v>
      </c>
    </row>
    <row r="50" spans="1:9" ht="15.75">
      <c r="A50" s="55"/>
      <c r="B50" s="353" t="s">
        <v>77</v>
      </c>
      <c r="C50" s="353"/>
      <c r="D50" s="353"/>
      <c r="E50" s="353"/>
      <c r="F50" s="353"/>
      <c r="G50" s="207">
        <f>G36+G44+G49</f>
        <v>31017138</v>
      </c>
      <c r="H50" s="207">
        <f>H36+H44+H49</f>
        <v>35714003</v>
      </c>
      <c r="I50" s="49">
        <f>H50/G50*100</f>
        <v>115.14280589008567</v>
      </c>
    </row>
    <row r="51" spans="1:9" ht="31.5">
      <c r="A51" s="55"/>
      <c r="B51" s="46" t="s">
        <v>32</v>
      </c>
      <c r="C51" s="353" t="s">
        <v>444</v>
      </c>
      <c r="D51" s="371"/>
      <c r="E51" s="371"/>
      <c r="F51" s="371"/>
      <c r="G51" s="207"/>
      <c r="H51" s="207"/>
      <c r="I51" s="49"/>
    </row>
    <row r="52" spans="1:9" ht="15.75">
      <c r="A52" s="55"/>
      <c r="B52" s="57"/>
      <c r="C52" s="57" t="s">
        <v>24</v>
      </c>
      <c r="D52" s="364" t="s">
        <v>453</v>
      </c>
      <c r="E52" s="367"/>
      <c r="F52" s="367"/>
      <c r="G52" s="330"/>
      <c r="H52" s="330">
        <v>32100</v>
      </c>
      <c r="I52" s="49"/>
    </row>
    <row r="53" spans="1:9" ht="15.75" customHeight="1">
      <c r="A53" s="55"/>
      <c r="B53" s="57"/>
      <c r="C53" s="57" t="s">
        <v>15</v>
      </c>
      <c r="D53" s="364" t="s">
        <v>446</v>
      </c>
      <c r="E53" s="367"/>
      <c r="F53" s="367"/>
      <c r="G53" s="330"/>
      <c r="H53" s="330">
        <v>128360</v>
      </c>
      <c r="I53" s="49"/>
    </row>
    <row r="54" spans="1:9" ht="15.75">
      <c r="A54" s="55"/>
      <c r="B54" s="57"/>
      <c r="C54" s="364" t="s">
        <v>451</v>
      </c>
      <c r="D54" s="367"/>
      <c r="E54" s="367"/>
      <c r="F54" s="367"/>
      <c r="G54" s="330"/>
      <c r="H54" s="330"/>
      <c r="I54" s="49"/>
    </row>
    <row r="55" spans="1:9" ht="15.75">
      <c r="A55" s="55"/>
      <c r="B55" s="57"/>
      <c r="C55" s="364" t="s">
        <v>452</v>
      </c>
      <c r="D55" s="367"/>
      <c r="E55" s="367"/>
      <c r="F55" s="367"/>
      <c r="G55" s="330"/>
      <c r="H55" s="330"/>
      <c r="I55" s="49"/>
    </row>
    <row r="56" spans="1:18" ht="15.75">
      <c r="A56" s="55"/>
      <c r="B56" s="365" t="s">
        <v>445</v>
      </c>
      <c r="C56" s="368"/>
      <c r="D56" s="368"/>
      <c r="E56" s="368"/>
      <c r="F56" s="368"/>
      <c r="G56" s="331"/>
      <c r="H56" s="331">
        <f>H52+H54+H55+H53</f>
        <v>160460</v>
      </c>
      <c r="I56" s="49"/>
      <c r="R56" s="8">
        <v>7</v>
      </c>
    </row>
    <row r="57" spans="1:9" ht="15.75" customHeight="1">
      <c r="A57" s="13"/>
      <c r="B57" s="13"/>
      <c r="C57" s="13"/>
      <c r="D57" s="13"/>
      <c r="E57" s="13"/>
      <c r="F57" s="13"/>
      <c r="G57" s="205"/>
      <c r="H57" s="199"/>
      <c r="I57" s="49"/>
    </row>
    <row r="58" spans="1:9" ht="36" customHeight="1">
      <c r="A58" s="353" t="s">
        <v>78</v>
      </c>
      <c r="B58" s="353"/>
      <c r="C58" s="353"/>
      <c r="D58" s="353"/>
      <c r="E58" s="353"/>
      <c r="F58" s="353"/>
      <c r="G58" s="208">
        <f>G50</f>
        <v>31017138</v>
      </c>
      <c r="H58" s="208">
        <f>H50+H56</f>
        <v>35874463</v>
      </c>
      <c r="I58" s="49">
        <f>H58/G58*100</f>
        <v>115.6601327949729</v>
      </c>
    </row>
    <row r="59" spans="1:9" s="37" customFormat="1" ht="32.25" customHeight="1">
      <c r="A59" s="11" t="s">
        <v>32</v>
      </c>
      <c r="B59" s="353" t="s">
        <v>79</v>
      </c>
      <c r="C59" s="353"/>
      <c r="D59" s="353"/>
      <c r="E59" s="353"/>
      <c r="F59" s="353"/>
      <c r="G59" s="208">
        <v>15833638</v>
      </c>
      <c r="H59" s="203"/>
      <c r="I59" s="49"/>
    </row>
    <row r="60" spans="1:9" ht="11.25" customHeight="1">
      <c r="A60" s="46"/>
      <c r="B60" s="46"/>
      <c r="C60" s="46"/>
      <c r="D60" s="46"/>
      <c r="E60" s="46"/>
      <c r="F60" s="46"/>
      <c r="G60" s="207"/>
      <c r="H60" s="207"/>
      <c r="I60" s="49"/>
    </row>
    <row r="61" spans="1:9" ht="15.75">
      <c r="A61" s="11" t="s">
        <v>33</v>
      </c>
      <c r="B61" s="11" t="s">
        <v>80</v>
      </c>
      <c r="C61" s="11"/>
      <c r="D61" s="11"/>
      <c r="E61" s="11"/>
      <c r="F61" s="11"/>
      <c r="G61" s="209"/>
      <c r="H61" s="210"/>
      <c r="I61" s="49"/>
    </row>
    <row r="62" spans="1:9" ht="15.75">
      <c r="A62" s="13"/>
      <c r="B62" s="13" t="s">
        <v>24</v>
      </c>
      <c r="C62" s="13" t="s">
        <v>81</v>
      </c>
      <c r="D62" s="13"/>
      <c r="E62" s="13"/>
      <c r="F62" s="13"/>
      <c r="G62" s="211"/>
      <c r="H62" s="205"/>
      <c r="I62" s="49"/>
    </row>
    <row r="63" spans="1:9" ht="15.75">
      <c r="A63" s="13"/>
      <c r="B63" s="13"/>
      <c r="C63" s="13" t="s">
        <v>24</v>
      </c>
      <c r="D63" s="13" t="s">
        <v>82</v>
      </c>
      <c r="E63" s="13"/>
      <c r="F63" s="13"/>
      <c r="G63" s="205">
        <v>1500000</v>
      </c>
      <c r="H63" s="199">
        <v>1500000</v>
      </c>
      <c r="I63" s="49">
        <f>H63/G63*100</f>
        <v>100</v>
      </c>
    </row>
    <row r="64" spans="1:9" ht="15.75">
      <c r="A64" s="11"/>
      <c r="B64" s="11" t="s">
        <v>15</v>
      </c>
      <c r="C64" s="11" t="s">
        <v>83</v>
      </c>
      <c r="D64" s="11"/>
      <c r="E64" s="11"/>
      <c r="F64" s="11"/>
      <c r="G64" s="210"/>
      <c r="H64" s="199"/>
      <c r="I64" s="49"/>
    </row>
    <row r="65" spans="1:9" s="9" customFormat="1" ht="15.75">
      <c r="A65" s="13"/>
      <c r="B65" s="13"/>
      <c r="C65" s="13" t="s">
        <v>24</v>
      </c>
      <c r="D65" s="13" t="s">
        <v>84</v>
      </c>
      <c r="E65" s="13"/>
      <c r="F65" s="13"/>
      <c r="G65" s="205">
        <v>3900000</v>
      </c>
      <c r="H65" s="323">
        <v>4200000</v>
      </c>
      <c r="I65" s="49">
        <f>H65/G65*100</f>
        <v>107.6923076923077</v>
      </c>
    </row>
    <row r="66" spans="1:9" ht="15.75">
      <c r="A66" s="11"/>
      <c r="B66" s="11" t="s">
        <v>25</v>
      </c>
      <c r="C66" s="11" t="s">
        <v>85</v>
      </c>
      <c r="D66" s="11"/>
      <c r="E66" s="11"/>
      <c r="F66" s="11"/>
      <c r="G66" s="210"/>
      <c r="H66" s="199"/>
      <c r="I66" s="49"/>
    </row>
    <row r="67" spans="1:9" ht="15.75">
      <c r="A67" s="13"/>
      <c r="B67" s="13"/>
      <c r="C67" s="13" t="s">
        <v>24</v>
      </c>
      <c r="D67" s="13" t="s">
        <v>86</v>
      </c>
      <c r="E67" s="13"/>
      <c r="F67" s="13"/>
      <c r="G67" s="205">
        <v>1913000</v>
      </c>
      <c r="H67" s="199"/>
      <c r="I67" s="49"/>
    </row>
    <row r="68" spans="1:9" ht="15.75">
      <c r="A68" s="13"/>
      <c r="B68" s="11" t="s">
        <v>68</v>
      </c>
      <c r="C68" s="11" t="s">
        <v>87</v>
      </c>
      <c r="D68" s="13"/>
      <c r="E68" s="13"/>
      <c r="F68" s="13"/>
      <c r="G68" s="205"/>
      <c r="H68" s="199"/>
      <c r="I68" s="49"/>
    </row>
    <row r="69" spans="1:9" ht="15.75">
      <c r="A69" s="13"/>
      <c r="B69" s="13"/>
      <c r="C69" s="13" t="s">
        <v>24</v>
      </c>
      <c r="D69" s="13" t="s">
        <v>88</v>
      </c>
      <c r="E69" s="13"/>
      <c r="F69" s="13"/>
      <c r="G69" s="205">
        <v>140000</v>
      </c>
      <c r="H69" s="199">
        <f>140000-71944</f>
        <v>68056</v>
      </c>
      <c r="I69" s="49">
        <f>H69/G69*100</f>
        <v>48.611428571428576</v>
      </c>
    </row>
    <row r="70" spans="1:9" ht="15.75">
      <c r="A70" s="13"/>
      <c r="B70" s="13"/>
      <c r="C70" s="11" t="s">
        <v>15</v>
      </c>
      <c r="D70" s="13" t="s">
        <v>49</v>
      </c>
      <c r="E70" s="13"/>
      <c r="F70" s="13"/>
      <c r="G70" s="205">
        <v>280000</v>
      </c>
      <c r="H70" s="199">
        <v>280000</v>
      </c>
      <c r="I70" s="49">
        <f>H70/G70*100</f>
        <v>100</v>
      </c>
    </row>
    <row r="71" spans="1:9" ht="15.75">
      <c r="A71" s="11"/>
      <c r="B71" s="11" t="s">
        <v>69</v>
      </c>
      <c r="C71" s="11" t="s">
        <v>89</v>
      </c>
      <c r="D71" s="11"/>
      <c r="E71" s="11"/>
      <c r="F71" s="11"/>
      <c r="G71" s="210"/>
      <c r="H71" s="199"/>
      <c r="I71" s="49"/>
    </row>
    <row r="72" spans="1:9" ht="15.75">
      <c r="A72" s="13"/>
      <c r="B72" s="13"/>
      <c r="C72" s="11" t="s">
        <v>24</v>
      </c>
      <c r="D72" s="13" t="s">
        <v>90</v>
      </c>
      <c r="E72" s="13"/>
      <c r="F72" s="13"/>
      <c r="G72" s="205">
        <v>5000</v>
      </c>
      <c r="H72" s="199">
        <v>5000</v>
      </c>
      <c r="I72" s="49">
        <f>H72/G72*100</f>
        <v>100</v>
      </c>
    </row>
    <row r="73" spans="1:9" ht="15.75" customHeight="1">
      <c r="A73" s="55"/>
      <c r="B73" s="55"/>
      <c r="C73" s="55" t="s">
        <v>25</v>
      </c>
      <c r="D73" s="58" t="s">
        <v>89</v>
      </c>
      <c r="E73" s="55"/>
      <c r="F73" s="55"/>
      <c r="G73" s="206"/>
      <c r="H73" s="199"/>
      <c r="I73" s="49"/>
    </row>
    <row r="74" spans="1:9" ht="15.75">
      <c r="A74" s="13"/>
      <c r="B74" s="13"/>
      <c r="C74" s="11" t="s">
        <v>68</v>
      </c>
      <c r="D74" s="13" t="s">
        <v>91</v>
      </c>
      <c r="E74" s="13"/>
      <c r="F74" s="13"/>
      <c r="G74" s="205">
        <v>75000</v>
      </c>
      <c r="H74" s="199">
        <v>75000</v>
      </c>
      <c r="I74" s="49">
        <f>H74/G74*100</f>
        <v>100</v>
      </c>
    </row>
    <row r="75" spans="1:9" ht="9" customHeight="1">
      <c r="A75" s="55"/>
      <c r="B75" s="55"/>
      <c r="C75" s="55"/>
      <c r="D75" s="55"/>
      <c r="E75" s="55"/>
      <c r="F75" s="55"/>
      <c r="G75" s="206"/>
      <c r="H75" s="199"/>
      <c r="I75" s="49"/>
    </row>
    <row r="76" spans="1:9" s="9" customFormat="1" ht="15.75">
      <c r="A76" s="11" t="s">
        <v>41</v>
      </c>
      <c r="B76" s="55"/>
      <c r="C76" s="55"/>
      <c r="D76" s="55"/>
      <c r="E76" s="55"/>
      <c r="F76" s="55"/>
      <c r="G76" s="207">
        <f>G63+G65+G67+G69+G70+G72+G73+G74</f>
        <v>7813000</v>
      </c>
      <c r="H76" s="207">
        <f>H63+H65+H67+H69+H70+H72+H73+H74</f>
        <v>6128056</v>
      </c>
      <c r="I76" s="49">
        <f>H76/G76*100</f>
        <v>78.43409701779086</v>
      </c>
    </row>
    <row r="77" spans="1:9" ht="12.75" customHeight="1">
      <c r="A77" s="55"/>
      <c r="B77" s="55"/>
      <c r="C77" s="55"/>
      <c r="D77" s="55"/>
      <c r="E77" s="55"/>
      <c r="F77" s="55"/>
      <c r="G77" s="206"/>
      <c r="H77" s="206"/>
      <c r="I77" s="49"/>
    </row>
    <row r="78" spans="1:9" ht="15.75">
      <c r="A78" s="11" t="s">
        <v>92</v>
      </c>
      <c r="B78" s="11" t="s">
        <v>35</v>
      </c>
      <c r="C78" s="11"/>
      <c r="D78" s="11"/>
      <c r="E78" s="11"/>
      <c r="F78" s="11"/>
      <c r="G78" s="209"/>
      <c r="H78" s="210"/>
      <c r="I78" s="49"/>
    </row>
    <row r="79" spans="1:9" ht="15.75">
      <c r="A79" s="55"/>
      <c r="B79" s="55" t="s">
        <v>24</v>
      </c>
      <c r="C79" s="369" t="s">
        <v>93</v>
      </c>
      <c r="D79" s="369"/>
      <c r="E79" s="369"/>
      <c r="F79" s="369"/>
      <c r="G79" s="206"/>
      <c r="H79" s="206"/>
      <c r="I79" s="49"/>
    </row>
    <row r="80" spans="1:9" ht="15.75">
      <c r="A80" s="55"/>
      <c r="B80" s="55"/>
      <c r="C80" s="55" t="s">
        <v>24</v>
      </c>
      <c r="D80" s="58" t="s">
        <v>104</v>
      </c>
      <c r="E80" s="58"/>
      <c r="F80" s="58"/>
      <c r="G80" s="206">
        <v>282128</v>
      </c>
      <c r="H80" s="199">
        <v>334191</v>
      </c>
      <c r="I80" s="49">
        <f>H80/G80*100</f>
        <v>118.45368059887711</v>
      </c>
    </row>
    <row r="81" spans="1:9" ht="15.75">
      <c r="A81" s="55"/>
      <c r="B81" s="55"/>
      <c r="C81" s="55" t="s">
        <v>15</v>
      </c>
      <c r="D81" s="58" t="s">
        <v>96</v>
      </c>
      <c r="E81" s="58"/>
      <c r="F81" s="58"/>
      <c r="G81" s="206"/>
      <c r="H81" s="269"/>
      <c r="I81" s="49"/>
    </row>
    <row r="82" spans="1:9" ht="15.75">
      <c r="A82" s="55"/>
      <c r="B82" s="55"/>
      <c r="C82" s="55"/>
      <c r="D82" s="58" t="s">
        <v>24</v>
      </c>
      <c r="E82" s="58" t="s">
        <v>97</v>
      </c>
      <c r="F82" s="58"/>
      <c r="G82" s="206">
        <v>20000</v>
      </c>
      <c r="H82" s="199">
        <f>20000+735000</f>
        <v>755000</v>
      </c>
      <c r="I82" s="49">
        <f>H82/G82*100</f>
        <v>3775</v>
      </c>
    </row>
    <row r="83" spans="1:9" ht="15.75">
      <c r="A83" s="55"/>
      <c r="B83" s="55"/>
      <c r="C83" s="55"/>
      <c r="D83" s="58" t="s">
        <v>15</v>
      </c>
      <c r="E83" s="58" t="s">
        <v>98</v>
      </c>
      <c r="F83" s="58"/>
      <c r="G83" s="206">
        <v>64680</v>
      </c>
      <c r="H83" s="199">
        <v>275000</v>
      </c>
      <c r="I83" s="49">
        <f>H83/G83*100</f>
        <v>425.17006802721085</v>
      </c>
    </row>
    <row r="84" spans="1:9" ht="15.75">
      <c r="A84" s="55"/>
      <c r="B84" s="55"/>
      <c r="C84" s="55"/>
      <c r="D84" s="58" t="s">
        <v>25</v>
      </c>
      <c r="E84" s="58" t="s">
        <v>99</v>
      </c>
      <c r="F84" s="58"/>
      <c r="G84" s="206">
        <v>2000</v>
      </c>
      <c r="H84" s="199">
        <v>2000</v>
      </c>
      <c r="I84" s="49">
        <f>H84/G84*100</f>
        <v>100</v>
      </c>
    </row>
    <row r="85" spans="1:9" ht="15.75">
      <c r="A85" s="55"/>
      <c r="B85" s="55"/>
      <c r="C85" s="55"/>
      <c r="D85" s="58" t="s">
        <v>68</v>
      </c>
      <c r="E85" s="58" t="s">
        <v>100</v>
      </c>
      <c r="F85" s="58"/>
      <c r="G85" s="206">
        <v>203028</v>
      </c>
      <c r="H85" s="199">
        <v>203028</v>
      </c>
      <c r="I85" s="49">
        <f>H85/G85*100</f>
        <v>100</v>
      </c>
    </row>
    <row r="86" spans="1:9" ht="15.75">
      <c r="A86" s="55"/>
      <c r="B86" s="55"/>
      <c r="C86" s="55" t="s">
        <v>25</v>
      </c>
      <c r="D86" s="58" t="s">
        <v>120</v>
      </c>
      <c r="E86" s="58"/>
      <c r="F86" s="58"/>
      <c r="G86" s="206"/>
      <c r="H86" s="269"/>
      <c r="I86" s="49"/>
    </row>
    <row r="87" spans="1:9" ht="15.75">
      <c r="A87" s="55"/>
      <c r="B87" s="55"/>
      <c r="D87" s="55" t="s">
        <v>24</v>
      </c>
      <c r="E87" s="58" t="s">
        <v>94</v>
      </c>
      <c r="F87" s="55"/>
      <c r="G87" s="206">
        <v>41000</v>
      </c>
      <c r="H87" s="199">
        <v>41000</v>
      </c>
      <c r="I87" s="49">
        <f>H87/G87*100</f>
        <v>100</v>
      </c>
    </row>
    <row r="88" spans="1:9" ht="15.75">
      <c r="A88" s="55"/>
      <c r="B88" s="55"/>
      <c r="D88" s="55" t="s">
        <v>15</v>
      </c>
      <c r="E88" s="58" t="s">
        <v>95</v>
      </c>
      <c r="F88" s="58"/>
      <c r="G88" s="206">
        <v>411746</v>
      </c>
      <c r="H88" s="199">
        <v>220191</v>
      </c>
      <c r="I88" s="49">
        <f>H88/G88*100</f>
        <v>53.477386544131576</v>
      </c>
    </row>
    <row r="89" spans="4:9" ht="15.75">
      <c r="D89" s="29" t="s">
        <v>25</v>
      </c>
      <c r="E89" s="58" t="s">
        <v>42</v>
      </c>
      <c r="G89" s="206">
        <v>521023</v>
      </c>
      <c r="H89" s="199">
        <v>521023</v>
      </c>
      <c r="I89" s="49">
        <f>H89/G89*100</f>
        <v>100</v>
      </c>
    </row>
    <row r="90" spans="1:9" ht="15.75">
      <c r="A90" s="55"/>
      <c r="B90" s="55" t="s">
        <v>15</v>
      </c>
      <c r="C90" s="58" t="s">
        <v>101</v>
      </c>
      <c r="D90" s="58"/>
      <c r="E90" s="58"/>
      <c r="F90" s="58"/>
      <c r="G90" s="206"/>
      <c r="H90" s="269"/>
      <c r="I90" s="49"/>
    </row>
    <row r="91" spans="1:9" ht="15.75">
      <c r="A91" s="55"/>
      <c r="B91" s="55"/>
      <c r="C91" s="55" t="s">
        <v>24</v>
      </c>
      <c r="D91" s="58" t="s">
        <v>102</v>
      </c>
      <c r="E91" s="58"/>
      <c r="F91" s="58"/>
      <c r="G91" s="206">
        <v>4156873</v>
      </c>
      <c r="H91" s="199">
        <v>4156873</v>
      </c>
      <c r="I91" s="49">
        <f>H91/G91*100</f>
        <v>100</v>
      </c>
    </row>
    <row r="92" spans="1:9" ht="15.75">
      <c r="A92" s="55"/>
      <c r="B92" s="55" t="s">
        <v>25</v>
      </c>
      <c r="C92" s="58" t="s">
        <v>103</v>
      </c>
      <c r="D92" s="58"/>
      <c r="E92" s="58"/>
      <c r="F92" s="58"/>
      <c r="G92" s="206"/>
      <c r="H92" s="269"/>
      <c r="I92" s="49"/>
    </row>
    <row r="93" spans="1:9" ht="15.75">
      <c r="A93" s="55"/>
      <c r="B93" s="55"/>
      <c r="C93" s="55" t="s">
        <v>24</v>
      </c>
      <c r="D93" s="58" t="s">
        <v>48</v>
      </c>
      <c r="E93" s="58"/>
      <c r="F93" s="58"/>
      <c r="G93" s="206">
        <v>1098372</v>
      </c>
      <c r="H93" s="199">
        <v>1089620</v>
      </c>
      <c r="I93" s="49">
        <f aca="true" t="shared" si="0" ref="I93:I98">H93/G93*100</f>
        <v>99.20318434920046</v>
      </c>
    </row>
    <row r="94" spans="1:9" ht="15.75">
      <c r="A94" s="55"/>
      <c r="B94" s="55" t="s">
        <v>68</v>
      </c>
      <c r="C94" s="58" t="s">
        <v>105</v>
      </c>
      <c r="D94" s="55"/>
      <c r="E94" s="55"/>
      <c r="F94" s="55"/>
      <c r="G94" s="206">
        <v>1818495</v>
      </c>
      <c r="H94" s="199">
        <f>1122355+59452+90232+140676+294197+10800+253808</f>
        <v>1971520</v>
      </c>
      <c r="I94" s="49">
        <f t="shared" si="0"/>
        <v>108.4149255290776</v>
      </c>
    </row>
    <row r="95" spans="1:9" ht="15.75">
      <c r="A95" s="55"/>
      <c r="B95" s="55" t="s">
        <v>69</v>
      </c>
      <c r="C95" s="58" t="s">
        <v>106</v>
      </c>
      <c r="D95" s="55"/>
      <c r="E95" s="55"/>
      <c r="F95" s="55"/>
      <c r="G95" s="206">
        <v>1484220</v>
      </c>
      <c r="H95" s="199">
        <f>1004191+59452+97770+81475+211836</f>
        <v>1454724</v>
      </c>
      <c r="I95" s="49">
        <f t="shared" si="0"/>
        <v>98.01269353599871</v>
      </c>
    </row>
    <row r="96" spans="1:9" ht="24.75" customHeight="1">
      <c r="A96" s="55"/>
      <c r="B96" s="55" t="s">
        <v>75</v>
      </c>
      <c r="C96" s="58" t="s">
        <v>107</v>
      </c>
      <c r="D96" s="55"/>
      <c r="E96" s="55"/>
      <c r="F96" s="55"/>
      <c r="G96" s="206">
        <v>2000</v>
      </c>
      <c r="H96" s="199"/>
      <c r="I96" s="49"/>
    </row>
    <row r="97" spans="1:9" ht="19.5" customHeight="1">
      <c r="A97" s="55"/>
      <c r="B97" s="231" t="s">
        <v>201</v>
      </c>
      <c r="C97" s="369" t="s">
        <v>331</v>
      </c>
      <c r="D97" s="369"/>
      <c r="E97" s="369"/>
      <c r="F97" s="369"/>
      <c r="G97" s="206"/>
      <c r="H97" s="199"/>
      <c r="I97" s="49"/>
    </row>
    <row r="98" spans="1:11" ht="15.75">
      <c r="A98" s="11" t="s">
        <v>14</v>
      </c>
      <c r="B98" s="55"/>
      <c r="C98" s="55"/>
      <c r="D98" s="55"/>
      <c r="E98" s="55"/>
      <c r="F98" s="55"/>
      <c r="G98" s="207">
        <f>SUM(G79:G97)</f>
        <v>10105565</v>
      </c>
      <c r="H98" s="314">
        <f>SUM(H79:H97)</f>
        <v>11024170</v>
      </c>
      <c r="I98" s="49">
        <f t="shared" si="0"/>
        <v>109.09009046005839</v>
      </c>
      <c r="K98" s="198"/>
    </row>
    <row r="99" spans="1:9" ht="1.5" customHeight="1">
      <c r="A99" s="55"/>
      <c r="B99" s="55"/>
      <c r="C99" s="55"/>
      <c r="D99" s="55"/>
      <c r="E99" s="55"/>
      <c r="F99" s="55"/>
      <c r="G99" s="206"/>
      <c r="H99" s="269"/>
      <c r="I99" s="49"/>
    </row>
    <row r="100" spans="1:9" ht="1.5" customHeight="1">
      <c r="A100" s="55"/>
      <c r="B100" s="55"/>
      <c r="C100" s="55"/>
      <c r="D100" s="55"/>
      <c r="E100" s="55"/>
      <c r="F100" s="55"/>
      <c r="G100" s="206"/>
      <c r="H100" s="269"/>
      <c r="I100" s="49"/>
    </row>
    <row r="101" spans="1:9" ht="1.5" customHeight="1">
      <c r="A101" s="55"/>
      <c r="B101" s="55"/>
      <c r="C101" s="55"/>
      <c r="D101" s="55"/>
      <c r="E101" s="55"/>
      <c r="F101" s="55"/>
      <c r="G101" s="206"/>
      <c r="H101" s="269"/>
      <c r="I101" s="49"/>
    </row>
    <row r="102" spans="1:9" ht="3.75" customHeight="1">
      <c r="A102" s="55"/>
      <c r="B102" s="55"/>
      <c r="C102" s="55"/>
      <c r="D102" s="55"/>
      <c r="E102" s="55"/>
      <c r="F102" s="55"/>
      <c r="G102" s="206"/>
      <c r="H102" s="269"/>
      <c r="I102" s="49"/>
    </row>
    <row r="103" spans="1:9" ht="15.75">
      <c r="A103" s="11" t="s">
        <v>40</v>
      </c>
      <c r="B103" s="11" t="s">
        <v>108</v>
      </c>
      <c r="C103" s="11"/>
      <c r="D103" s="11"/>
      <c r="E103" s="11"/>
      <c r="F103" s="11"/>
      <c r="G103" s="210"/>
      <c r="H103" s="269"/>
      <c r="I103" s="49"/>
    </row>
    <row r="104" spans="1:9" ht="27.75" customHeight="1">
      <c r="A104" s="13"/>
      <c r="B104" s="13" t="s">
        <v>24</v>
      </c>
      <c r="C104" s="364" t="s">
        <v>408</v>
      </c>
      <c r="D104" s="364"/>
      <c r="E104" s="364"/>
      <c r="F104" s="364"/>
      <c r="G104" s="204"/>
      <c r="H104" s="199">
        <v>1952679</v>
      </c>
      <c r="I104" s="49"/>
    </row>
    <row r="105" spans="1:9" ht="23.25" customHeight="1">
      <c r="A105" s="13"/>
      <c r="B105" s="13"/>
      <c r="C105" s="57" t="s">
        <v>24</v>
      </c>
      <c r="D105" s="364" t="s">
        <v>109</v>
      </c>
      <c r="E105" s="364"/>
      <c r="F105" s="364"/>
      <c r="G105" s="204">
        <v>346850</v>
      </c>
      <c r="H105" s="199">
        <v>325200</v>
      </c>
      <c r="I105" s="49">
        <f>H105/G105*100</f>
        <v>93.75810869251838</v>
      </c>
    </row>
    <row r="106" spans="1:9" ht="39.75" customHeight="1">
      <c r="A106" s="55"/>
      <c r="B106" s="55" t="s">
        <v>409</v>
      </c>
      <c r="C106" s="370" t="s">
        <v>410</v>
      </c>
      <c r="D106" s="371"/>
      <c r="E106" s="371"/>
      <c r="F106" s="371"/>
      <c r="G106" s="206">
        <v>6000000</v>
      </c>
      <c r="H106" s="199">
        <v>6000000</v>
      </c>
      <c r="I106" s="49"/>
    </row>
    <row r="107" spans="1:9" ht="15.75">
      <c r="A107" s="373" t="s">
        <v>110</v>
      </c>
      <c r="B107" s="373"/>
      <c r="C107" s="373"/>
      <c r="D107" s="373"/>
      <c r="E107" s="373"/>
      <c r="F107" s="373"/>
      <c r="G107" s="209">
        <f>SUM(G105:G106)</f>
        <v>6346850</v>
      </c>
      <c r="H107" s="209">
        <f>SUM(H104:H106)</f>
        <v>8277879</v>
      </c>
      <c r="I107" s="49">
        <f>H107/G107*100</f>
        <v>130.42499822746717</v>
      </c>
    </row>
    <row r="108" spans="1:9" ht="14.25" customHeight="1">
      <c r="A108" s="55"/>
      <c r="B108" s="55"/>
      <c r="C108" s="55"/>
      <c r="D108" s="55"/>
      <c r="E108" s="55"/>
      <c r="F108" s="55"/>
      <c r="G108" s="206"/>
      <c r="H108" s="199"/>
      <c r="I108" s="49"/>
    </row>
    <row r="109" spans="1:9" ht="16.5">
      <c r="A109" s="60" t="s">
        <v>111</v>
      </c>
      <c r="B109" s="60"/>
      <c r="C109" s="60"/>
      <c r="D109" s="60"/>
      <c r="E109" s="60"/>
      <c r="F109" s="60"/>
      <c r="G109" s="209">
        <f>G107+G98+G76+G58+G59</f>
        <v>71116191</v>
      </c>
      <c r="H109" s="209">
        <f>H107+H98+H76+H58+H59</f>
        <v>61304568</v>
      </c>
      <c r="I109" s="49">
        <f>H109/G109*100</f>
        <v>86.20339072996752</v>
      </c>
    </row>
    <row r="110" spans="1:9" ht="16.5">
      <c r="A110" s="60"/>
      <c r="B110" s="60"/>
      <c r="C110" s="60"/>
      <c r="D110" s="60"/>
      <c r="E110" s="60"/>
      <c r="F110" s="60"/>
      <c r="G110" s="212"/>
      <c r="H110" s="199"/>
      <c r="I110" s="49"/>
    </row>
    <row r="111" spans="1:9" ht="15.75">
      <c r="A111" s="61" t="s">
        <v>112</v>
      </c>
      <c r="B111" s="353" t="s">
        <v>113</v>
      </c>
      <c r="C111" s="353"/>
      <c r="D111" s="353"/>
      <c r="E111" s="353"/>
      <c r="F111" s="353"/>
      <c r="G111" s="204"/>
      <c r="H111" s="199"/>
      <c r="I111" s="49"/>
    </row>
    <row r="112" spans="1:9" ht="15.75">
      <c r="A112" s="11"/>
      <c r="B112" s="46" t="s">
        <v>24</v>
      </c>
      <c r="C112" s="353" t="s">
        <v>114</v>
      </c>
      <c r="D112" s="353"/>
      <c r="E112" s="353"/>
      <c r="F112" s="353"/>
      <c r="G112" s="204"/>
      <c r="H112" s="199"/>
      <c r="I112" s="49"/>
    </row>
    <row r="113" spans="1:9" ht="36" customHeight="1">
      <c r="A113" s="11"/>
      <c r="B113" s="46"/>
      <c r="C113" s="57" t="s">
        <v>24</v>
      </c>
      <c r="D113" s="364" t="s">
        <v>414</v>
      </c>
      <c r="E113" s="364"/>
      <c r="F113" s="364"/>
      <c r="G113" s="204">
        <v>4976007</v>
      </c>
      <c r="H113" s="199">
        <f>90724266+663690</f>
        <v>91387956</v>
      </c>
      <c r="I113" s="49">
        <f>H113/G113*100</f>
        <v>1836.5720948543683</v>
      </c>
    </row>
    <row r="114" spans="1:9" ht="16.5" customHeight="1">
      <c r="A114" s="13"/>
      <c r="B114" s="13"/>
      <c r="C114" s="234" t="s">
        <v>15</v>
      </c>
      <c r="D114" s="372" t="s">
        <v>415</v>
      </c>
      <c r="E114" s="372"/>
      <c r="F114" s="372"/>
      <c r="G114" s="205"/>
      <c r="H114" s="199">
        <f>5484720+25+234696+104+964900+140000+289419</f>
        <v>7113864</v>
      </c>
      <c r="I114" s="49"/>
    </row>
    <row r="115" spans="1:9" ht="16.5" customHeight="1">
      <c r="A115" s="13"/>
      <c r="B115" s="13"/>
      <c r="C115" s="13" t="s">
        <v>25</v>
      </c>
      <c r="D115" s="372" t="s">
        <v>340</v>
      </c>
      <c r="E115" s="372"/>
      <c r="F115" s="372"/>
      <c r="G115" s="205">
        <v>1240566</v>
      </c>
      <c r="H115" s="313">
        <v>1449359</v>
      </c>
      <c r="I115" s="49">
        <f>H115/G115*100</f>
        <v>116.8304628693677</v>
      </c>
    </row>
    <row r="116" spans="1:9" ht="16.5" customHeight="1">
      <c r="A116" s="13"/>
      <c r="B116" s="13"/>
      <c r="C116" s="13" t="s">
        <v>68</v>
      </c>
      <c r="D116" s="372" t="s">
        <v>438</v>
      </c>
      <c r="E116" s="371"/>
      <c r="F116" s="371"/>
      <c r="G116" s="205"/>
      <c r="H116" s="313">
        <v>20902499</v>
      </c>
      <c r="I116" s="49"/>
    </row>
    <row r="117" spans="1:9" ht="16.5" customHeight="1">
      <c r="A117" s="13"/>
      <c r="B117" s="13"/>
      <c r="C117" s="13" t="s">
        <v>69</v>
      </c>
      <c r="D117" s="372" t="s">
        <v>437</v>
      </c>
      <c r="E117" s="371"/>
      <c r="F117" s="371"/>
      <c r="G117" s="205"/>
      <c r="H117" s="313">
        <v>822484</v>
      </c>
      <c r="I117" s="49"/>
    </row>
    <row r="118" spans="1:9" ht="16.5">
      <c r="A118" s="60" t="s">
        <v>113</v>
      </c>
      <c r="B118" s="60"/>
      <c r="C118" s="60"/>
      <c r="D118" s="60"/>
      <c r="E118" s="60"/>
      <c r="F118" s="60"/>
      <c r="G118" s="209">
        <f>G113+G114+G115</f>
        <v>6216573</v>
      </c>
      <c r="H118" s="209">
        <f>SUM(H113:H117)</f>
        <v>121676162</v>
      </c>
      <c r="I118" s="49">
        <f>H118/G118*100</f>
        <v>1957.2867880743938</v>
      </c>
    </row>
    <row r="119" spans="1:9" ht="15" customHeight="1">
      <c r="A119" s="13"/>
      <c r="B119" s="13"/>
      <c r="C119" s="13"/>
      <c r="D119" s="13"/>
      <c r="E119" s="13"/>
      <c r="F119" s="13"/>
      <c r="G119" s="213"/>
      <c r="H119" s="211"/>
      <c r="I119" s="49"/>
    </row>
    <row r="120" spans="1:9" ht="18.75">
      <c r="A120" s="12" t="s">
        <v>115</v>
      </c>
      <c r="B120" s="12"/>
      <c r="C120" s="12"/>
      <c r="D120" s="12"/>
      <c r="E120" s="12"/>
      <c r="F120" s="12"/>
      <c r="G120" s="209">
        <f>G109+G118</f>
        <v>77332764</v>
      </c>
      <c r="H120" s="209">
        <f>H109+H118</f>
        <v>182980730</v>
      </c>
      <c r="I120" s="49">
        <f>H120/G120*100</f>
        <v>236.61475490517833</v>
      </c>
    </row>
    <row r="121" spans="7:9" ht="15.75">
      <c r="G121" s="198"/>
      <c r="H121" s="198"/>
      <c r="I121" s="49"/>
    </row>
    <row r="122" spans="7:9" ht="15.75">
      <c r="G122" s="198"/>
      <c r="H122" s="198"/>
      <c r="I122" s="49"/>
    </row>
    <row r="123" spans="7:8" ht="15.75">
      <c r="G123" s="198"/>
      <c r="H123" s="198"/>
    </row>
    <row r="124" spans="7:8" ht="15.75">
      <c r="G124" s="198"/>
      <c r="H124" s="198"/>
    </row>
    <row r="125" spans="7:8" ht="15.75">
      <c r="G125" s="198"/>
      <c r="H125" s="198"/>
    </row>
    <row r="126" spans="7:8" ht="15.75">
      <c r="G126" s="198"/>
      <c r="H126" s="198"/>
    </row>
    <row r="127" spans="7:8" ht="15.75">
      <c r="G127" s="198"/>
      <c r="H127" s="198"/>
    </row>
    <row r="128" spans="7:8" ht="15.75">
      <c r="G128" s="198"/>
      <c r="H128" s="198"/>
    </row>
    <row r="129" spans="7:8" ht="15.75">
      <c r="G129" s="198"/>
      <c r="H129" s="198"/>
    </row>
    <row r="130" spans="7:8" ht="15.75">
      <c r="G130" s="198"/>
      <c r="H130" s="198"/>
    </row>
    <row r="131" spans="7:8" ht="15.75">
      <c r="G131" s="198"/>
      <c r="H131" s="198"/>
    </row>
    <row r="132" spans="7:8" ht="15.75">
      <c r="G132" s="198"/>
      <c r="H132" s="198"/>
    </row>
    <row r="133" spans="7:8" ht="15.75">
      <c r="G133" s="198"/>
      <c r="H133" s="198"/>
    </row>
    <row r="134" spans="7:8" ht="15.75">
      <c r="G134" s="198"/>
      <c r="H134" s="198"/>
    </row>
    <row r="135" spans="7:8" ht="15.75">
      <c r="G135" s="198"/>
      <c r="H135" s="198"/>
    </row>
    <row r="136" spans="7:8" ht="15.75">
      <c r="G136" s="198"/>
      <c r="H136" s="198"/>
    </row>
    <row r="137" spans="7:8" ht="15.75">
      <c r="G137" s="198"/>
      <c r="H137" s="198"/>
    </row>
    <row r="138" spans="7:8" ht="15.75">
      <c r="G138" s="198"/>
      <c r="H138" s="198"/>
    </row>
    <row r="139" spans="7:8" ht="15.75">
      <c r="G139" s="198"/>
      <c r="H139" s="198"/>
    </row>
    <row r="140" spans="7:8" ht="15.75">
      <c r="G140" s="198"/>
      <c r="H140" s="198"/>
    </row>
    <row r="141" spans="7:8" ht="15.75">
      <c r="G141" s="198"/>
      <c r="H141" s="198"/>
    </row>
    <row r="142" spans="7:8" ht="15.75">
      <c r="G142" s="198"/>
      <c r="H142" s="198"/>
    </row>
    <row r="143" spans="7:8" ht="15.75">
      <c r="G143" s="198"/>
      <c r="H143" s="198"/>
    </row>
    <row r="144" spans="7:8" ht="15.75">
      <c r="G144" s="198"/>
      <c r="H144" s="198"/>
    </row>
    <row r="145" spans="7:8" ht="15.75">
      <c r="G145" s="198"/>
      <c r="H145" s="198"/>
    </row>
    <row r="146" spans="7:8" ht="15.75">
      <c r="G146" s="198"/>
      <c r="H146" s="198"/>
    </row>
    <row r="147" spans="7:8" ht="15.75">
      <c r="G147" s="198"/>
      <c r="H147" s="198"/>
    </row>
    <row r="148" spans="7:8" ht="15.75">
      <c r="G148" s="198"/>
      <c r="H148" s="198"/>
    </row>
    <row r="149" spans="7:8" ht="15.75">
      <c r="G149" s="198"/>
      <c r="H149" s="198"/>
    </row>
    <row r="150" spans="7:8" ht="15.75">
      <c r="G150" s="198"/>
      <c r="H150" s="198"/>
    </row>
    <row r="151" spans="7:8" ht="15.75">
      <c r="G151" s="198"/>
      <c r="H151" s="198"/>
    </row>
    <row r="152" spans="7:8" ht="15.75">
      <c r="G152" s="198"/>
      <c r="H152" s="198"/>
    </row>
    <row r="153" spans="7:8" ht="15.75">
      <c r="G153" s="198"/>
      <c r="H153" s="198"/>
    </row>
    <row r="154" spans="7:8" ht="15.75">
      <c r="G154" s="198"/>
      <c r="H154" s="198"/>
    </row>
    <row r="155" spans="7:8" ht="15.75">
      <c r="G155" s="198"/>
      <c r="H155" s="198"/>
    </row>
  </sheetData>
  <sheetProtection/>
  <mergeCells count="41">
    <mergeCell ref="D116:F116"/>
    <mergeCell ref="D117:F117"/>
    <mergeCell ref="A1:I1"/>
    <mergeCell ref="D114:F114"/>
    <mergeCell ref="D115:F115"/>
    <mergeCell ref="C104:F104"/>
    <mergeCell ref="C112:F112"/>
    <mergeCell ref="D113:F113"/>
    <mergeCell ref="D53:F53"/>
    <mergeCell ref="A107:F107"/>
    <mergeCell ref="B111:F111"/>
    <mergeCell ref="A58:F58"/>
    <mergeCell ref="C79:F79"/>
    <mergeCell ref="B59:F59"/>
    <mergeCell ref="B50:F50"/>
    <mergeCell ref="C106:F106"/>
    <mergeCell ref="C51:F51"/>
    <mergeCell ref="D52:F52"/>
    <mergeCell ref="C54:F54"/>
    <mergeCell ref="E47:F47"/>
    <mergeCell ref="C49:F49"/>
    <mergeCell ref="D105:F105"/>
    <mergeCell ref="C55:F55"/>
    <mergeCell ref="B56:F56"/>
    <mergeCell ref="C44:F44"/>
    <mergeCell ref="C97:F97"/>
    <mergeCell ref="D46:F46"/>
    <mergeCell ref="E17:F17"/>
    <mergeCell ref="D34:F34"/>
    <mergeCell ref="D36:F36"/>
    <mergeCell ref="D37:F37"/>
    <mergeCell ref="E39:F39"/>
    <mergeCell ref="D16:F16"/>
    <mergeCell ref="A3:I3"/>
    <mergeCell ref="A8:I8"/>
    <mergeCell ref="B14:F14"/>
    <mergeCell ref="A10:F12"/>
    <mergeCell ref="A4:I4"/>
    <mergeCell ref="A5:I5"/>
    <mergeCell ref="A6:I6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.875" style="130" customWidth="1"/>
    <col min="2" max="2" width="9.125" style="130" customWidth="1"/>
    <col min="3" max="3" width="61.125" style="130" customWidth="1"/>
    <col min="4" max="7" width="26.25390625" style="130" customWidth="1"/>
    <col min="8" max="16384" width="9.125" style="130" customWidth="1"/>
  </cols>
  <sheetData>
    <row r="1" spans="1:7" ht="15.75">
      <c r="A1" s="377" t="s">
        <v>470</v>
      </c>
      <c r="B1" s="351"/>
      <c r="C1" s="351"/>
      <c r="D1" s="351"/>
      <c r="E1" s="351"/>
      <c r="F1" s="351"/>
      <c r="G1" s="351"/>
    </row>
    <row r="3" spans="1:7" s="122" customFormat="1" ht="15.75">
      <c r="A3" s="378" t="s">
        <v>430</v>
      </c>
      <c r="B3" s="349"/>
      <c r="C3" s="349"/>
      <c r="D3" s="349"/>
      <c r="E3" s="349"/>
      <c r="F3" s="349"/>
      <c r="G3" s="349"/>
    </row>
    <row r="4" spans="3:7" s="39" customFormat="1" ht="15" customHeight="1">
      <c r="C4" s="374"/>
      <c r="D4" s="374"/>
      <c r="E4" s="374"/>
      <c r="F4" s="374"/>
      <c r="G4" s="374"/>
    </row>
    <row r="5" spans="2:7" s="124" customFormat="1" ht="15" customHeight="1">
      <c r="B5" s="375"/>
      <c r="C5" s="375"/>
      <c r="D5" s="375"/>
      <c r="E5" s="375"/>
      <c r="F5" s="375"/>
      <c r="G5" s="375"/>
    </row>
    <row r="6" spans="2:7" s="78" customFormat="1" ht="15" customHeight="1">
      <c r="B6" s="375" t="s">
        <v>21</v>
      </c>
      <c r="C6" s="375"/>
      <c r="D6" s="375"/>
      <c r="E6" s="375"/>
      <c r="F6" s="375"/>
      <c r="G6" s="375"/>
    </row>
    <row r="7" spans="2:7" s="78" customFormat="1" ht="15.75" customHeight="1">
      <c r="B7" s="376" t="s">
        <v>242</v>
      </c>
      <c r="C7" s="376"/>
      <c r="D7" s="376"/>
      <c r="E7" s="376"/>
      <c r="F7" s="376"/>
      <c r="G7" s="376"/>
    </row>
    <row r="8" spans="3:7" s="78" customFormat="1" ht="15" customHeight="1">
      <c r="C8" s="375" t="s">
        <v>413</v>
      </c>
      <c r="D8" s="375"/>
      <c r="E8" s="375"/>
      <c r="F8" s="375"/>
      <c r="G8" s="375"/>
    </row>
    <row r="9" spans="3:7" s="122" customFormat="1" ht="12" customHeight="1" thickBot="1">
      <c r="C9" s="123"/>
      <c r="D9" s="127"/>
      <c r="E9" s="128"/>
      <c r="F9" s="128"/>
      <c r="G9" s="129"/>
    </row>
    <row r="10" spans="1:7" s="122" customFormat="1" ht="23.25" customHeight="1" thickBot="1">
      <c r="A10" s="379" t="s">
        <v>325</v>
      </c>
      <c r="B10" s="382" t="s">
        <v>144</v>
      </c>
      <c r="C10" s="385" t="s">
        <v>145</v>
      </c>
      <c r="D10" s="388" t="s">
        <v>243</v>
      </c>
      <c r="E10" s="391" t="s">
        <v>244</v>
      </c>
      <c r="F10" s="391"/>
      <c r="G10" s="392"/>
    </row>
    <row r="11" spans="1:7" s="122" customFormat="1" ht="39.75" customHeight="1" thickBot="1">
      <c r="A11" s="380"/>
      <c r="B11" s="383"/>
      <c r="C11" s="386"/>
      <c r="D11" s="389"/>
      <c r="E11" s="218" t="s">
        <v>245</v>
      </c>
      <c r="F11" s="219" t="s">
        <v>246</v>
      </c>
      <c r="G11" s="220" t="s">
        <v>247</v>
      </c>
    </row>
    <row r="12" spans="1:7" s="122" customFormat="1" ht="22.5" customHeight="1">
      <c r="A12" s="380"/>
      <c r="B12" s="383"/>
      <c r="C12" s="386"/>
      <c r="D12" s="389"/>
      <c r="E12" s="393" t="s">
        <v>248</v>
      </c>
      <c r="F12" s="394"/>
      <c r="G12" s="395"/>
    </row>
    <row r="13" spans="1:7" ht="21.75" customHeight="1" thickBot="1">
      <c r="A13" s="381"/>
      <c r="B13" s="384"/>
      <c r="C13" s="387"/>
      <c r="D13" s="390"/>
      <c r="E13" s="396"/>
      <c r="F13" s="397"/>
      <c r="G13" s="398"/>
    </row>
    <row r="14" spans="1:7" ht="30">
      <c r="A14" s="221" t="s">
        <v>24</v>
      </c>
      <c r="B14" s="214" t="s">
        <v>161</v>
      </c>
      <c r="C14" s="131" t="s">
        <v>162</v>
      </c>
      <c r="D14" s="132">
        <f>SUM(E14:G14)</f>
        <v>2282879</v>
      </c>
      <c r="E14" s="132">
        <v>5000</v>
      </c>
      <c r="F14" s="132">
        <v>2277879</v>
      </c>
      <c r="G14" s="133"/>
    </row>
    <row r="15" spans="1:7" ht="15">
      <c r="A15" s="217" t="s">
        <v>15</v>
      </c>
      <c r="B15" s="215" t="s">
        <v>163</v>
      </c>
      <c r="C15" s="73" t="s">
        <v>18</v>
      </c>
      <c r="D15" s="134">
        <f aca="true" t="shared" si="0" ref="D15:D23">SUM(E15:G15)</f>
        <v>51800</v>
      </c>
      <c r="E15" s="134">
        <v>51800</v>
      </c>
      <c r="F15" s="134"/>
      <c r="G15" s="135"/>
    </row>
    <row r="16" spans="1:7" ht="15">
      <c r="A16" s="217" t="s">
        <v>25</v>
      </c>
      <c r="B16" s="215" t="s">
        <v>164</v>
      </c>
      <c r="C16" s="73" t="s">
        <v>165</v>
      </c>
      <c r="D16" s="134">
        <f t="shared" si="0"/>
        <v>1488836</v>
      </c>
      <c r="E16" s="134">
        <v>275000</v>
      </c>
      <c r="F16" s="134">
        <v>1213836</v>
      </c>
      <c r="G16" s="135"/>
    </row>
    <row r="17" spans="1:7" ht="15">
      <c r="A17" s="217" t="s">
        <v>68</v>
      </c>
      <c r="B17" s="215" t="s">
        <v>249</v>
      </c>
      <c r="C17" s="73" t="s">
        <v>250</v>
      </c>
      <c r="D17" s="134">
        <f t="shared" si="0"/>
        <v>35874463</v>
      </c>
      <c r="E17" s="134">
        <f>36233972-700730+130720+467820+128360-417779+32100</f>
        <v>35874463</v>
      </c>
      <c r="F17" s="134"/>
      <c r="G17" s="135"/>
    </row>
    <row r="18" spans="1:7" ht="15">
      <c r="A18" s="217" t="s">
        <v>69</v>
      </c>
      <c r="B18" s="215" t="s">
        <v>327</v>
      </c>
      <c r="C18" s="73" t="s">
        <v>328</v>
      </c>
      <c r="D18" s="134">
        <f t="shared" si="0"/>
        <v>120853678</v>
      </c>
      <c r="E18" s="134">
        <f>98322035+25+234696+104+964900+20902499+140000+289419</f>
        <v>120853678</v>
      </c>
      <c r="F18" s="134"/>
      <c r="G18" s="135"/>
    </row>
    <row r="19" spans="1:7" ht="15">
      <c r="A19" s="217" t="s">
        <v>75</v>
      </c>
      <c r="B19" s="215" t="s">
        <v>329</v>
      </c>
      <c r="C19" s="73" t="s">
        <v>330</v>
      </c>
      <c r="D19" s="134">
        <f t="shared" si="0"/>
        <v>0</v>
      </c>
      <c r="E19" s="134"/>
      <c r="F19" s="134"/>
      <c r="G19" s="135"/>
    </row>
    <row r="20" spans="1:7" ht="15">
      <c r="A20" s="217" t="s">
        <v>201</v>
      </c>
      <c r="B20" s="215" t="s">
        <v>168</v>
      </c>
      <c r="C20" s="73" t="s">
        <v>169</v>
      </c>
      <c r="D20" s="134">
        <f t="shared" si="0"/>
        <v>6283419</v>
      </c>
      <c r="E20" s="134">
        <v>6283419</v>
      </c>
      <c r="F20" s="134"/>
      <c r="G20" s="135"/>
    </row>
    <row r="21" spans="1:7" ht="15">
      <c r="A21" s="217" t="s">
        <v>203</v>
      </c>
      <c r="B21" s="215" t="s">
        <v>176</v>
      </c>
      <c r="C21" s="73" t="s">
        <v>177</v>
      </c>
      <c r="D21" s="134">
        <f t="shared" si="0"/>
        <v>6000000</v>
      </c>
      <c r="E21" s="134">
        <v>6000000</v>
      </c>
      <c r="F21" s="134"/>
      <c r="G21" s="135"/>
    </row>
    <row r="22" spans="1:7" ht="15">
      <c r="A22" s="217" t="s">
        <v>205</v>
      </c>
      <c r="B22" s="216">
        <v>104051</v>
      </c>
      <c r="C22" s="73" t="s">
        <v>305</v>
      </c>
      <c r="D22" s="134">
        <f t="shared" si="0"/>
        <v>0</v>
      </c>
      <c r="E22" s="134"/>
      <c r="F22" s="134"/>
      <c r="G22" s="135"/>
    </row>
    <row r="23" spans="1:7" ht="30.75" thickBot="1">
      <c r="A23" s="217" t="s">
        <v>205</v>
      </c>
      <c r="B23" s="216">
        <v>900020</v>
      </c>
      <c r="C23" s="73" t="s">
        <v>255</v>
      </c>
      <c r="D23" s="134">
        <f t="shared" si="0"/>
        <v>6123056</v>
      </c>
      <c r="E23" s="134">
        <f>8295000-2100000-140000+68056</f>
        <v>6123056</v>
      </c>
      <c r="F23" s="134"/>
      <c r="G23" s="135"/>
    </row>
    <row r="24" spans="1:7" ht="30" customHeight="1" thickBot="1">
      <c r="A24" s="309" t="s">
        <v>211</v>
      </c>
      <c r="B24" s="310"/>
      <c r="C24" s="300" t="s">
        <v>375</v>
      </c>
      <c r="D24" s="302">
        <f>SUM(D14:D23)</f>
        <v>178958131</v>
      </c>
      <c r="E24" s="302">
        <f>SUM(E14:E23)</f>
        <v>175466416</v>
      </c>
      <c r="F24" s="302">
        <f>SUM(F14:F23)</f>
        <v>3491715</v>
      </c>
      <c r="G24" s="302">
        <f>SUM(G14:G23)</f>
        <v>0</v>
      </c>
    </row>
    <row r="25" spans="1:7" ht="15.75" customHeight="1">
      <c r="A25" s="328"/>
      <c r="B25" s="328"/>
      <c r="C25" s="328"/>
      <c r="D25" s="329"/>
      <c r="E25" s="329"/>
      <c r="F25" s="329"/>
      <c r="G25" s="329"/>
    </row>
    <row r="26" spans="1:7" ht="15">
      <c r="A26" s="217" t="s">
        <v>213</v>
      </c>
      <c r="B26" s="215" t="s">
        <v>327</v>
      </c>
      <c r="C26" s="73" t="s">
        <v>328</v>
      </c>
      <c r="D26" s="134">
        <f>SUM(E26:G26)</f>
        <v>822484</v>
      </c>
      <c r="E26" s="134">
        <v>822484</v>
      </c>
      <c r="F26" s="321"/>
      <c r="G26" s="321"/>
    </row>
    <row r="27" spans="1:7" ht="15">
      <c r="A27" s="217" t="s">
        <v>215</v>
      </c>
      <c r="B27" s="215" t="s">
        <v>251</v>
      </c>
      <c r="C27" s="73" t="s">
        <v>252</v>
      </c>
      <c r="D27" s="134">
        <f>SUM(E27:G27)</f>
        <v>339094</v>
      </c>
      <c r="E27" s="134">
        <v>339094</v>
      </c>
      <c r="F27" s="134"/>
      <c r="G27" s="135"/>
    </row>
    <row r="28" spans="1:7" ht="15">
      <c r="A28" s="217" t="s">
        <v>220</v>
      </c>
      <c r="B28" s="215" t="s">
        <v>253</v>
      </c>
      <c r="C28" s="73" t="s">
        <v>254</v>
      </c>
      <c r="D28" s="134">
        <f>SUM(E28:G28)</f>
        <v>522193</v>
      </c>
      <c r="E28" s="134"/>
      <c r="F28" s="134">
        <v>522193</v>
      </c>
      <c r="G28" s="135"/>
    </row>
    <row r="29" spans="1:7" ht="15.75" thickBot="1">
      <c r="A29" s="294" t="s">
        <v>222</v>
      </c>
      <c r="B29" s="215" t="s">
        <v>253</v>
      </c>
      <c r="C29" s="75" t="s">
        <v>307</v>
      </c>
      <c r="D29" s="134">
        <f>SUM(E29:G29)</f>
        <v>743175</v>
      </c>
      <c r="E29" s="134"/>
      <c r="F29" s="134">
        <v>743175</v>
      </c>
      <c r="G29" s="135"/>
    </row>
    <row r="30" spans="1:7" ht="15.75" thickBot="1">
      <c r="A30" s="136" t="s">
        <v>224</v>
      </c>
      <c r="B30" s="216" t="s">
        <v>185</v>
      </c>
      <c r="C30" s="274" t="s">
        <v>303</v>
      </c>
      <c r="D30" s="298">
        <f>SUM(E30:G30)</f>
        <v>1595653</v>
      </c>
      <c r="E30" s="298">
        <v>1595653</v>
      </c>
      <c r="F30" s="298"/>
      <c r="G30" s="299"/>
    </row>
    <row r="31" spans="1:7" ht="15" thickBot="1">
      <c r="A31" s="136" t="s">
        <v>231</v>
      </c>
      <c r="B31" s="136"/>
      <c r="C31" s="287" t="s">
        <v>378</v>
      </c>
      <c r="D31" s="311">
        <f>D27+D28+D29+D30+D26</f>
        <v>4022599</v>
      </c>
      <c r="E31" s="311">
        <f>E27+E28+E29+E30</f>
        <v>1934747</v>
      </c>
      <c r="F31" s="311">
        <f>F27+F28+F29+F30</f>
        <v>1265368</v>
      </c>
      <c r="G31" s="311">
        <f>G27+G28+G29+G30</f>
        <v>0</v>
      </c>
    </row>
    <row r="32" spans="1:7" ht="16.5" thickBot="1">
      <c r="A32" s="315" t="s">
        <v>234</v>
      </c>
      <c r="B32" s="136"/>
      <c r="C32" s="288" t="s">
        <v>379</v>
      </c>
      <c r="D32" s="311">
        <f>D24+D31</f>
        <v>182980730</v>
      </c>
      <c r="E32" s="311">
        <f>E24+E31</f>
        <v>177401163</v>
      </c>
      <c r="F32" s="311">
        <f>F24+F31</f>
        <v>4757083</v>
      </c>
      <c r="G32" s="311">
        <f>G24+G31</f>
        <v>0</v>
      </c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C4:G4"/>
    <mergeCell ref="C8:G8"/>
    <mergeCell ref="B5:G5"/>
    <mergeCell ref="B6:G6"/>
    <mergeCell ref="B7:G7"/>
    <mergeCell ref="A1:G1"/>
    <mergeCell ref="A3:G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52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10" width="12.125" style="10" customWidth="1"/>
    <col min="11" max="11" width="12.25390625" style="10" customWidth="1"/>
    <col min="12" max="12" width="11.125" style="10" customWidth="1"/>
    <col min="13" max="13" width="12.25390625" style="10" customWidth="1"/>
    <col min="14" max="14" width="11.125" style="10" customWidth="1"/>
    <col min="15" max="15" width="13.375" style="10" customWidth="1"/>
    <col min="16" max="16" width="15.25390625" style="10" customWidth="1"/>
    <col min="17" max="17" width="9.875" style="10" customWidth="1"/>
    <col min="18" max="18" width="10.625" style="10" customWidth="1"/>
    <col min="19" max="19" width="11.00390625" style="10" customWidth="1"/>
    <col min="20" max="16384" width="9.125" style="10" customWidth="1"/>
  </cols>
  <sheetData>
    <row r="1" spans="1:21" ht="15.75">
      <c r="A1" s="377" t="s">
        <v>471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3" spans="1:21" ht="15.75">
      <c r="A3" s="378" t="s">
        <v>420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</row>
    <row r="4" spans="2:18" ht="15.75" customHeight="1"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</row>
    <row r="5" spans="2:21" s="71" customFormat="1" ht="15.75" customHeight="1"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2:18" s="71" customFormat="1" ht="15.7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2:21" s="71" customFormat="1" ht="15.75" customHeight="1">
      <c r="B7" s="436" t="s">
        <v>21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</row>
    <row r="8" spans="2:21" s="71" customFormat="1" ht="15.75" customHeight="1">
      <c r="B8" s="436" t="s">
        <v>143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</row>
    <row r="9" spans="2:21" s="71" customFormat="1" ht="15.75" customHeight="1">
      <c r="B9" s="436" t="s">
        <v>412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</row>
    <row r="10" spans="20:21" s="71" customFormat="1" ht="15.75" thickBot="1">
      <c r="T10" s="421" t="s">
        <v>326</v>
      </c>
      <c r="U10" s="421"/>
    </row>
    <row r="11" spans="1:21" s="72" customFormat="1" ht="20.25" customHeight="1" thickBot="1">
      <c r="A11" s="418" t="s">
        <v>325</v>
      </c>
      <c r="B11" s="415" t="s">
        <v>144</v>
      </c>
      <c r="C11" s="412" t="s">
        <v>145</v>
      </c>
      <c r="D11" s="404" t="s">
        <v>146</v>
      </c>
      <c r="E11" s="424" t="s">
        <v>147</v>
      </c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6"/>
      <c r="T11" s="399" t="s">
        <v>2</v>
      </c>
      <c r="U11" s="400"/>
    </row>
    <row r="12" spans="1:21" s="72" customFormat="1" ht="38.25" customHeight="1" thickBot="1">
      <c r="A12" s="419"/>
      <c r="B12" s="416"/>
      <c r="C12" s="413"/>
      <c r="D12" s="405"/>
      <c r="E12" s="433" t="s">
        <v>43</v>
      </c>
      <c r="F12" s="434"/>
      <c r="G12" s="434"/>
      <c r="H12" s="434"/>
      <c r="I12" s="434"/>
      <c r="J12" s="434"/>
      <c r="K12" s="435"/>
      <c r="L12" s="427" t="s">
        <v>44</v>
      </c>
      <c r="M12" s="428"/>
      <c r="N12" s="428"/>
      <c r="O12" s="429"/>
      <c r="P12" s="437" t="s">
        <v>148</v>
      </c>
      <c r="Q12" s="438"/>
      <c r="R12" s="438"/>
      <c r="S12" s="439"/>
      <c r="T12" s="410" t="s">
        <v>5</v>
      </c>
      <c r="U12" s="411"/>
    </row>
    <row r="13" spans="1:21" s="72" customFormat="1" ht="21" customHeight="1" thickBot="1">
      <c r="A13" s="419"/>
      <c r="B13" s="416"/>
      <c r="C13" s="413"/>
      <c r="D13" s="405"/>
      <c r="E13" s="404" t="s">
        <v>149</v>
      </c>
      <c r="F13" s="404" t="s">
        <v>150</v>
      </c>
      <c r="G13" s="404" t="s">
        <v>151</v>
      </c>
      <c r="H13" s="404" t="s">
        <v>152</v>
      </c>
      <c r="I13" s="404" t="s">
        <v>153</v>
      </c>
      <c r="J13" s="404" t="s">
        <v>466</v>
      </c>
      <c r="K13" s="430" t="s">
        <v>154</v>
      </c>
      <c r="L13" s="401" t="s">
        <v>155</v>
      </c>
      <c r="M13" s="401" t="s">
        <v>45</v>
      </c>
      <c r="N13" s="404" t="s">
        <v>256</v>
      </c>
      <c r="O13" s="407" t="s">
        <v>257</v>
      </c>
      <c r="P13" s="404" t="s">
        <v>308</v>
      </c>
      <c r="Q13" s="404" t="s">
        <v>156</v>
      </c>
      <c r="R13" s="404" t="s">
        <v>157</v>
      </c>
      <c r="S13" s="407" t="s">
        <v>258</v>
      </c>
      <c r="T13" s="120" t="s">
        <v>158</v>
      </c>
      <c r="U13" s="121" t="s">
        <v>159</v>
      </c>
    </row>
    <row r="14" spans="1:21" s="72" customFormat="1" ht="18.75" customHeight="1">
      <c r="A14" s="419"/>
      <c r="B14" s="416"/>
      <c r="C14" s="413"/>
      <c r="D14" s="405"/>
      <c r="E14" s="405"/>
      <c r="F14" s="405"/>
      <c r="G14" s="405"/>
      <c r="H14" s="405"/>
      <c r="I14" s="405"/>
      <c r="J14" s="440"/>
      <c r="K14" s="431"/>
      <c r="L14" s="402"/>
      <c r="M14" s="402"/>
      <c r="N14" s="405"/>
      <c r="O14" s="408"/>
      <c r="P14" s="405"/>
      <c r="Q14" s="405"/>
      <c r="R14" s="405"/>
      <c r="S14" s="408"/>
      <c r="T14" s="422" t="s">
        <v>160</v>
      </c>
      <c r="U14" s="423"/>
    </row>
    <row r="15" spans="1:21" s="72" customFormat="1" ht="20.25" customHeight="1" thickBot="1">
      <c r="A15" s="420"/>
      <c r="B15" s="417"/>
      <c r="C15" s="414"/>
      <c r="D15" s="406"/>
      <c r="E15" s="406"/>
      <c r="F15" s="406"/>
      <c r="G15" s="406"/>
      <c r="H15" s="406"/>
      <c r="I15" s="406"/>
      <c r="J15" s="441"/>
      <c r="K15" s="432"/>
      <c r="L15" s="403"/>
      <c r="M15" s="403"/>
      <c r="N15" s="406"/>
      <c r="O15" s="409"/>
      <c r="P15" s="406"/>
      <c r="Q15" s="406"/>
      <c r="R15" s="406"/>
      <c r="S15" s="409"/>
      <c r="T15" s="410"/>
      <c r="U15" s="411"/>
    </row>
    <row r="16" spans="1:21" s="71" customFormat="1" ht="30">
      <c r="A16" s="262" t="s">
        <v>24</v>
      </c>
      <c r="B16" s="260" t="s">
        <v>161</v>
      </c>
      <c r="C16" s="73" t="s">
        <v>162</v>
      </c>
      <c r="D16" s="230">
        <f>K16+O16+Q16+R16</f>
        <v>41244437</v>
      </c>
      <c r="E16" s="222">
        <f>13212033+4108</f>
        <v>13216141</v>
      </c>
      <c r="F16" s="223">
        <f>2600726-4108</f>
        <v>2596618</v>
      </c>
      <c r="G16" s="223">
        <f>3859180+140000-337700</f>
        <v>3661480</v>
      </c>
      <c r="H16" s="223"/>
      <c r="I16" s="223">
        <f>445200+20902499-700730+130720+467820+128360-40640-128360+32100-2100000-140000+68056-18619825</f>
        <v>445200</v>
      </c>
      <c r="J16" s="223">
        <v>18619825</v>
      </c>
      <c r="K16" s="224">
        <f>SUM(E16:J16)</f>
        <v>38539264</v>
      </c>
      <c r="L16" s="225">
        <v>101600</v>
      </c>
      <c r="M16" s="225"/>
      <c r="N16" s="225">
        <v>2603573</v>
      </c>
      <c r="O16" s="226">
        <f>SUM(L16:N16)</f>
        <v>2705173</v>
      </c>
      <c r="P16" s="226"/>
      <c r="Q16" s="227"/>
      <c r="R16" s="228"/>
      <c r="S16" s="228"/>
      <c r="T16" s="263">
        <f>0.5+0.1+0.2-0.3</f>
        <v>0.5</v>
      </c>
      <c r="U16" s="264">
        <v>0.5</v>
      </c>
    </row>
    <row r="17" spans="1:21" s="71" customFormat="1" ht="15">
      <c r="A17" s="262" t="s">
        <v>15</v>
      </c>
      <c r="B17" s="215" t="s">
        <v>163</v>
      </c>
      <c r="C17" s="73" t="s">
        <v>18</v>
      </c>
      <c r="D17" s="230">
        <f aca="true" t="shared" si="0" ref="D17:D39">K17+O17+Q17+R17</f>
        <v>68150</v>
      </c>
      <c r="E17" s="222"/>
      <c r="F17" s="223"/>
      <c r="G17" s="223">
        <v>68150</v>
      </c>
      <c r="H17" s="223"/>
      <c r="I17" s="223"/>
      <c r="J17" s="223"/>
      <c r="K17" s="224">
        <f aca="true" t="shared" si="1" ref="K17:K24">SUM(E17:I17)</f>
        <v>68150</v>
      </c>
      <c r="L17" s="225"/>
      <c r="M17" s="225"/>
      <c r="N17" s="225"/>
      <c r="O17" s="226"/>
      <c r="P17" s="226"/>
      <c r="Q17" s="227"/>
      <c r="R17" s="228"/>
      <c r="S17" s="228"/>
      <c r="T17" s="265"/>
      <c r="U17" s="266"/>
    </row>
    <row r="18" spans="1:21" s="71" customFormat="1" ht="29.25" customHeight="1">
      <c r="A18" s="262" t="s">
        <v>25</v>
      </c>
      <c r="B18" s="215" t="s">
        <v>164</v>
      </c>
      <c r="C18" s="73" t="s">
        <v>165</v>
      </c>
      <c r="D18" s="230">
        <f>K18+O18+S18</f>
        <v>507808</v>
      </c>
      <c r="E18" s="222"/>
      <c r="F18" s="223"/>
      <c r="G18" s="223">
        <v>507808</v>
      </c>
      <c r="H18" s="223"/>
      <c r="I18" s="223"/>
      <c r="J18" s="223"/>
      <c r="K18" s="224">
        <f t="shared" si="1"/>
        <v>507808</v>
      </c>
      <c r="L18" s="225"/>
      <c r="M18" s="225"/>
      <c r="N18" s="225"/>
      <c r="O18" s="226">
        <f>SUM(L18:N18)</f>
        <v>0</v>
      </c>
      <c r="P18" s="226"/>
      <c r="Q18" s="227"/>
      <c r="R18" s="228"/>
      <c r="S18" s="228"/>
      <c r="T18" s="267"/>
      <c r="U18" s="266"/>
    </row>
    <row r="19" spans="1:21" s="71" customFormat="1" ht="30" customHeight="1">
      <c r="A19" s="262" t="s">
        <v>68</v>
      </c>
      <c r="B19" s="215" t="s">
        <v>249</v>
      </c>
      <c r="C19" s="73" t="s">
        <v>250</v>
      </c>
      <c r="D19" s="230">
        <f>K19+O19+S19</f>
        <v>1449359</v>
      </c>
      <c r="E19" s="222"/>
      <c r="F19" s="223"/>
      <c r="G19" s="223"/>
      <c r="H19" s="223"/>
      <c r="I19" s="223"/>
      <c r="J19" s="223"/>
      <c r="K19" s="224">
        <f t="shared" si="1"/>
        <v>0</v>
      </c>
      <c r="L19" s="225"/>
      <c r="M19" s="225"/>
      <c r="N19" s="225"/>
      <c r="O19" s="226">
        <f>SUM(L19:N19)</f>
        <v>0</v>
      </c>
      <c r="P19" s="226">
        <v>1449359</v>
      </c>
      <c r="Q19" s="227"/>
      <c r="R19" s="228"/>
      <c r="S19" s="228">
        <f>P19+Q19+R19</f>
        <v>1449359</v>
      </c>
      <c r="T19" s="263"/>
      <c r="U19" s="266"/>
    </row>
    <row r="20" spans="1:21" s="71" customFormat="1" ht="17.25" customHeight="1">
      <c r="A20" s="262" t="s">
        <v>69</v>
      </c>
      <c r="B20" s="215" t="s">
        <v>327</v>
      </c>
      <c r="C20" s="73" t="s">
        <v>328</v>
      </c>
      <c r="D20" s="230">
        <f>K20+O20+S20</f>
        <v>1300000</v>
      </c>
      <c r="E20" s="222"/>
      <c r="F20" s="223"/>
      <c r="G20" s="223"/>
      <c r="H20" s="223"/>
      <c r="I20" s="223">
        <f>1200000+100000</f>
        <v>1300000</v>
      </c>
      <c r="J20" s="223"/>
      <c r="K20" s="224">
        <f t="shared" si="1"/>
        <v>1300000</v>
      </c>
      <c r="L20" s="225"/>
      <c r="M20" s="225"/>
      <c r="N20" s="225"/>
      <c r="O20" s="226"/>
      <c r="P20" s="226"/>
      <c r="Q20" s="227"/>
      <c r="R20" s="228"/>
      <c r="S20" s="228"/>
      <c r="T20" s="263"/>
      <c r="U20" s="266"/>
    </row>
    <row r="21" spans="1:21" s="71" customFormat="1" ht="24.75" customHeight="1">
      <c r="A21" s="262" t="s">
        <v>75</v>
      </c>
      <c r="B21" s="215" t="s">
        <v>329</v>
      </c>
      <c r="C21" s="73" t="s">
        <v>330</v>
      </c>
      <c r="D21" s="230">
        <f>K21+O21+S21</f>
        <v>127000</v>
      </c>
      <c r="E21" s="222"/>
      <c r="F21" s="223"/>
      <c r="G21" s="223">
        <v>127000</v>
      </c>
      <c r="H21" s="223"/>
      <c r="I21" s="223"/>
      <c r="J21" s="223"/>
      <c r="K21" s="224">
        <f t="shared" si="1"/>
        <v>127000</v>
      </c>
      <c r="L21" s="225"/>
      <c r="M21" s="225"/>
      <c r="N21" s="225"/>
      <c r="O21" s="226">
        <f>SUM(L21:N21)</f>
        <v>0</v>
      </c>
      <c r="P21" s="226"/>
      <c r="Q21" s="227"/>
      <c r="R21" s="228"/>
      <c r="S21" s="228"/>
      <c r="T21" s="263"/>
      <c r="U21" s="266"/>
    </row>
    <row r="22" spans="1:21" s="71" customFormat="1" ht="30">
      <c r="A22" s="262" t="s">
        <v>201</v>
      </c>
      <c r="B22" s="215" t="s">
        <v>166</v>
      </c>
      <c r="C22" s="73" t="s">
        <v>167</v>
      </c>
      <c r="D22" s="230">
        <f>K22+O22+Q22+R22</f>
        <v>26670</v>
      </c>
      <c r="E22" s="222"/>
      <c r="F22" s="223"/>
      <c r="G22" s="223">
        <v>26670</v>
      </c>
      <c r="H22" s="223"/>
      <c r="I22" s="223"/>
      <c r="J22" s="223"/>
      <c r="K22" s="224">
        <f t="shared" si="1"/>
        <v>26670</v>
      </c>
      <c r="L22" s="225"/>
      <c r="M22" s="225"/>
      <c r="N22" s="225"/>
      <c r="O22" s="226">
        <f>SUM(L22:N22)</f>
        <v>0</v>
      </c>
      <c r="P22" s="226"/>
      <c r="Q22" s="227"/>
      <c r="R22" s="228"/>
      <c r="S22" s="228"/>
      <c r="T22" s="263"/>
      <c r="U22" s="266"/>
    </row>
    <row r="23" spans="1:21" s="71" customFormat="1" ht="15">
      <c r="A23" s="262" t="s">
        <v>203</v>
      </c>
      <c r="B23" s="215" t="s">
        <v>314</v>
      </c>
      <c r="C23" s="73" t="s">
        <v>315</v>
      </c>
      <c r="D23" s="230">
        <f>K23+O23+Q23+R23</f>
        <v>74676</v>
      </c>
      <c r="E23" s="222"/>
      <c r="F23" s="223"/>
      <c r="G23" s="223">
        <v>74676</v>
      </c>
      <c r="H23" s="223"/>
      <c r="I23" s="223"/>
      <c r="J23" s="223"/>
      <c r="K23" s="224">
        <f t="shared" si="1"/>
        <v>74676</v>
      </c>
      <c r="L23" s="225"/>
      <c r="M23" s="225"/>
      <c r="N23" s="225"/>
      <c r="O23" s="226">
        <f>SUM(L23:N23)</f>
        <v>0</v>
      </c>
      <c r="P23" s="226"/>
      <c r="Q23" s="227"/>
      <c r="R23" s="228"/>
      <c r="S23" s="228"/>
      <c r="T23" s="263"/>
      <c r="U23" s="266"/>
    </row>
    <row r="24" spans="1:21" s="71" customFormat="1" ht="30">
      <c r="A24" s="262" t="s">
        <v>205</v>
      </c>
      <c r="B24" s="215" t="s">
        <v>168</v>
      </c>
      <c r="C24" s="73" t="s">
        <v>169</v>
      </c>
      <c r="D24" s="230">
        <f>K24+O24+Q24+R24</f>
        <v>6283419</v>
      </c>
      <c r="E24" s="222"/>
      <c r="F24" s="223"/>
      <c r="G24" s="223">
        <v>6283419</v>
      </c>
      <c r="H24" s="223"/>
      <c r="I24" s="223"/>
      <c r="J24" s="223"/>
      <c r="K24" s="224">
        <f t="shared" si="1"/>
        <v>6283419</v>
      </c>
      <c r="L24" s="225"/>
      <c r="M24" s="225"/>
      <c r="N24" s="225"/>
      <c r="O24" s="226">
        <f>SUM(L24:N24)</f>
        <v>0</v>
      </c>
      <c r="P24" s="226"/>
      <c r="Q24" s="227"/>
      <c r="R24" s="228"/>
      <c r="S24" s="228"/>
      <c r="T24" s="267"/>
      <c r="U24" s="266"/>
    </row>
    <row r="25" spans="1:21" s="71" customFormat="1" ht="15">
      <c r="A25" s="262" t="s">
        <v>211</v>
      </c>
      <c r="B25" s="215" t="s">
        <v>170</v>
      </c>
      <c r="C25" s="73" t="s">
        <v>171</v>
      </c>
      <c r="D25" s="230">
        <f>K25+O25+Q25+R25</f>
        <v>1000000</v>
      </c>
      <c r="E25" s="222"/>
      <c r="F25" s="223"/>
      <c r="G25" s="223"/>
      <c r="H25" s="223"/>
      <c r="I25" s="223"/>
      <c r="J25" s="223"/>
      <c r="K25" s="224"/>
      <c r="L25" s="225"/>
      <c r="M25" s="225"/>
      <c r="N25" s="225">
        <v>1000000</v>
      </c>
      <c r="O25" s="226">
        <f>SUM(L25:N25)</f>
        <v>1000000</v>
      </c>
      <c r="P25" s="226"/>
      <c r="Q25" s="227"/>
      <c r="R25" s="228"/>
      <c r="S25" s="228"/>
      <c r="T25" s="267"/>
      <c r="U25" s="266"/>
    </row>
    <row r="26" spans="1:21" s="71" customFormat="1" ht="15">
      <c r="A26" s="262" t="s">
        <v>213</v>
      </c>
      <c r="B26" s="215" t="s">
        <v>172</v>
      </c>
      <c r="C26" s="73" t="s">
        <v>173</v>
      </c>
      <c r="D26" s="230">
        <f t="shared" si="0"/>
        <v>1943100</v>
      </c>
      <c r="E26" s="222"/>
      <c r="F26" s="223"/>
      <c r="G26" s="223">
        <v>1943100</v>
      </c>
      <c r="H26" s="225"/>
      <c r="I26" s="223"/>
      <c r="J26" s="223"/>
      <c r="K26" s="224">
        <f aca="true" t="shared" si="2" ref="K26:K36">SUM(E26:I26)</f>
        <v>1943100</v>
      </c>
      <c r="L26" s="225"/>
      <c r="M26" s="225"/>
      <c r="N26" s="225"/>
      <c r="O26" s="226"/>
      <c r="P26" s="226"/>
      <c r="Q26" s="227"/>
      <c r="R26" s="228"/>
      <c r="S26" s="228"/>
      <c r="T26" s="267"/>
      <c r="U26" s="266"/>
    </row>
    <row r="27" spans="1:21" s="71" customFormat="1" ht="15">
      <c r="A27" s="262" t="s">
        <v>215</v>
      </c>
      <c r="B27" s="215" t="s">
        <v>174</v>
      </c>
      <c r="C27" s="73" t="s">
        <v>175</v>
      </c>
      <c r="D27" s="230">
        <f t="shared" si="0"/>
        <v>232410</v>
      </c>
      <c r="E27" s="222"/>
      <c r="F27" s="223"/>
      <c r="G27" s="223">
        <v>232410</v>
      </c>
      <c r="H27" s="225"/>
      <c r="I27" s="223"/>
      <c r="J27" s="223"/>
      <c r="K27" s="224">
        <f t="shared" si="2"/>
        <v>232410</v>
      </c>
      <c r="L27" s="225"/>
      <c r="M27" s="225"/>
      <c r="N27" s="225"/>
      <c r="O27" s="226"/>
      <c r="P27" s="226"/>
      <c r="Q27" s="227"/>
      <c r="R27" s="228"/>
      <c r="S27" s="228"/>
      <c r="T27" s="267"/>
      <c r="U27" s="266"/>
    </row>
    <row r="28" spans="1:21" s="71" customFormat="1" ht="30">
      <c r="A28" s="262" t="s">
        <v>220</v>
      </c>
      <c r="B28" s="215" t="s">
        <v>176</v>
      </c>
      <c r="C28" s="73" t="s">
        <v>177</v>
      </c>
      <c r="D28" s="230">
        <f t="shared" si="0"/>
        <v>103288416</v>
      </c>
      <c r="E28" s="222">
        <f>1974000+8217</f>
        <v>1982217</v>
      </c>
      <c r="F28" s="223">
        <f>353550-8217</f>
        <v>345333</v>
      </c>
      <c r="G28" s="223">
        <f>2944946+964900</f>
        <v>3909846</v>
      </c>
      <c r="H28" s="225"/>
      <c r="I28" s="223"/>
      <c r="J28" s="223"/>
      <c r="K28" s="224">
        <f t="shared" si="2"/>
        <v>6237396</v>
      </c>
      <c r="L28" s="225">
        <f>9741809+25+234696</f>
        <v>9976530</v>
      </c>
      <c r="M28" s="225">
        <f>87074386+104</f>
        <v>87074490</v>
      </c>
      <c r="N28" s="225"/>
      <c r="O28" s="226">
        <f>SUM(L28:N28)</f>
        <v>97051020</v>
      </c>
      <c r="P28" s="226"/>
      <c r="Q28" s="227"/>
      <c r="R28" s="228"/>
      <c r="S28" s="228"/>
      <c r="T28" s="267">
        <v>1</v>
      </c>
      <c r="U28" s="266">
        <v>1</v>
      </c>
    </row>
    <row r="29" spans="1:21" s="71" customFormat="1" ht="15">
      <c r="A29" s="262" t="s">
        <v>222</v>
      </c>
      <c r="B29" s="215" t="s">
        <v>178</v>
      </c>
      <c r="C29" s="73" t="s">
        <v>16</v>
      </c>
      <c r="D29" s="230">
        <f t="shared" si="0"/>
        <v>146050</v>
      </c>
      <c r="E29" s="222"/>
      <c r="F29" s="223"/>
      <c r="G29" s="223">
        <v>146050</v>
      </c>
      <c r="H29" s="225"/>
      <c r="I29" s="223"/>
      <c r="J29" s="223"/>
      <c r="K29" s="224">
        <f t="shared" si="2"/>
        <v>146050</v>
      </c>
      <c r="L29" s="225"/>
      <c r="M29" s="225"/>
      <c r="N29" s="225"/>
      <c r="O29" s="226">
        <f aca="true" t="shared" si="3" ref="O29:O39">SUM(L29:N29)</f>
        <v>0</v>
      </c>
      <c r="P29" s="226"/>
      <c r="Q29" s="227"/>
      <c r="R29" s="228"/>
      <c r="S29" s="228"/>
      <c r="T29" s="267"/>
      <c r="U29" s="266"/>
    </row>
    <row r="30" spans="1:21" s="71" customFormat="1" ht="30">
      <c r="A30" s="262" t="s">
        <v>224</v>
      </c>
      <c r="B30" s="215" t="s">
        <v>448</v>
      </c>
      <c r="C30" s="73" t="s">
        <v>449</v>
      </c>
      <c r="D30" s="230">
        <f t="shared" si="0"/>
        <v>337700</v>
      </c>
      <c r="E30" s="222"/>
      <c r="F30" s="223"/>
      <c r="G30" s="223">
        <v>337700</v>
      </c>
      <c r="H30" s="225"/>
      <c r="I30" s="223"/>
      <c r="J30" s="223"/>
      <c r="K30" s="224">
        <f t="shared" si="2"/>
        <v>337700</v>
      </c>
      <c r="L30" s="225"/>
      <c r="M30" s="225"/>
      <c r="N30" s="225"/>
      <c r="O30" s="226"/>
      <c r="P30" s="226"/>
      <c r="Q30" s="227"/>
      <c r="R30" s="228"/>
      <c r="S30" s="228"/>
      <c r="T30" s="267"/>
      <c r="U30" s="266"/>
    </row>
    <row r="31" spans="1:21" s="71" customFormat="1" ht="31.5" customHeight="1">
      <c r="A31" s="262" t="s">
        <v>231</v>
      </c>
      <c r="B31" s="215" t="s">
        <v>179</v>
      </c>
      <c r="C31" s="73" t="s">
        <v>180</v>
      </c>
      <c r="D31" s="230">
        <f t="shared" si="0"/>
        <v>675000</v>
      </c>
      <c r="E31" s="222"/>
      <c r="F31" s="223"/>
      <c r="G31" s="223"/>
      <c r="H31" s="223"/>
      <c r="I31" s="223">
        <v>675000</v>
      </c>
      <c r="J31" s="223"/>
      <c r="K31" s="224">
        <f t="shared" si="2"/>
        <v>675000</v>
      </c>
      <c r="L31" s="225"/>
      <c r="M31" s="225"/>
      <c r="N31" s="225"/>
      <c r="O31" s="226">
        <f t="shared" si="3"/>
        <v>0</v>
      </c>
      <c r="P31" s="226"/>
      <c r="Q31" s="227"/>
      <c r="R31" s="228"/>
      <c r="S31" s="228"/>
      <c r="T31" s="267"/>
      <c r="U31" s="266"/>
    </row>
    <row r="32" spans="1:21" s="71" customFormat="1" ht="15">
      <c r="A32" s="262" t="s">
        <v>234</v>
      </c>
      <c r="B32" s="215" t="s">
        <v>181</v>
      </c>
      <c r="C32" s="73" t="s">
        <v>19</v>
      </c>
      <c r="D32" s="230">
        <f t="shared" si="0"/>
        <v>1097824</v>
      </c>
      <c r="E32" s="222">
        <f>725740+1644</f>
        <v>727384</v>
      </c>
      <c r="F32" s="223">
        <f>128625-1644</f>
        <v>126981</v>
      </c>
      <c r="G32" s="223">
        <v>63500</v>
      </c>
      <c r="H32" s="223"/>
      <c r="I32" s="223"/>
      <c r="J32" s="223"/>
      <c r="K32" s="224">
        <f t="shared" si="2"/>
        <v>917865</v>
      </c>
      <c r="L32" s="225">
        <v>179959</v>
      </c>
      <c r="M32" s="225"/>
      <c r="N32" s="225"/>
      <c r="O32" s="226">
        <f t="shared" si="3"/>
        <v>179959</v>
      </c>
      <c r="P32" s="226"/>
      <c r="Q32" s="227"/>
      <c r="R32" s="228"/>
      <c r="S32" s="228"/>
      <c r="T32" s="267">
        <v>0.2</v>
      </c>
      <c r="U32" s="266">
        <v>0.2</v>
      </c>
    </row>
    <row r="33" spans="1:21" s="71" customFormat="1" ht="30">
      <c r="A33" s="262" t="s">
        <v>236</v>
      </c>
      <c r="B33" s="215" t="s">
        <v>309</v>
      </c>
      <c r="C33" s="73" t="s">
        <v>310</v>
      </c>
      <c r="D33" s="230">
        <f t="shared" si="0"/>
        <v>3545527</v>
      </c>
      <c r="E33" s="222">
        <f>2488610+2465</f>
        <v>2491075</v>
      </c>
      <c r="F33" s="223">
        <f>192937-2465</f>
        <v>190472</v>
      </c>
      <c r="G33" s="223">
        <v>863980</v>
      </c>
      <c r="H33" s="223"/>
      <c r="I33" s="223"/>
      <c r="J33" s="223"/>
      <c r="K33" s="224">
        <f t="shared" si="2"/>
        <v>3545527</v>
      </c>
      <c r="L33" s="225"/>
      <c r="M33" s="225"/>
      <c r="N33" s="225"/>
      <c r="O33" s="226">
        <f t="shared" si="3"/>
        <v>0</v>
      </c>
      <c r="P33" s="226"/>
      <c r="Q33" s="227"/>
      <c r="R33" s="228"/>
      <c r="S33" s="228"/>
      <c r="T33" s="267">
        <f>0.3</f>
        <v>0.3</v>
      </c>
      <c r="U33" s="266">
        <f>T33</f>
        <v>0.3</v>
      </c>
    </row>
    <row r="34" spans="1:21" s="71" customFormat="1" ht="15">
      <c r="A34" s="262" t="s">
        <v>297</v>
      </c>
      <c r="B34" s="215" t="s">
        <v>311</v>
      </c>
      <c r="C34" s="73" t="s">
        <v>312</v>
      </c>
      <c r="D34" s="230">
        <f t="shared" si="0"/>
        <v>231500</v>
      </c>
      <c r="E34" s="222">
        <v>200000</v>
      </c>
      <c r="F34" s="223">
        <v>31500</v>
      </c>
      <c r="G34" s="223"/>
      <c r="H34" s="223"/>
      <c r="I34" s="223"/>
      <c r="J34" s="223"/>
      <c r="K34" s="224">
        <f t="shared" si="2"/>
        <v>231500</v>
      </c>
      <c r="L34" s="225"/>
      <c r="M34" s="225"/>
      <c r="N34" s="225"/>
      <c r="O34" s="226">
        <f t="shared" si="3"/>
        <v>0</v>
      </c>
      <c r="P34" s="226"/>
      <c r="Q34" s="227"/>
      <c r="R34" s="228"/>
      <c r="S34" s="228"/>
      <c r="T34" s="267"/>
      <c r="U34" s="266"/>
    </row>
    <row r="35" spans="1:21" s="71" customFormat="1" ht="15">
      <c r="A35" s="262" t="s">
        <v>299</v>
      </c>
      <c r="B35" s="215" t="s">
        <v>182</v>
      </c>
      <c r="C35" s="73" t="s">
        <v>17</v>
      </c>
      <c r="D35" s="230">
        <f t="shared" si="0"/>
        <v>120000</v>
      </c>
      <c r="E35" s="222"/>
      <c r="F35" s="223"/>
      <c r="G35" s="223"/>
      <c r="H35" s="223"/>
      <c r="I35" s="223">
        <v>120000</v>
      </c>
      <c r="J35" s="223"/>
      <c r="K35" s="224">
        <f t="shared" si="2"/>
        <v>120000</v>
      </c>
      <c r="L35" s="225"/>
      <c r="M35" s="225"/>
      <c r="N35" s="225"/>
      <c r="O35" s="226">
        <f t="shared" si="3"/>
        <v>0</v>
      </c>
      <c r="P35" s="226"/>
      <c r="Q35" s="227"/>
      <c r="R35" s="228"/>
      <c r="S35" s="228"/>
      <c r="T35" s="267"/>
      <c r="U35" s="266"/>
    </row>
    <row r="36" spans="1:21" s="71" customFormat="1" ht="15">
      <c r="A36" s="262" t="s">
        <v>332</v>
      </c>
      <c r="B36" s="215" t="s">
        <v>183</v>
      </c>
      <c r="C36" s="73" t="s">
        <v>184</v>
      </c>
      <c r="D36" s="230">
        <f t="shared" si="0"/>
        <v>0</v>
      </c>
      <c r="E36" s="222"/>
      <c r="F36" s="223"/>
      <c r="G36" s="223"/>
      <c r="H36" s="223"/>
      <c r="I36" s="223"/>
      <c r="J36" s="223"/>
      <c r="K36" s="224">
        <f t="shared" si="2"/>
        <v>0</v>
      </c>
      <c r="L36" s="225"/>
      <c r="M36" s="225"/>
      <c r="N36" s="225"/>
      <c r="O36" s="226">
        <f t="shared" si="3"/>
        <v>0</v>
      </c>
      <c r="P36" s="226"/>
      <c r="Q36" s="227"/>
      <c r="R36" s="228"/>
      <c r="S36" s="228"/>
      <c r="T36" s="267"/>
      <c r="U36" s="266"/>
    </row>
    <row r="37" spans="1:21" s="71" customFormat="1" ht="30">
      <c r="A37" s="262" t="s">
        <v>333</v>
      </c>
      <c r="B37" s="215">
        <v>104051</v>
      </c>
      <c r="C37" s="73" t="s">
        <v>305</v>
      </c>
      <c r="D37" s="230"/>
      <c r="E37" s="222"/>
      <c r="F37" s="223"/>
      <c r="G37" s="223"/>
      <c r="H37" s="223"/>
      <c r="I37" s="223"/>
      <c r="J37" s="223"/>
      <c r="K37" s="224"/>
      <c r="L37" s="225"/>
      <c r="M37" s="225"/>
      <c r="N37" s="225"/>
      <c r="O37" s="226"/>
      <c r="P37" s="226"/>
      <c r="Q37" s="227"/>
      <c r="R37" s="228"/>
      <c r="S37" s="228"/>
      <c r="T37" s="267"/>
      <c r="U37" s="266"/>
    </row>
    <row r="38" spans="1:21" s="71" customFormat="1" ht="15">
      <c r="A38" s="262" t="s">
        <v>334</v>
      </c>
      <c r="B38" s="215">
        <v>107052</v>
      </c>
      <c r="C38" s="76" t="s">
        <v>186</v>
      </c>
      <c r="D38" s="230">
        <f t="shared" si="0"/>
        <v>132050</v>
      </c>
      <c r="E38" s="222"/>
      <c r="F38" s="223"/>
      <c r="G38" s="223">
        <v>132050</v>
      </c>
      <c r="H38" s="223"/>
      <c r="I38" s="223"/>
      <c r="J38" s="223"/>
      <c r="K38" s="224">
        <f>SUM(E38:I38)</f>
        <v>132050</v>
      </c>
      <c r="L38" s="225"/>
      <c r="M38" s="225"/>
      <c r="N38" s="225"/>
      <c r="O38" s="226">
        <f t="shared" si="3"/>
        <v>0</v>
      </c>
      <c r="P38" s="226"/>
      <c r="Q38" s="227"/>
      <c r="R38" s="228"/>
      <c r="S38" s="228"/>
      <c r="T38" s="267"/>
      <c r="U38" s="266"/>
    </row>
    <row r="39" spans="1:21" s="71" customFormat="1" ht="27.75" customHeight="1" thickBot="1">
      <c r="A39" s="262" t="s">
        <v>335</v>
      </c>
      <c r="B39" s="215">
        <v>107060</v>
      </c>
      <c r="C39" s="73" t="s">
        <v>187</v>
      </c>
      <c r="D39" s="230">
        <f t="shared" si="0"/>
        <v>2770640</v>
      </c>
      <c r="E39" s="222"/>
      <c r="F39" s="223"/>
      <c r="G39" s="223">
        <v>40640</v>
      </c>
      <c r="H39" s="223">
        <v>2700000</v>
      </c>
      <c r="I39" s="223">
        <v>30000</v>
      </c>
      <c r="J39" s="223"/>
      <c r="K39" s="224">
        <f>SUM(E39:I39)</f>
        <v>2770640</v>
      </c>
      <c r="L39" s="225"/>
      <c r="M39" s="225"/>
      <c r="N39" s="225"/>
      <c r="O39" s="226">
        <f t="shared" si="3"/>
        <v>0</v>
      </c>
      <c r="P39" s="226"/>
      <c r="Q39" s="227"/>
      <c r="R39" s="228"/>
      <c r="S39" s="228"/>
      <c r="T39" s="263"/>
      <c r="U39" s="266"/>
    </row>
    <row r="40" spans="1:21" ht="15" thickBot="1">
      <c r="A40" s="285" t="s">
        <v>336</v>
      </c>
      <c r="B40" s="261"/>
      <c r="C40" s="137" t="s">
        <v>375</v>
      </c>
      <c r="D40" s="229">
        <f aca="true" t="shared" si="4" ref="D40:U40">SUM(D16:D39)</f>
        <v>166601736</v>
      </c>
      <c r="E40" s="229">
        <f t="shared" si="4"/>
        <v>18616817</v>
      </c>
      <c r="F40" s="229">
        <f t="shared" si="4"/>
        <v>3290904</v>
      </c>
      <c r="G40" s="229">
        <f t="shared" si="4"/>
        <v>18418479</v>
      </c>
      <c r="H40" s="229">
        <f t="shared" si="4"/>
        <v>2700000</v>
      </c>
      <c r="I40" s="229">
        <f t="shared" si="4"/>
        <v>2570200</v>
      </c>
      <c r="J40" s="229">
        <f t="shared" si="4"/>
        <v>18619825</v>
      </c>
      <c r="K40" s="229">
        <f>SUM(K16:K39)</f>
        <v>64216225</v>
      </c>
      <c r="L40" s="229">
        <f t="shared" si="4"/>
        <v>10258089</v>
      </c>
      <c r="M40" s="229">
        <f t="shared" si="4"/>
        <v>87074490</v>
      </c>
      <c r="N40" s="229">
        <f t="shared" si="4"/>
        <v>3603573</v>
      </c>
      <c r="O40" s="229">
        <f t="shared" si="4"/>
        <v>100936152</v>
      </c>
      <c r="P40" s="229">
        <f t="shared" si="4"/>
        <v>1449359</v>
      </c>
      <c r="Q40" s="229">
        <f t="shared" si="4"/>
        <v>0</v>
      </c>
      <c r="R40" s="229">
        <f t="shared" si="4"/>
        <v>0</v>
      </c>
      <c r="S40" s="229">
        <f t="shared" si="4"/>
        <v>1449359</v>
      </c>
      <c r="T40" s="268">
        <f t="shared" si="4"/>
        <v>2</v>
      </c>
      <c r="U40" s="268">
        <f t="shared" si="4"/>
        <v>2</v>
      </c>
    </row>
    <row r="41" spans="1:21" ht="14.25">
      <c r="A41" s="318"/>
      <c r="B41" s="289"/>
      <c r="C41" s="289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1"/>
      <c r="U41" s="291"/>
    </row>
    <row r="42" spans="1:21" ht="15">
      <c r="A42" s="262" t="s">
        <v>405</v>
      </c>
      <c r="B42" s="215" t="s">
        <v>327</v>
      </c>
      <c r="C42" s="73" t="s">
        <v>328</v>
      </c>
      <c r="D42" s="271">
        <f aca="true" t="shared" si="5" ref="D42:D47">K42+O42+Q42+R42</f>
        <v>89479</v>
      </c>
      <c r="E42" s="326"/>
      <c r="F42" s="319"/>
      <c r="G42" s="223">
        <v>89479</v>
      </c>
      <c r="H42" s="326"/>
      <c r="I42" s="326"/>
      <c r="J42" s="326"/>
      <c r="K42" s="224">
        <f aca="true" t="shared" si="6" ref="K42:K47">SUM(E42:I42)</f>
        <v>89479</v>
      </c>
      <c r="L42" s="326"/>
      <c r="M42" s="326"/>
      <c r="N42" s="326"/>
      <c r="O42" s="326"/>
      <c r="P42" s="326"/>
      <c r="Q42" s="326"/>
      <c r="R42" s="326"/>
      <c r="S42" s="326"/>
      <c r="T42" s="327"/>
      <c r="U42" s="327"/>
    </row>
    <row r="43" spans="1:21" ht="15">
      <c r="A43" s="262" t="s">
        <v>338</v>
      </c>
      <c r="B43" s="215" t="s">
        <v>373</v>
      </c>
      <c r="C43" s="73" t="s">
        <v>374</v>
      </c>
      <c r="D43" s="271">
        <f t="shared" si="5"/>
        <v>0</v>
      </c>
      <c r="E43" s="319">
        <f>82280-82280</f>
        <v>0</v>
      </c>
      <c r="F43" s="319">
        <f>7199-7199</f>
        <v>0</v>
      </c>
      <c r="G43" s="319"/>
      <c r="H43" s="319"/>
      <c r="I43" s="319"/>
      <c r="J43" s="319"/>
      <c r="K43" s="224">
        <f t="shared" si="6"/>
        <v>0</v>
      </c>
      <c r="L43" s="319"/>
      <c r="M43" s="319"/>
      <c r="N43" s="319"/>
      <c r="O43" s="319"/>
      <c r="P43" s="319"/>
      <c r="Q43" s="319"/>
      <c r="R43" s="319"/>
      <c r="S43" s="319"/>
      <c r="T43" s="320"/>
      <c r="U43" s="320"/>
    </row>
    <row r="44" spans="1:21" ht="15">
      <c r="A44" s="262" t="s">
        <v>366</v>
      </c>
      <c r="B44" s="215" t="s">
        <v>251</v>
      </c>
      <c r="C44" s="73" t="s">
        <v>252</v>
      </c>
      <c r="D44" s="271">
        <f t="shared" si="5"/>
        <v>8226029</v>
      </c>
      <c r="E44" s="270">
        <f>3232996+8546</f>
        <v>3241542</v>
      </c>
      <c r="F44" s="223">
        <f>555998-8546</f>
        <v>547452</v>
      </c>
      <c r="G44" s="223">
        <f>4009344+427691</f>
        <v>4437035</v>
      </c>
      <c r="H44" s="223"/>
      <c r="I44" s="223"/>
      <c r="J44" s="223"/>
      <c r="K44" s="224">
        <f t="shared" si="6"/>
        <v>8226029</v>
      </c>
      <c r="L44" s="225"/>
      <c r="M44" s="225"/>
      <c r="N44" s="225"/>
      <c r="O44" s="226">
        <f>SUM(L44:N44)</f>
        <v>0</v>
      </c>
      <c r="P44" s="226"/>
      <c r="Q44" s="227"/>
      <c r="R44" s="228"/>
      <c r="S44" s="228"/>
      <c r="T44" s="267">
        <v>1</v>
      </c>
      <c r="U44" s="266">
        <v>1</v>
      </c>
    </row>
    <row r="45" spans="1:21" ht="19.5" customHeight="1">
      <c r="A45" s="273" t="s">
        <v>376</v>
      </c>
      <c r="B45" s="215" t="s">
        <v>253</v>
      </c>
      <c r="C45" s="73" t="s">
        <v>254</v>
      </c>
      <c r="D45" s="272">
        <f t="shared" si="5"/>
        <v>1974827</v>
      </c>
      <c r="E45" s="270">
        <f>746076+1972</f>
        <v>748048</v>
      </c>
      <c r="F45" s="223">
        <f>128307-1972</f>
        <v>126335</v>
      </c>
      <c r="G45" s="223">
        <f>1001745+98699</f>
        <v>1100444</v>
      </c>
      <c r="H45" s="223"/>
      <c r="I45" s="223"/>
      <c r="J45" s="223"/>
      <c r="K45" s="224">
        <f t="shared" si="6"/>
        <v>1974827</v>
      </c>
      <c r="L45" s="225"/>
      <c r="M45" s="225"/>
      <c r="N45" s="225"/>
      <c r="O45" s="226">
        <f>SUM(L45:N45)</f>
        <v>0</v>
      </c>
      <c r="P45" s="226"/>
      <c r="Q45" s="227"/>
      <c r="R45" s="228"/>
      <c r="S45" s="228"/>
      <c r="T45" s="267"/>
      <c r="U45" s="266"/>
    </row>
    <row r="46" spans="1:21" ht="15">
      <c r="A46" s="273" t="s">
        <v>377</v>
      </c>
      <c r="B46" s="215" t="s">
        <v>304</v>
      </c>
      <c r="C46" s="75" t="s">
        <v>313</v>
      </c>
      <c r="D46" s="272">
        <f t="shared" si="5"/>
        <v>1711172</v>
      </c>
      <c r="E46" s="270">
        <f>621730+1643</f>
        <v>623373</v>
      </c>
      <c r="F46" s="223">
        <f>106923-1643</f>
        <v>105280</v>
      </c>
      <c r="G46" s="223">
        <f>900271+82248</f>
        <v>982519</v>
      </c>
      <c r="H46" s="223"/>
      <c r="I46" s="223"/>
      <c r="J46" s="223"/>
      <c r="K46" s="224">
        <f t="shared" si="6"/>
        <v>1711172</v>
      </c>
      <c r="L46" s="225"/>
      <c r="M46" s="225"/>
      <c r="N46" s="225"/>
      <c r="O46" s="226">
        <f>SUM(L46:N46)</f>
        <v>0</v>
      </c>
      <c r="P46" s="226"/>
      <c r="Q46" s="227"/>
      <c r="R46" s="228"/>
      <c r="S46" s="228"/>
      <c r="T46" s="267"/>
      <c r="U46" s="266"/>
    </row>
    <row r="47" spans="1:21" ht="15.75" thickBot="1">
      <c r="A47" s="332" t="s">
        <v>406</v>
      </c>
      <c r="B47" s="216" t="s">
        <v>185</v>
      </c>
      <c r="C47" s="274" t="s">
        <v>303</v>
      </c>
      <c r="D47" s="275">
        <f t="shared" si="5"/>
        <v>4377487</v>
      </c>
      <c r="E47" s="276">
        <f>1616498+4273</f>
        <v>1620771</v>
      </c>
      <c r="F47" s="277">
        <f>277999-4273</f>
        <v>273726</v>
      </c>
      <c r="G47" s="277">
        <f>2269144+213846</f>
        <v>2482990</v>
      </c>
      <c r="H47" s="277"/>
      <c r="I47" s="277"/>
      <c r="J47" s="277"/>
      <c r="K47" s="278">
        <f t="shared" si="6"/>
        <v>4377487</v>
      </c>
      <c r="L47" s="279"/>
      <c r="M47" s="279"/>
      <c r="N47" s="279"/>
      <c r="O47" s="280">
        <f>SUM(L47:N47)</f>
        <v>0</v>
      </c>
      <c r="P47" s="280"/>
      <c r="Q47" s="281"/>
      <c r="R47" s="282"/>
      <c r="S47" s="282"/>
      <c r="T47" s="265">
        <v>1</v>
      </c>
      <c r="U47" s="283">
        <v>1</v>
      </c>
    </row>
    <row r="48" spans="1:21" ht="16.5" customHeight="1" thickBot="1">
      <c r="A48" s="286" t="s">
        <v>428</v>
      </c>
      <c r="B48" s="284"/>
      <c r="C48" s="287" t="s">
        <v>378</v>
      </c>
      <c r="D48" s="292">
        <f>D45+D46+D47+D44+D43+D42</f>
        <v>16378994</v>
      </c>
      <c r="E48" s="292">
        <f>E45+E46+E47+E44+E43</f>
        <v>6233734</v>
      </c>
      <c r="F48" s="292">
        <f>F45+F46+F47+F44+F43+F42</f>
        <v>1052793</v>
      </c>
      <c r="G48" s="292">
        <f>G45+G46+G47+G44+G43+G42</f>
        <v>9092467</v>
      </c>
      <c r="H48" s="292">
        <f>H45+H46+H47+H44+H43</f>
        <v>0</v>
      </c>
      <c r="I48" s="292">
        <f>I45+I46+I47+I44+I43</f>
        <v>0</v>
      </c>
      <c r="J48" s="292"/>
      <c r="K48" s="292">
        <f>K45+K46+K47+K44+K43+K42</f>
        <v>16378994</v>
      </c>
      <c r="L48" s="292">
        <f aca="true" t="shared" si="7" ref="L48:U48">L45+L46+L47+L44</f>
        <v>0</v>
      </c>
      <c r="M48" s="292">
        <f t="shared" si="7"/>
        <v>0</v>
      </c>
      <c r="N48" s="292">
        <f t="shared" si="7"/>
        <v>0</v>
      </c>
      <c r="O48" s="292">
        <f t="shared" si="7"/>
        <v>0</v>
      </c>
      <c r="P48" s="292">
        <f t="shared" si="7"/>
        <v>0</v>
      </c>
      <c r="Q48" s="292">
        <f t="shared" si="7"/>
        <v>0</v>
      </c>
      <c r="R48" s="292">
        <f t="shared" si="7"/>
        <v>0</v>
      </c>
      <c r="S48" s="292">
        <f t="shared" si="7"/>
        <v>0</v>
      </c>
      <c r="T48" s="317">
        <f t="shared" si="7"/>
        <v>2</v>
      </c>
      <c r="U48" s="317">
        <f t="shared" si="7"/>
        <v>2</v>
      </c>
    </row>
    <row r="49" spans="1:21" ht="21.75" customHeight="1" thickBot="1">
      <c r="A49" s="286" t="s">
        <v>450</v>
      </c>
      <c r="B49" s="284"/>
      <c r="C49" s="288" t="s">
        <v>379</v>
      </c>
      <c r="D49" s="292">
        <f>D40+D48</f>
        <v>182980730</v>
      </c>
      <c r="E49" s="292">
        <f aca="true" t="shared" si="8" ref="E49:U49">E40+E48</f>
        <v>24850551</v>
      </c>
      <c r="F49" s="292">
        <f>F40+F48</f>
        <v>4343697</v>
      </c>
      <c r="G49" s="292">
        <f t="shared" si="8"/>
        <v>27510946</v>
      </c>
      <c r="H49" s="292">
        <f t="shared" si="8"/>
        <v>2700000</v>
      </c>
      <c r="I49" s="292">
        <f t="shared" si="8"/>
        <v>2570200</v>
      </c>
      <c r="J49" s="292">
        <f t="shared" si="8"/>
        <v>18619825</v>
      </c>
      <c r="K49" s="292">
        <f>K40+K48</f>
        <v>80595219</v>
      </c>
      <c r="L49" s="292">
        <f t="shared" si="8"/>
        <v>10258089</v>
      </c>
      <c r="M49" s="292">
        <f t="shared" si="8"/>
        <v>87074490</v>
      </c>
      <c r="N49" s="292">
        <f t="shared" si="8"/>
        <v>3603573</v>
      </c>
      <c r="O49" s="292">
        <f t="shared" si="8"/>
        <v>100936152</v>
      </c>
      <c r="P49" s="292">
        <f t="shared" si="8"/>
        <v>1449359</v>
      </c>
      <c r="Q49" s="292">
        <f t="shared" si="8"/>
        <v>0</v>
      </c>
      <c r="R49" s="292">
        <f t="shared" si="8"/>
        <v>0</v>
      </c>
      <c r="S49" s="292">
        <f t="shared" si="8"/>
        <v>1449359</v>
      </c>
      <c r="T49" s="317">
        <f t="shared" si="8"/>
        <v>4</v>
      </c>
      <c r="U49" s="317">
        <f t="shared" si="8"/>
        <v>4</v>
      </c>
    </row>
    <row r="51" spans="4:11" ht="12.75">
      <c r="D51" s="293"/>
      <c r="K51" s="293"/>
    </row>
    <row r="52" ht="12.75">
      <c r="D52" s="293"/>
    </row>
  </sheetData>
  <sheetProtection/>
  <mergeCells count="34">
    <mergeCell ref="B8:U8"/>
    <mergeCell ref="P12:S12"/>
    <mergeCell ref="J13:J15"/>
    <mergeCell ref="A3:U3"/>
    <mergeCell ref="H13:H15"/>
    <mergeCell ref="B9:U9"/>
    <mergeCell ref="B4:R4"/>
    <mergeCell ref="B5:U5"/>
    <mergeCell ref="B7:U7"/>
    <mergeCell ref="D11:D15"/>
    <mergeCell ref="M13:M15"/>
    <mergeCell ref="K13:K15"/>
    <mergeCell ref="Q13:Q15"/>
    <mergeCell ref="S13:S15"/>
    <mergeCell ref="E12:K12"/>
    <mergeCell ref="N13:N15"/>
    <mergeCell ref="A1:U1"/>
    <mergeCell ref="C11:C15"/>
    <mergeCell ref="F13:F15"/>
    <mergeCell ref="B11:B15"/>
    <mergeCell ref="A11:A15"/>
    <mergeCell ref="I13:I15"/>
    <mergeCell ref="T10:U10"/>
    <mergeCell ref="E13:E15"/>
    <mergeCell ref="T14:U15"/>
    <mergeCell ref="E11:S11"/>
    <mergeCell ref="T11:U11"/>
    <mergeCell ref="L13:L15"/>
    <mergeCell ref="G13:G15"/>
    <mergeCell ref="O13:O15"/>
    <mergeCell ref="P13:P15"/>
    <mergeCell ref="R13:R15"/>
    <mergeCell ref="T12:U12"/>
    <mergeCell ref="L12:O1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30" customWidth="1"/>
    <col min="2" max="2" width="9.125" style="130" customWidth="1"/>
    <col min="3" max="3" width="63.125" style="130" customWidth="1"/>
    <col min="4" max="4" width="24.00390625" style="130" customWidth="1"/>
    <col min="5" max="7" width="26.25390625" style="130" customWidth="1"/>
    <col min="8" max="16384" width="9.125" style="130" customWidth="1"/>
  </cols>
  <sheetData>
    <row r="1" spans="1:7" ht="15.75">
      <c r="A1" s="377" t="s">
        <v>472</v>
      </c>
      <c r="B1" s="351"/>
      <c r="C1" s="351"/>
      <c r="D1" s="351"/>
      <c r="E1" s="351"/>
      <c r="F1" s="351"/>
      <c r="G1" s="351"/>
    </row>
    <row r="3" spans="1:7" s="122" customFormat="1" ht="15.75">
      <c r="A3" s="378" t="s">
        <v>421</v>
      </c>
      <c r="B3" s="349"/>
      <c r="C3" s="349"/>
      <c r="D3" s="349"/>
      <c r="E3" s="349"/>
      <c r="F3" s="349"/>
      <c r="G3" s="349"/>
    </row>
    <row r="4" spans="3:7" s="39" customFormat="1" ht="15" customHeight="1">
      <c r="C4" s="374"/>
      <c r="D4" s="374"/>
      <c r="E4" s="374"/>
      <c r="F4" s="374"/>
      <c r="G4" s="374"/>
    </row>
    <row r="5" spans="4:7" s="124" customFormat="1" ht="15" customHeight="1">
      <c r="D5" s="125"/>
      <c r="E5" s="126"/>
      <c r="F5" s="126"/>
      <c r="G5" s="126"/>
    </row>
    <row r="6" spans="3:7" s="78" customFormat="1" ht="15" customHeight="1">
      <c r="C6" s="375" t="s">
        <v>21</v>
      </c>
      <c r="D6" s="375"/>
      <c r="E6" s="375"/>
      <c r="F6" s="375"/>
      <c r="G6" s="375"/>
    </row>
    <row r="7" spans="3:7" s="78" customFormat="1" ht="15.75">
      <c r="C7" s="376" t="s">
        <v>260</v>
      </c>
      <c r="D7" s="376"/>
      <c r="E7" s="376"/>
      <c r="F7" s="376"/>
      <c r="G7" s="376"/>
    </row>
    <row r="8" spans="3:7" s="78" customFormat="1" ht="15" customHeight="1">
      <c r="C8" s="375" t="s">
        <v>413</v>
      </c>
      <c r="D8" s="375"/>
      <c r="E8" s="375"/>
      <c r="F8" s="375"/>
      <c r="G8" s="375"/>
    </row>
    <row r="9" spans="3:7" s="122" customFormat="1" ht="12" customHeight="1" thickBot="1">
      <c r="C9" s="123"/>
      <c r="D9" s="127"/>
      <c r="E9" s="128"/>
      <c r="F9" s="128"/>
      <c r="G9" s="129"/>
    </row>
    <row r="10" spans="1:7" s="122" customFormat="1" ht="19.5" customHeight="1" thickBot="1">
      <c r="A10" s="444" t="s">
        <v>339</v>
      </c>
      <c r="B10" s="446" t="s">
        <v>144</v>
      </c>
      <c r="C10" s="385" t="s">
        <v>145</v>
      </c>
      <c r="D10" s="388" t="s">
        <v>261</v>
      </c>
      <c r="E10" s="391" t="s">
        <v>244</v>
      </c>
      <c r="F10" s="391"/>
      <c r="G10" s="392"/>
    </row>
    <row r="11" spans="1:7" s="122" customFormat="1" ht="33" customHeight="1" thickBot="1">
      <c r="A11" s="445"/>
      <c r="B11" s="447"/>
      <c r="C11" s="386"/>
      <c r="D11" s="389"/>
      <c r="E11" s="218" t="s">
        <v>245</v>
      </c>
      <c r="F11" s="219" t="s">
        <v>246</v>
      </c>
      <c r="G11" s="220" t="s">
        <v>247</v>
      </c>
    </row>
    <row r="12" spans="1:7" s="122" customFormat="1" ht="22.5" customHeight="1">
      <c r="A12" s="445"/>
      <c r="B12" s="447"/>
      <c r="C12" s="386"/>
      <c r="D12" s="389"/>
      <c r="E12" s="393" t="s">
        <v>248</v>
      </c>
      <c r="F12" s="394"/>
      <c r="G12" s="395"/>
    </row>
    <row r="13" spans="1:7" ht="13.5" thickBot="1">
      <c r="A13" s="445"/>
      <c r="B13" s="447"/>
      <c r="C13" s="386"/>
      <c r="D13" s="389"/>
      <c r="E13" s="448"/>
      <c r="F13" s="449"/>
      <c r="G13" s="450"/>
    </row>
    <row r="14" spans="1:7" ht="30.75" thickBot="1">
      <c r="A14" s="136" t="s">
        <v>24</v>
      </c>
      <c r="B14" s="241" t="s">
        <v>161</v>
      </c>
      <c r="C14" s="242" t="s">
        <v>162</v>
      </c>
      <c r="D14" s="253">
        <f>SUM(E14:G14)</f>
        <v>41244437</v>
      </c>
      <c r="E14" s="248">
        <f>19073318+20902499-700730+130720+467820+140000+128360-40640-337700-128360+32100+68056</f>
        <v>39735443</v>
      </c>
      <c r="F14" s="243">
        <f>1145421+2603573-2100000-140000</f>
        <v>1508994</v>
      </c>
      <c r="G14" s="244"/>
    </row>
    <row r="15" spans="1:7" ht="15">
      <c r="A15" s="221" t="s">
        <v>15</v>
      </c>
      <c r="B15" s="239" t="s">
        <v>163</v>
      </c>
      <c r="C15" s="240" t="s">
        <v>18</v>
      </c>
      <c r="D15" s="254">
        <f aca="true" t="shared" si="0" ref="D15:D36">SUM(E15:G15)</f>
        <v>68150</v>
      </c>
      <c r="E15" s="249">
        <v>68150</v>
      </c>
      <c r="F15" s="132"/>
      <c r="G15" s="133"/>
    </row>
    <row r="16" spans="1:7" ht="15">
      <c r="A16" s="217" t="s">
        <v>25</v>
      </c>
      <c r="B16" s="215" t="s">
        <v>164</v>
      </c>
      <c r="C16" s="73" t="s">
        <v>165</v>
      </c>
      <c r="D16" s="255">
        <f t="shared" si="0"/>
        <v>507808</v>
      </c>
      <c r="E16" s="250">
        <v>507808</v>
      </c>
      <c r="F16" s="134"/>
      <c r="G16" s="135"/>
    </row>
    <row r="17" spans="1:7" ht="15">
      <c r="A17" s="217" t="s">
        <v>68</v>
      </c>
      <c r="B17" s="215" t="s">
        <v>249</v>
      </c>
      <c r="C17" s="73" t="s">
        <v>250</v>
      </c>
      <c r="D17" s="255">
        <f>SUM(E17:G17)</f>
        <v>1449359</v>
      </c>
      <c r="E17" s="250">
        <v>1449359</v>
      </c>
      <c r="F17" s="134"/>
      <c r="G17" s="135"/>
    </row>
    <row r="18" spans="1:7" ht="15">
      <c r="A18" s="217" t="s">
        <v>69</v>
      </c>
      <c r="B18" s="215" t="s">
        <v>327</v>
      </c>
      <c r="C18" s="73" t="s">
        <v>328</v>
      </c>
      <c r="D18" s="255">
        <f>SUM(E18:G18)</f>
        <v>1300000</v>
      </c>
      <c r="E18" s="250">
        <v>1200000</v>
      </c>
      <c r="F18" s="134">
        <v>100000</v>
      </c>
      <c r="G18" s="135"/>
    </row>
    <row r="19" spans="1:7" ht="15">
      <c r="A19" s="217" t="s">
        <v>75</v>
      </c>
      <c r="B19" s="74" t="s">
        <v>329</v>
      </c>
      <c r="C19" s="73" t="s">
        <v>330</v>
      </c>
      <c r="D19" s="255">
        <f>SUM(E19:G19)</f>
        <v>127000</v>
      </c>
      <c r="E19" s="250">
        <v>127000</v>
      </c>
      <c r="F19" s="134"/>
      <c r="G19" s="135"/>
    </row>
    <row r="20" spans="1:7" ht="27" customHeight="1">
      <c r="A20" s="217" t="s">
        <v>201</v>
      </c>
      <c r="B20" s="215" t="s">
        <v>166</v>
      </c>
      <c r="C20" s="73" t="s">
        <v>167</v>
      </c>
      <c r="D20" s="255">
        <f t="shared" si="0"/>
        <v>26670</v>
      </c>
      <c r="E20" s="250">
        <v>26670</v>
      </c>
      <c r="F20" s="134"/>
      <c r="G20" s="135"/>
    </row>
    <row r="21" spans="1:7" ht="15">
      <c r="A21" s="217" t="s">
        <v>203</v>
      </c>
      <c r="B21" s="215" t="s">
        <v>314</v>
      </c>
      <c r="C21" s="73" t="s">
        <v>315</v>
      </c>
      <c r="D21" s="255">
        <f t="shared" si="0"/>
        <v>74676</v>
      </c>
      <c r="E21" s="251">
        <v>74676</v>
      </c>
      <c r="F21" s="77"/>
      <c r="G21" s="245"/>
    </row>
    <row r="22" spans="1:7" ht="15">
      <c r="A22" s="217" t="s">
        <v>205</v>
      </c>
      <c r="B22" s="215" t="s">
        <v>168</v>
      </c>
      <c r="C22" s="73" t="s">
        <v>169</v>
      </c>
      <c r="D22" s="255">
        <f t="shared" si="0"/>
        <v>6283419</v>
      </c>
      <c r="E22" s="250">
        <v>6283419</v>
      </c>
      <c r="F22" s="134"/>
      <c r="G22" s="135"/>
    </row>
    <row r="23" spans="1:7" ht="15">
      <c r="A23" s="217" t="s">
        <v>211</v>
      </c>
      <c r="B23" s="215" t="s">
        <v>170</v>
      </c>
      <c r="C23" s="73" t="s">
        <v>171</v>
      </c>
      <c r="D23" s="255">
        <f t="shared" si="0"/>
        <v>1000000</v>
      </c>
      <c r="E23" s="250"/>
      <c r="F23" s="134">
        <v>1000000</v>
      </c>
      <c r="G23" s="135"/>
    </row>
    <row r="24" spans="1:7" ht="15">
      <c r="A24" s="217" t="s">
        <v>213</v>
      </c>
      <c r="B24" s="215" t="s">
        <v>172</v>
      </c>
      <c r="C24" s="73" t="s">
        <v>173</v>
      </c>
      <c r="D24" s="255">
        <f t="shared" si="0"/>
        <v>1943100</v>
      </c>
      <c r="E24" s="250">
        <v>1943100</v>
      </c>
      <c r="F24" s="134"/>
      <c r="G24" s="135"/>
    </row>
    <row r="25" spans="1:7" ht="15">
      <c r="A25" s="217" t="s">
        <v>215</v>
      </c>
      <c r="B25" s="215" t="s">
        <v>174</v>
      </c>
      <c r="C25" s="73" t="s">
        <v>175</v>
      </c>
      <c r="D25" s="255">
        <f t="shared" si="0"/>
        <v>232410</v>
      </c>
      <c r="E25" s="250">
        <v>232410</v>
      </c>
      <c r="F25" s="134"/>
      <c r="G25" s="135"/>
    </row>
    <row r="26" spans="1:7" ht="15">
      <c r="A26" s="217" t="s">
        <v>220</v>
      </c>
      <c r="B26" s="215" t="s">
        <v>176</v>
      </c>
      <c r="C26" s="73" t="s">
        <v>177</v>
      </c>
      <c r="D26" s="255">
        <f t="shared" si="0"/>
        <v>103288416</v>
      </c>
      <c r="E26" s="250">
        <f>102017141+25+234696+104+964900</f>
        <v>103216866</v>
      </c>
      <c r="F26" s="134">
        <v>71550</v>
      </c>
      <c r="G26" s="135"/>
    </row>
    <row r="27" spans="1:7" ht="15">
      <c r="A27" s="217" t="s">
        <v>222</v>
      </c>
      <c r="B27" s="215" t="s">
        <v>178</v>
      </c>
      <c r="C27" s="73" t="s">
        <v>16</v>
      </c>
      <c r="D27" s="255">
        <f t="shared" si="0"/>
        <v>146050</v>
      </c>
      <c r="E27" s="250">
        <v>146050</v>
      </c>
      <c r="F27" s="134"/>
      <c r="G27" s="135"/>
    </row>
    <row r="28" spans="1:7" ht="15">
      <c r="A28" s="217" t="s">
        <v>224</v>
      </c>
      <c r="B28" s="215" t="s">
        <v>448</v>
      </c>
      <c r="C28" s="73" t="s">
        <v>449</v>
      </c>
      <c r="D28" s="255">
        <f t="shared" si="0"/>
        <v>337700</v>
      </c>
      <c r="E28" s="250">
        <v>337700</v>
      </c>
      <c r="F28" s="134"/>
      <c r="G28" s="135"/>
    </row>
    <row r="29" spans="1:7" ht="15">
      <c r="A29" s="217" t="s">
        <v>231</v>
      </c>
      <c r="B29" s="215" t="s">
        <v>179</v>
      </c>
      <c r="C29" s="73" t="s">
        <v>180</v>
      </c>
      <c r="D29" s="255">
        <f t="shared" si="0"/>
        <v>675000</v>
      </c>
      <c r="E29" s="250">
        <v>675000</v>
      </c>
      <c r="F29" s="134"/>
      <c r="G29" s="135"/>
    </row>
    <row r="30" spans="1:7" ht="15">
      <c r="A30" s="217" t="s">
        <v>234</v>
      </c>
      <c r="B30" s="215" t="s">
        <v>181</v>
      </c>
      <c r="C30" s="73" t="s">
        <v>19</v>
      </c>
      <c r="D30" s="255">
        <f t="shared" si="0"/>
        <v>1097824</v>
      </c>
      <c r="E30" s="250">
        <v>1083514</v>
      </c>
      <c r="F30" s="134">
        <v>14310</v>
      </c>
      <c r="G30" s="135"/>
    </row>
    <row r="31" spans="1:7" ht="15">
      <c r="A31" s="217" t="s">
        <v>236</v>
      </c>
      <c r="B31" s="215" t="s">
        <v>309</v>
      </c>
      <c r="C31" s="73" t="s">
        <v>316</v>
      </c>
      <c r="D31" s="255">
        <f t="shared" si="0"/>
        <v>3545527</v>
      </c>
      <c r="E31" s="250">
        <v>3524062</v>
      </c>
      <c r="F31" s="134">
        <v>21465</v>
      </c>
      <c r="G31" s="135"/>
    </row>
    <row r="32" spans="1:7" ht="15">
      <c r="A32" s="217" t="s">
        <v>297</v>
      </c>
      <c r="B32" s="215" t="s">
        <v>317</v>
      </c>
      <c r="C32" s="73" t="s">
        <v>318</v>
      </c>
      <c r="D32" s="255">
        <f t="shared" si="0"/>
        <v>231500</v>
      </c>
      <c r="E32" s="250">
        <v>231500</v>
      </c>
      <c r="F32" s="134"/>
      <c r="G32" s="135"/>
    </row>
    <row r="33" spans="1:7" ht="15">
      <c r="A33" s="217" t="s">
        <v>299</v>
      </c>
      <c r="B33" s="215" t="s">
        <v>182</v>
      </c>
      <c r="C33" s="73" t="s">
        <v>17</v>
      </c>
      <c r="D33" s="255">
        <f t="shared" si="0"/>
        <v>120000</v>
      </c>
      <c r="E33" s="250"/>
      <c r="F33" s="134">
        <v>120000</v>
      </c>
      <c r="G33" s="135"/>
    </row>
    <row r="34" spans="1:7" ht="15">
      <c r="A34" s="217" t="s">
        <v>332</v>
      </c>
      <c r="B34" s="215" t="s">
        <v>183</v>
      </c>
      <c r="C34" s="73" t="s">
        <v>184</v>
      </c>
      <c r="D34" s="255">
        <f t="shared" si="0"/>
        <v>0</v>
      </c>
      <c r="E34" s="250"/>
      <c r="F34" s="134">
        <f>100000-100000</f>
        <v>0</v>
      </c>
      <c r="G34" s="135"/>
    </row>
    <row r="35" spans="1:7" ht="15">
      <c r="A35" s="217" t="s">
        <v>333</v>
      </c>
      <c r="B35" s="215">
        <v>104051</v>
      </c>
      <c r="C35" s="76" t="s">
        <v>305</v>
      </c>
      <c r="D35" s="255">
        <f t="shared" si="0"/>
        <v>0</v>
      </c>
      <c r="E35" s="250"/>
      <c r="F35" s="134"/>
      <c r="G35" s="135"/>
    </row>
    <row r="36" spans="1:14" ht="15">
      <c r="A36" s="217" t="s">
        <v>334</v>
      </c>
      <c r="B36" s="215">
        <v>107052</v>
      </c>
      <c r="C36" s="76" t="s">
        <v>186</v>
      </c>
      <c r="D36" s="255">
        <f t="shared" si="0"/>
        <v>132050</v>
      </c>
      <c r="E36" s="252">
        <v>132050</v>
      </c>
      <c r="F36" s="77"/>
      <c r="G36" s="245"/>
      <c r="H36" s="195"/>
      <c r="I36" s="195"/>
      <c r="J36" s="196"/>
      <c r="K36" s="197"/>
      <c r="L36" s="197"/>
      <c r="M36" s="197"/>
      <c r="N36" s="196"/>
    </row>
    <row r="37" spans="1:7" ht="15.75" thickBot="1">
      <c r="A37" s="246" t="s">
        <v>335</v>
      </c>
      <c r="B37" s="215">
        <v>107060</v>
      </c>
      <c r="C37" s="73" t="s">
        <v>187</v>
      </c>
      <c r="D37" s="255">
        <f>SUM(E37:G37)</f>
        <v>2770640</v>
      </c>
      <c r="E37" s="250">
        <f>2730000+40640</f>
        <v>2770640</v>
      </c>
      <c r="F37" s="134"/>
      <c r="G37" s="135"/>
    </row>
    <row r="38" spans="1:7" ht="18.75" customHeight="1" thickBot="1">
      <c r="A38" s="340" t="s">
        <v>336</v>
      </c>
      <c r="B38" s="232"/>
      <c r="C38" s="247" t="s">
        <v>380</v>
      </c>
      <c r="D38" s="302">
        <f>SUM(D14:D37)</f>
        <v>166601736</v>
      </c>
      <c r="E38" s="303">
        <f>SUM(E14:E37)</f>
        <v>163765417</v>
      </c>
      <c r="F38" s="302">
        <f>SUM(F14:F37)</f>
        <v>2836319</v>
      </c>
      <c r="G38" s="302">
        <f>SUM(G14:G37)</f>
        <v>0</v>
      </c>
    </row>
    <row r="39" ht="12.75">
      <c r="A39" s="194"/>
    </row>
    <row r="40" spans="1:7" ht="15">
      <c r="A40" s="217" t="s">
        <v>337</v>
      </c>
      <c r="B40" s="215" t="s">
        <v>327</v>
      </c>
      <c r="C40" s="73" t="s">
        <v>328</v>
      </c>
      <c r="D40" s="255">
        <f aca="true" t="shared" si="1" ref="D40:D45">SUM(E40:G40)</f>
        <v>89479</v>
      </c>
      <c r="E40" s="250">
        <v>89479</v>
      </c>
      <c r="F40" s="321"/>
      <c r="G40" s="321"/>
    </row>
    <row r="41" spans="1:7" ht="15">
      <c r="A41" s="217" t="s">
        <v>338</v>
      </c>
      <c r="B41" s="215" t="s">
        <v>373</v>
      </c>
      <c r="C41" s="73" t="s">
        <v>374</v>
      </c>
      <c r="D41" s="255">
        <f t="shared" si="1"/>
        <v>0</v>
      </c>
      <c r="E41" s="250">
        <f>89479-89479</f>
        <v>0</v>
      </c>
      <c r="F41" s="321"/>
      <c r="G41" s="321"/>
    </row>
    <row r="42" spans="1:7" ht="15">
      <c r="A42" s="217" t="s">
        <v>366</v>
      </c>
      <c r="B42" s="215" t="s">
        <v>251</v>
      </c>
      <c r="C42" s="73" t="s">
        <v>252</v>
      </c>
      <c r="D42" s="255">
        <f t="shared" si="1"/>
        <v>8226029</v>
      </c>
      <c r="E42" s="250">
        <f>7737176+427691</f>
        <v>8164867</v>
      </c>
      <c r="F42" s="134">
        <v>61162</v>
      </c>
      <c r="G42" s="135"/>
    </row>
    <row r="43" spans="1:7" ht="15">
      <c r="A43" s="294" t="s">
        <v>376</v>
      </c>
      <c r="B43" s="215" t="s">
        <v>253</v>
      </c>
      <c r="C43" s="73" t="s">
        <v>254</v>
      </c>
      <c r="D43" s="255">
        <f t="shared" si="1"/>
        <v>1974827</v>
      </c>
      <c r="E43" s="250"/>
      <c r="F43" s="134">
        <f>1876128+98699</f>
        <v>1974827</v>
      </c>
      <c r="G43" s="135"/>
    </row>
    <row r="44" spans="1:7" ht="15">
      <c r="A44" s="294" t="s">
        <v>377</v>
      </c>
      <c r="B44" s="215" t="s">
        <v>253</v>
      </c>
      <c r="C44" s="73" t="s">
        <v>382</v>
      </c>
      <c r="D44" s="255">
        <f t="shared" si="1"/>
        <v>1711172</v>
      </c>
      <c r="E44" s="250"/>
      <c r="F44" s="134">
        <f>1628924+82248</f>
        <v>1711172</v>
      </c>
      <c r="G44" s="135"/>
    </row>
    <row r="45" spans="1:7" ht="15.75" thickBot="1">
      <c r="A45" s="294" t="s">
        <v>406</v>
      </c>
      <c r="B45" s="216" t="s">
        <v>185</v>
      </c>
      <c r="C45" s="295" t="s">
        <v>381</v>
      </c>
      <c r="D45" s="296">
        <f t="shared" si="1"/>
        <v>4377487</v>
      </c>
      <c r="E45" s="297">
        <f>4133060+213846</f>
        <v>4346906</v>
      </c>
      <c r="F45" s="298">
        <v>30581</v>
      </c>
      <c r="G45" s="299"/>
    </row>
    <row r="46" spans="1:7" ht="18" customHeight="1" thickBot="1">
      <c r="A46" s="300" t="s">
        <v>428</v>
      </c>
      <c r="B46" s="300"/>
      <c r="C46" s="287" t="s">
        <v>378</v>
      </c>
      <c r="D46" s="301">
        <f>D42+D43+D44+D45+D41+D40</f>
        <v>16378994</v>
      </c>
      <c r="E46" s="301">
        <f>E42+E43+E44+E45+E41+E40</f>
        <v>12601252</v>
      </c>
      <c r="F46" s="301">
        <f>F42+F43+F44+F45</f>
        <v>3777742</v>
      </c>
      <c r="G46" s="301">
        <f>G42+G43+G44+G45</f>
        <v>0</v>
      </c>
    </row>
    <row r="47" spans="1:7" ht="24.75" customHeight="1" thickBot="1">
      <c r="A47" s="300" t="s">
        <v>450</v>
      </c>
      <c r="B47" s="300"/>
      <c r="C47" s="288" t="s">
        <v>379</v>
      </c>
      <c r="D47" s="301">
        <f>D38+D46</f>
        <v>182980730</v>
      </c>
      <c r="E47" s="301">
        <f>E38+E46</f>
        <v>176366669</v>
      </c>
      <c r="F47" s="301">
        <f>F38+F46</f>
        <v>6614061</v>
      </c>
      <c r="G47" s="301">
        <f>G38+G46</f>
        <v>0</v>
      </c>
    </row>
    <row r="49" ht="12.75">
      <c r="D49" s="322"/>
    </row>
    <row r="50" ht="12.75">
      <c r="D50" s="322"/>
    </row>
  </sheetData>
  <sheetProtection/>
  <mergeCells count="12">
    <mergeCell ref="A1:G1"/>
    <mergeCell ref="E12:G13"/>
    <mergeCell ref="A3:G3"/>
    <mergeCell ref="C4:G4"/>
    <mergeCell ref="C6:G6"/>
    <mergeCell ref="C7:G7"/>
    <mergeCell ref="C8:G8"/>
    <mergeCell ref="A10:A13"/>
    <mergeCell ref="B10:B13"/>
    <mergeCell ref="C10:C13"/>
    <mergeCell ref="D10:D13"/>
    <mergeCell ref="E10:G10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86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350" t="s">
        <v>473</v>
      </c>
      <c r="B1" s="350"/>
      <c r="C1" s="350"/>
    </row>
    <row r="3" spans="1:3" ht="15.75">
      <c r="A3" s="348" t="s">
        <v>422</v>
      </c>
      <c r="B3" s="348"/>
      <c r="C3" s="348"/>
    </row>
    <row r="4" s="79" customFormat="1" ht="15.75">
      <c r="C4" s="85"/>
    </row>
    <row r="5" spans="1:3" s="72" customFormat="1" ht="15">
      <c r="A5" s="455"/>
      <c r="B5" s="455"/>
      <c r="C5" s="455"/>
    </row>
    <row r="6" spans="1:3" s="72" customFormat="1" ht="6.75" customHeight="1">
      <c r="A6" s="80"/>
      <c r="B6" s="38"/>
      <c r="C6" s="38"/>
    </row>
    <row r="7" spans="1:3" ht="15.75">
      <c r="A7" s="352" t="s">
        <v>3</v>
      </c>
      <c r="B7" s="352"/>
      <c r="C7" s="352"/>
    </row>
    <row r="8" spans="1:3" ht="15.75">
      <c r="A8" s="363" t="s">
        <v>241</v>
      </c>
      <c r="B8" s="363"/>
      <c r="C8" s="363"/>
    </row>
    <row r="9" spans="1:3" ht="15.75">
      <c r="A9" s="363" t="s">
        <v>188</v>
      </c>
      <c r="B9" s="363"/>
      <c r="C9" s="363"/>
    </row>
    <row r="10" spans="1:3" ht="15.75">
      <c r="A10" s="363" t="s">
        <v>413</v>
      </c>
      <c r="B10" s="363"/>
      <c r="C10" s="363"/>
    </row>
    <row r="11" ht="16.5" thickBot="1"/>
    <row r="12" spans="1:3" ht="15.75">
      <c r="A12" s="88" t="s">
        <v>22</v>
      </c>
      <c r="B12" s="81"/>
      <c r="C12" s="89" t="s">
        <v>10</v>
      </c>
    </row>
    <row r="13" spans="1:3" ht="15.75">
      <c r="A13" s="82"/>
      <c r="B13" s="83" t="s">
        <v>0</v>
      </c>
      <c r="C13" s="90" t="s">
        <v>6</v>
      </c>
    </row>
    <row r="14" spans="1:4" ht="18" customHeight="1" thickBot="1">
      <c r="A14" s="84" t="s">
        <v>23</v>
      </c>
      <c r="B14" s="91"/>
      <c r="C14" s="92" t="s">
        <v>1</v>
      </c>
      <c r="D14" s="233"/>
    </row>
    <row r="15" spans="2:4" ht="8.25" customHeight="1">
      <c r="B15" s="190"/>
      <c r="C15" s="191"/>
      <c r="D15" s="118"/>
    </row>
    <row r="16" spans="1:3" ht="20.25" customHeight="1">
      <c r="A16" s="452" t="s">
        <v>189</v>
      </c>
      <c r="B16" s="452"/>
      <c r="C16" s="452"/>
    </row>
    <row r="17" spans="1:3" ht="20.25" customHeight="1">
      <c r="A17" s="93" t="s">
        <v>24</v>
      </c>
      <c r="B17" s="94" t="s">
        <v>190</v>
      </c>
      <c r="C17" s="95"/>
    </row>
    <row r="18" spans="1:3" ht="20.25" customHeight="1">
      <c r="A18" s="93"/>
      <c r="B18" s="13" t="s">
        <v>191</v>
      </c>
      <c r="C18" s="95">
        <f>'2.mell - bevétel'!H50</f>
        <v>35714003</v>
      </c>
    </row>
    <row r="19" spans="1:5" ht="20.25" customHeight="1">
      <c r="A19" s="93"/>
      <c r="B19" s="50" t="s">
        <v>192</v>
      </c>
      <c r="C19" s="95">
        <f>'1.mell. -mérleg'!C13</f>
        <v>160460</v>
      </c>
      <c r="D19" s="47"/>
      <c r="E19" s="47"/>
    </row>
    <row r="20" spans="1:3" ht="20.25" customHeight="1">
      <c r="A20" s="93" t="s">
        <v>15</v>
      </c>
      <c r="B20" s="94" t="s">
        <v>193</v>
      </c>
      <c r="C20" s="95">
        <f>'2.mell - bevétel'!H76</f>
        <v>6128056</v>
      </c>
    </row>
    <row r="21" spans="1:3" ht="20.25" customHeight="1">
      <c r="A21" s="93" t="s">
        <v>25</v>
      </c>
      <c r="B21" s="94" t="s">
        <v>194</v>
      </c>
      <c r="C21" s="95">
        <f>'2.mell - bevétel'!H98</f>
        <v>11024170</v>
      </c>
    </row>
    <row r="22" spans="1:3" ht="20.25" customHeight="1">
      <c r="A22" s="93" t="s">
        <v>68</v>
      </c>
      <c r="B22" s="96" t="s">
        <v>195</v>
      </c>
      <c r="C22" s="95"/>
    </row>
    <row r="23" spans="1:5" ht="36" customHeight="1">
      <c r="A23" s="93"/>
      <c r="B23" s="50" t="s">
        <v>196</v>
      </c>
      <c r="C23" s="95"/>
      <c r="D23" s="50"/>
      <c r="E23" s="50"/>
    </row>
    <row r="24" spans="1:3" ht="20.25" customHeight="1">
      <c r="A24" s="93"/>
      <c r="B24" s="13" t="s">
        <v>197</v>
      </c>
      <c r="C24" s="95"/>
    </row>
    <row r="25" spans="1:3" ht="30" customHeight="1">
      <c r="A25" s="256"/>
      <c r="B25" s="257" t="s">
        <v>198</v>
      </c>
      <c r="C25" s="113">
        <f>SUM(C18:C24)</f>
        <v>53026689</v>
      </c>
    </row>
    <row r="26" spans="1:3" ht="21" customHeight="1">
      <c r="A26" s="87" t="s">
        <v>69</v>
      </c>
      <c r="B26" s="94" t="s">
        <v>199</v>
      </c>
      <c r="C26" s="14">
        <f>'4.mell. - kiadás'!E49</f>
        <v>24850551</v>
      </c>
    </row>
    <row r="27" spans="1:3" ht="21" customHeight="1">
      <c r="A27" s="87" t="s">
        <v>75</v>
      </c>
      <c r="B27" s="94" t="s">
        <v>200</v>
      </c>
      <c r="C27" s="14">
        <f>'4.mell. - kiadás'!F49</f>
        <v>4343697</v>
      </c>
    </row>
    <row r="28" spans="1:3" ht="21" customHeight="1">
      <c r="A28" s="87" t="s">
        <v>201</v>
      </c>
      <c r="B28" s="100" t="s">
        <v>202</v>
      </c>
      <c r="C28" s="14">
        <f>'4.mell. - kiadás'!G49</f>
        <v>27510946</v>
      </c>
    </row>
    <row r="29" spans="1:3" ht="21" customHeight="1">
      <c r="A29" s="87" t="s">
        <v>203</v>
      </c>
      <c r="B29" s="100" t="s">
        <v>204</v>
      </c>
      <c r="C29" s="14">
        <f>'4.mell. - kiadás'!H49</f>
        <v>2700000</v>
      </c>
    </row>
    <row r="30" spans="1:3" ht="21" customHeight="1">
      <c r="A30" s="87" t="s">
        <v>205</v>
      </c>
      <c r="B30" s="100" t="s">
        <v>206</v>
      </c>
      <c r="C30" s="14"/>
    </row>
    <row r="31" spans="1:3" ht="32.25" customHeight="1">
      <c r="A31" s="87"/>
      <c r="B31" s="50" t="s">
        <v>207</v>
      </c>
      <c r="C31" s="102"/>
    </row>
    <row r="32" spans="1:3" ht="15.75">
      <c r="A32" s="87"/>
      <c r="B32" s="101" t="s">
        <v>403</v>
      </c>
      <c r="C32" s="102">
        <f>'4.mell. - kiadás'!I49</f>
        <v>2570200</v>
      </c>
    </row>
    <row r="33" spans="1:5" ht="15.75">
      <c r="A33" s="87"/>
      <c r="B33" s="101" t="s">
        <v>208</v>
      </c>
      <c r="C33" s="86">
        <f>'1.mell. -mérleg'!C41</f>
        <v>18619825</v>
      </c>
      <c r="E33" s="52"/>
    </row>
    <row r="34" spans="1:6" ht="33.75" customHeight="1">
      <c r="A34" s="256"/>
      <c r="B34" s="257" t="s">
        <v>209</v>
      </c>
      <c r="C34" s="113">
        <f>SUM(C26:C33)</f>
        <v>80595219</v>
      </c>
      <c r="E34" s="52"/>
      <c r="F34" s="52"/>
    </row>
    <row r="35" spans="1:3" ht="15.75">
      <c r="A35" s="453"/>
      <c r="B35" s="453"/>
      <c r="C35" s="453"/>
    </row>
    <row r="36" spans="1:3" ht="15.75">
      <c r="A36" s="188"/>
      <c r="B36" s="188"/>
      <c r="C36" s="188"/>
    </row>
    <row r="37" spans="1:3" ht="15.75">
      <c r="A37" s="188"/>
      <c r="B37" s="188"/>
      <c r="C37" s="188"/>
    </row>
    <row r="38" spans="1:3" ht="15.75">
      <c r="A38" s="188"/>
      <c r="B38" s="188"/>
      <c r="C38" s="188"/>
    </row>
    <row r="39" spans="1:3" ht="15.75">
      <c r="A39" s="188"/>
      <c r="B39" s="339" t="s">
        <v>465</v>
      </c>
      <c r="C39" s="188"/>
    </row>
    <row r="40" spans="1:3" ht="16.5" thickBot="1">
      <c r="A40" s="188"/>
      <c r="B40" s="188"/>
      <c r="C40" s="188"/>
    </row>
    <row r="41" spans="1:3" ht="15.75">
      <c r="A41" s="88" t="s">
        <v>22</v>
      </c>
      <c r="B41" s="81"/>
      <c r="C41" s="89" t="s">
        <v>10</v>
      </c>
    </row>
    <row r="42" spans="1:3" ht="12.75" customHeight="1">
      <c r="A42" s="82"/>
      <c r="B42" s="83" t="s">
        <v>0</v>
      </c>
      <c r="C42" s="90"/>
    </row>
    <row r="43" spans="1:3" ht="21.75" customHeight="1" thickBot="1">
      <c r="A43" s="84" t="s">
        <v>23</v>
      </c>
      <c r="B43" s="91"/>
      <c r="C43" s="92" t="s">
        <v>6</v>
      </c>
    </row>
    <row r="44" spans="1:3" ht="12" customHeight="1">
      <c r="A44" s="108"/>
      <c r="B44" s="189"/>
      <c r="C44" s="118"/>
    </row>
    <row r="45" spans="1:3" ht="21" customHeight="1">
      <c r="A45" s="454" t="s">
        <v>210</v>
      </c>
      <c r="B45" s="454"/>
      <c r="C45" s="454"/>
    </row>
    <row r="46" spans="1:2" ht="21" customHeight="1">
      <c r="A46" s="87" t="s">
        <v>211</v>
      </c>
      <c r="B46" s="30" t="s">
        <v>212</v>
      </c>
    </row>
    <row r="47" spans="1:3" ht="21" customHeight="1">
      <c r="A47" s="87" t="s">
        <v>213</v>
      </c>
      <c r="B47" s="30" t="s">
        <v>214</v>
      </c>
      <c r="C47" s="86">
        <f>'2.mell - bevétel'!H59</f>
        <v>0</v>
      </c>
    </row>
    <row r="48" spans="1:2" ht="21" customHeight="1">
      <c r="A48" s="87" t="s">
        <v>215</v>
      </c>
      <c r="B48" s="96" t="s">
        <v>216</v>
      </c>
    </row>
    <row r="49" spans="1:3" ht="31.5" customHeight="1">
      <c r="A49" s="87"/>
      <c r="B49" s="65" t="s">
        <v>217</v>
      </c>
      <c r="C49" s="86">
        <f>'2.mell - bevétel'!H105+'2.mell - bevétel'!H104</f>
        <v>2277879</v>
      </c>
    </row>
    <row r="50" spans="1:3" ht="21" customHeight="1">
      <c r="A50" s="87"/>
      <c r="B50" s="19" t="s">
        <v>218</v>
      </c>
      <c r="C50" s="86">
        <f>'2.mell - bevétel'!H106</f>
        <v>6000000</v>
      </c>
    </row>
    <row r="51" spans="1:5" ht="30" customHeight="1">
      <c r="A51" s="256"/>
      <c r="B51" s="257" t="s">
        <v>219</v>
      </c>
      <c r="C51" s="113">
        <f>SUM(C46:C50)</f>
        <v>8277879</v>
      </c>
      <c r="E51" s="52"/>
    </row>
    <row r="52" spans="1:3" ht="21" customHeight="1">
      <c r="A52" s="87" t="s">
        <v>220</v>
      </c>
      <c r="B52" s="30" t="s">
        <v>221</v>
      </c>
      <c r="C52" s="86">
        <f>'4.mell. - kiadás'!L49</f>
        <v>10258089</v>
      </c>
    </row>
    <row r="53" spans="1:3" ht="21" customHeight="1">
      <c r="A53" s="87" t="s">
        <v>222</v>
      </c>
      <c r="B53" s="30" t="s">
        <v>223</v>
      </c>
      <c r="C53" s="86">
        <f>'4.mell. - kiadás'!M49</f>
        <v>87074490</v>
      </c>
    </row>
    <row r="54" spans="1:2" ht="21" customHeight="1">
      <c r="A54" s="87" t="s">
        <v>224</v>
      </c>
      <c r="B54" s="96" t="s">
        <v>225</v>
      </c>
    </row>
    <row r="55" spans="1:3" ht="21" customHeight="1">
      <c r="A55" s="87"/>
      <c r="B55" s="101" t="s">
        <v>226</v>
      </c>
      <c r="C55" s="86">
        <f>'4.mell. - kiadás'!N49</f>
        <v>3603573</v>
      </c>
    </row>
    <row r="56" spans="1:2" ht="21" customHeight="1">
      <c r="A56" s="87"/>
      <c r="B56" s="101" t="s">
        <v>208</v>
      </c>
    </row>
    <row r="57" spans="1:6" s="9" customFormat="1" ht="27.75" customHeight="1" thickBot="1">
      <c r="A57" s="256"/>
      <c r="B57" s="257" t="s">
        <v>227</v>
      </c>
      <c r="C57" s="113">
        <f>SUM(C52:C56)</f>
        <v>100936152</v>
      </c>
      <c r="F57" s="103"/>
    </row>
    <row r="58" spans="1:3" s="9" customFormat="1" ht="24" customHeight="1" thickBot="1">
      <c r="A58" s="104"/>
      <c r="B58" s="105" t="s">
        <v>228</v>
      </c>
      <c r="C58" s="106">
        <f>C25+C51</f>
        <v>61304568</v>
      </c>
    </row>
    <row r="59" spans="1:6" s="9" customFormat="1" ht="22.5" customHeight="1" thickBot="1">
      <c r="A59" s="104"/>
      <c r="B59" s="105" t="s">
        <v>229</v>
      </c>
      <c r="C59" s="106">
        <f>C34+C57</f>
        <v>181531371</v>
      </c>
      <c r="F59" s="103"/>
    </row>
    <row r="60" spans="1:3" s="9" customFormat="1" ht="15.75">
      <c r="A60" s="107"/>
      <c r="B60" s="108"/>
      <c r="C60" s="109"/>
    </row>
    <row r="61" spans="1:3" s="110" customFormat="1" ht="9.75" customHeight="1">
      <c r="A61" s="192"/>
      <c r="B61" s="192"/>
      <c r="C61" s="192"/>
    </row>
    <row r="62" spans="1:3" s="110" customFormat="1" ht="9" customHeight="1">
      <c r="A62" s="108"/>
      <c r="B62" s="117"/>
      <c r="C62" s="118"/>
    </row>
    <row r="63" spans="1:3" ht="20.25" customHeight="1">
      <c r="A63" s="451" t="s">
        <v>230</v>
      </c>
      <c r="B63" s="451"/>
      <c r="C63" s="451"/>
    </row>
    <row r="64" spans="1:3" ht="6.75" customHeight="1">
      <c r="A64" s="111"/>
      <c r="B64" s="111"/>
      <c r="C64" s="111"/>
    </row>
    <row r="65" spans="1:3" ht="20.25" customHeight="1">
      <c r="A65" s="97" t="s">
        <v>231</v>
      </c>
      <c r="B65" s="112" t="s">
        <v>232</v>
      </c>
      <c r="C65" s="99">
        <f>'2.mell - bevétel'!H118-C66</f>
        <v>120226803</v>
      </c>
    </row>
    <row r="66" spans="1:3" ht="20.25" customHeight="1">
      <c r="A66" s="97" t="s">
        <v>234</v>
      </c>
      <c r="B66" s="98" t="s">
        <v>404</v>
      </c>
      <c r="C66" s="99">
        <f>'2.mell - bevétel'!H115</f>
        <v>1449359</v>
      </c>
    </row>
    <row r="67" spans="1:3" ht="21" customHeight="1">
      <c r="A67" s="97"/>
      <c r="B67" s="98" t="s">
        <v>233</v>
      </c>
      <c r="C67" s="113">
        <f>SUM(C65:C66)</f>
        <v>121676162</v>
      </c>
    </row>
    <row r="68" spans="1:3" ht="21" customHeight="1">
      <c r="A68" s="93" t="s">
        <v>236</v>
      </c>
      <c r="B68" s="98" t="s">
        <v>319</v>
      </c>
      <c r="C68" s="316">
        <f>'4.mell. - kiadás'!S49</f>
        <v>1449359</v>
      </c>
    </row>
    <row r="69" spans="1:3" ht="15.75">
      <c r="A69" s="93" t="s">
        <v>297</v>
      </c>
      <c r="B69" s="112" t="s">
        <v>235</v>
      </c>
      <c r="C69" s="99"/>
    </row>
    <row r="70" spans="1:3" ht="15.75">
      <c r="A70" s="87" t="s">
        <v>299</v>
      </c>
      <c r="B70" s="112" t="s">
        <v>237</v>
      </c>
      <c r="C70" s="99"/>
    </row>
    <row r="71" spans="1:3" s="114" customFormat="1" ht="30" customHeight="1" thickBot="1">
      <c r="A71" s="97"/>
      <c r="B71" s="98" t="s">
        <v>238</v>
      </c>
      <c r="C71" s="113">
        <f>SUM(C68:C70)</f>
        <v>1449359</v>
      </c>
    </row>
    <row r="72" spans="1:5" s="114" customFormat="1" ht="37.5" customHeight="1" thickBot="1">
      <c r="A72" s="115"/>
      <c r="B72" s="258" t="s">
        <v>239</v>
      </c>
      <c r="C72" s="259">
        <f>C58+C67</f>
        <v>182980730</v>
      </c>
      <c r="E72" s="116"/>
    </row>
    <row r="73" spans="1:5" ht="34.5" customHeight="1" thickBot="1">
      <c r="A73" s="115"/>
      <c r="B73" s="258" t="s">
        <v>240</v>
      </c>
      <c r="C73" s="259">
        <f>C59+C71</f>
        <v>182980730</v>
      </c>
      <c r="E73" s="116"/>
    </row>
  </sheetData>
  <sheetProtection/>
  <mergeCells count="11">
    <mergeCell ref="A1:C1"/>
    <mergeCell ref="A35:C35"/>
    <mergeCell ref="A45:C45"/>
    <mergeCell ref="A3:C3"/>
    <mergeCell ref="A5:C5"/>
    <mergeCell ref="A7:C7"/>
    <mergeCell ref="A63:C63"/>
    <mergeCell ref="A8:C8"/>
    <mergeCell ref="A9:C9"/>
    <mergeCell ref="A10:C10"/>
    <mergeCell ref="A16:C1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6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125" style="19" customWidth="1"/>
    <col min="2" max="2" width="43.625" style="19" customWidth="1"/>
    <col min="3" max="3" width="15.375" style="14" customWidth="1"/>
    <col min="4" max="4" width="18.00390625" style="14" customWidth="1"/>
    <col min="5" max="5" width="17.375" style="14" customWidth="1"/>
    <col min="6" max="6" width="16.875" style="14" customWidth="1"/>
    <col min="7" max="7" width="16.625" style="14" customWidth="1"/>
    <col min="8" max="8" width="16.875" style="14" customWidth="1"/>
    <col min="9" max="14" width="15.375" style="14" customWidth="1"/>
    <col min="15" max="15" width="16.625" style="14" customWidth="1"/>
    <col min="16" max="17" width="15.625" style="19" bestFit="1" customWidth="1"/>
    <col min="18" max="18" width="12.625" style="19" bestFit="1" customWidth="1"/>
    <col min="19" max="16384" width="9.125" style="19" customWidth="1"/>
  </cols>
  <sheetData>
    <row r="1" spans="1:15" ht="15.75">
      <c r="A1" s="377" t="s">
        <v>474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3" spans="1:15" s="53" customFormat="1" ht="15.75">
      <c r="A3" s="378" t="s">
        <v>423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5" spans="2:15" ht="15.75"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</row>
    <row r="6" spans="2:15" ht="15.75"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</row>
    <row r="7" spans="2:15" ht="15.75">
      <c r="B7" s="346" t="s">
        <v>21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2:15" ht="15.75">
      <c r="B8" s="346" t="s">
        <v>262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</row>
    <row r="9" spans="2:15" ht="15.75">
      <c r="B9" s="346" t="s">
        <v>413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</row>
    <row r="10" spans="3:15" ht="16.5" thickBot="1">
      <c r="C10" s="15"/>
      <c r="D10" s="15"/>
      <c r="E10" s="15"/>
      <c r="F10" s="138"/>
      <c r="G10" s="15"/>
      <c r="H10" s="15"/>
      <c r="I10" s="15"/>
      <c r="J10" s="15"/>
      <c r="O10" s="139" t="s">
        <v>322</v>
      </c>
    </row>
    <row r="11" spans="1:15" ht="15.75">
      <c r="A11" s="140" t="s">
        <v>22</v>
      </c>
      <c r="B11" s="141"/>
      <c r="C11" s="142"/>
      <c r="D11" s="143"/>
      <c r="E11" s="144"/>
      <c r="F11" s="145"/>
      <c r="G11" s="145"/>
      <c r="H11" s="145"/>
      <c r="I11" s="145"/>
      <c r="J11" s="145"/>
      <c r="K11" s="146"/>
      <c r="L11" s="146"/>
      <c r="M11" s="146"/>
      <c r="N11" s="147"/>
      <c r="O11" s="148"/>
    </row>
    <row r="12" spans="1:15" ht="15.75">
      <c r="A12" s="149"/>
      <c r="B12" s="150" t="s">
        <v>0</v>
      </c>
      <c r="C12" s="56" t="s">
        <v>263</v>
      </c>
      <c r="D12" s="151" t="s">
        <v>264</v>
      </c>
      <c r="E12" s="152" t="s">
        <v>265</v>
      </c>
      <c r="F12" s="153" t="s">
        <v>266</v>
      </c>
      <c r="G12" s="153" t="s">
        <v>267</v>
      </c>
      <c r="H12" s="153" t="s">
        <v>268</v>
      </c>
      <c r="I12" s="153" t="s">
        <v>269</v>
      </c>
      <c r="J12" s="153" t="s">
        <v>270</v>
      </c>
      <c r="K12" s="153" t="s">
        <v>271</v>
      </c>
      <c r="L12" s="153" t="s">
        <v>272</v>
      </c>
      <c r="M12" s="153" t="s">
        <v>273</v>
      </c>
      <c r="N12" s="152" t="s">
        <v>274</v>
      </c>
      <c r="O12" s="90" t="s">
        <v>259</v>
      </c>
    </row>
    <row r="13" spans="1:15" ht="16.5" thickBot="1">
      <c r="A13" s="154" t="s">
        <v>23</v>
      </c>
      <c r="B13" s="155"/>
      <c r="C13" s="156"/>
      <c r="D13" s="157"/>
      <c r="E13" s="158"/>
      <c r="F13" s="159"/>
      <c r="G13" s="159"/>
      <c r="H13" s="159"/>
      <c r="I13" s="159"/>
      <c r="J13" s="159"/>
      <c r="K13" s="159"/>
      <c r="L13" s="159"/>
      <c r="M13" s="159"/>
      <c r="N13" s="158"/>
      <c r="O13" s="156"/>
    </row>
    <row r="14" spans="1:15" ht="28.5" customHeight="1">
      <c r="A14" s="160"/>
      <c r="B14" s="161" t="s">
        <v>275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/>
    </row>
    <row r="15" spans="1:15" ht="28.5" customHeight="1">
      <c r="A15" s="160" t="s">
        <v>24</v>
      </c>
      <c r="B15" s="161" t="s">
        <v>276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3"/>
    </row>
    <row r="16" spans="1:15" ht="28.5" customHeight="1">
      <c r="A16" s="160"/>
      <c r="B16" s="161" t="s">
        <v>277</v>
      </c>
      <c r="C16" s="162">
        <f>2243614+756325-364911-92809+434736+42542</f>
        <v>3019497</v>
      </c>
      <c r="D16" s="162">
        <f>2243614+756325-364911-92809+434736+42542</f>
        <v>3019497</v>
      </c>
      <c r="E16" s="162">
        <f>2243614+756325-364911-92809+434736+42542</f>
        <v>3019497</v>
      </c>
      <c r="F16" s="162">
        <f>2243614+756325-364911-92809+434736+42542</f>
        <v>3019497</v>
      </c>
      <c r="G16" s="162">
        <f>2243614+756325-364911-92809+434736+42542</f>
        <v>3019497</v>
      </c>
      <c r="H16" s="162">
        <f>2243614+756325-364911-92809+434736+42542-417779</f>
        <v>2601718</v>
      </c>
      <c r="I16" s="162">
        <f>2243614+756325-364911-92809+434736+42542-700730+130720</f>
        <v>2449487</v>
      </c>
      <c r="J16" s="162">
        <f>2243614+756325-364911-92809+434736+42542+233640</f>
        <v>3253137</v>
      </c>
      <c r="K16" s="162">
        <f>2243614+756325-364911-92809+434736+42542+58410</f>
        <v>3077907</v>
      </c>
      <c r="L16" s="162">
        <f>2243614+756325-364911-92809+434736+42542+58410</f>
        <v>3077907</v>
      </c>
      <c r="M16" s="162">
        <f>2243614+756325-364911-92809+434736+42542+58410</f>
        <v>3077907</v>
      </c>
      <c r="N16" s="162">
        <f>2243614+756325-364911-92809+434736+42542+8+58410+540</f>
        <v>3078455</v>
      </c>
      <c r="O16" s="163">
        <f>SUM(C16:N16)</f>
        <v>35714003</v>
      </c>
    </row>
    <row r="17" spans="1:15" ht="28.5" customHeight="1">
      <c r="A17" s="160"/>
      <c r="B17" s="161" t="s">
        <v>278</v>
      </c>
      <c r="C17" s="162"/>
      <c r="D17" s="162"/>
      <c r="E17" s="162"/>
      <c r="F17" s="162"/>
      <c r="G17" s="162"/>
      <c r="H17" s="162"/>
      <c r="I17" s="162">
        <v>128360</v>
      </c>
      <c r="J17" s="162">
        <v>32100</v>
      </c>
      <c r="K17" s="162"/>
      <c r="L17" s="162"/>
      <c r="M17" s="162"/>
      <c r="N17" s="162"/>
      <c r="O17" s="163">
        <f>SUM(C17:N17)</f>
        <v>160460</v>
      </c>
    </row>
    <row r="18" spans="1:15" ht="15.75">
      <c r="A18" s="160" t="s">
        <v>25</v>
      </c>
      <c r="B18" s="161" t="s">
        <v>279</v>
      </c>
      <c r="C18" s="162">
        <f>(12+44+32+31)*1000+150000</f>
        <v>269000</v>
      </c>
      <c r="D18" s="162">
        <f>(19+12+118+253+31)*1000</f>
        <v>433000</v>
      </c>
      <c r="E18" s="162">
        <f>(1127+11+620+382+31)*1000+37000-1100000</f>
        <v>1108000</v>
      </c>
      <c r="F18" s="162">
        <f>(9+12+76+34+31+200)*1000</f>
        <v>362000</v>
      </c>
      <c r="G18" s="162">
        <f>(408+12+48+35+31-200)*1000</f>
        <v>334000</v>
      </c>
      <c r="H18" s="162">
        <f>(46+12+20+19+31)*1000</f>
        <v>128000</v>
      </c>
      <c r="I18" s="162">
        <f>(12+2+2+31)*1000+150000</f>
        <v>197000</v>
      </c>
      <c r="J18" s="162">
        <f>(12+237+346+31)*1000</f>
        <v>626000</v>
      </c>
      <c r="K18" s="162">
        <f>(1188+11+601+335+31)*1000-1140000+68056</f>
        <v>1094056</v>
      </c>
      <c r="L18" s="162">
        <f>(10+12+27+35+31)*1000+150000</f>
        <v>265000</v>
      </c>
      <c r="M18" s="162">
        <f>(852+11+76+12+31)*1000</f>
        <v>982000</v>
      </c>
      <c r="N18" s="162">
        <f>(241+11+34+15+29)*1000</f>
        <v>330000</v>
      </c>
      <c r="O18" s="163">
        <f aca="true" t="shared" si="0" ref="O18:O27">SUM(C18:N18)</f>
        <v>6128056</v>
      </c>
    </row>
    <row r="19" spans="1:18" ht="15.75">
      <c r="A19" s="160" t="s">
        <v>68</v>
      </c>
      <c r="B19" s="161" t="s">
        <v>280</v>
      </c>
      <c r="C19" s="162">
        <f>840000+76550</f>
        <v>916550</v>
      </c>
      <c r="D19" s="162">
        <f aca="true" t="shared" si="1" ref="D19:K19">840000+76550</f>
        <v>916550</v>
      </c>
      <c r="E19" s="162">
        <f>840000+76550</f>
        <v>916550</v>
      </c>
      <c r="F19" s="162">
        <f t="shared" si="1"/>
        <v>916550</v>
      </c>
      <c r="G19" s="162">
        <f t="shared" si="1"/>
        <v>916550</v>
      </c>
      <c r="H19" s="162">
        <f t="shared" si="1"/>
        <v>916550</v>
      </c>
      <c r="I19" s="162">
        <f t="shared" si="1"/>
        <v>916550</v>
      </c>
      <c r="J19" s="162">
        <f t="shared" si="1"/>
        <v>916550</v>
      </c>
      <c r="K19" s="162">
        <f t="shared" si="1"/>
        <v>916550</v>
      </c>
      <c r="L19" s="162">
        <f>840000+76555</f>
        <v>916555</v>
      </c>
      <c r="M19" s="162">
        <f>840000+17846+7719+76550</f>
        <v>942115</v>
      </c>
      <c r="N19" s="162">
        <f>840000+76550</f>
        <v>916550</v>
      </c>
      <c r="O19" s="163">
        <f t="shared" si="0"/>
        <v>11024170</v>
      </c>
      <c r="Q19" s="185"/>
      <c r="R19" s="185"/>
    </row>
    <row r="20" spans="1:15" ht="15.75">
      <c r="A20" s="160" t="s">
        <v>69</v>
      </c>
      <c r="B20" s="164" t="s">
        <v>281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3">
        <f t="shared" si="0"/>
        <v>0</v>
      </c>
    </row>
    <row r="21" spans="1:15" ht="15.75">
      <c r="A21" s="160" t="s">
        <v>75</v>
      </c>
      <c r="B21" s="164" t="s">
        <v>195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7"/>
      <c r="O21" s="163">
        <f t="shared" si="0"/>
        <v>0</v>
      </c>
    </row>
    <row r="22" spans="1:15" ht="31.5">
      <c r="A22" s="160"/>
      <c r="B22" s="161" t="s">
        <v>282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163">
        <f t="shared" si="0"/>
        <v>0</v>
      </c>
    </row>
    <row r="23" spans="1:15" ht="17.25" customHeight="1">
      <c r="A23" s="160"/>
      <c r="B23" s="161" t="s">
        <v>283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  <c r="O23" s="163">
        <f t="shared" si="0"/>
        <v>0</v>
      </c>
    </row>
    <row r="24" spans="1:15" ht="15.75">
      <c r="A24" s="160" t="s">
        <v>201</v>
      </c>
      <c r="B24" s="164" t="s">
        <v>284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163">
        <f t="shared" si="0"/>
        <v>0</v>
      </c>
    </row>
    <row r="25" spans="1:15" ht="47.25">
      <c r="A25" s="160"/>
      <c r="B25" s="183" t="s">
        <v>285</v>
      </c>
      <c r="C25" s="168">
        <v>28904</v>
      </c>
      <c r="D25" s="168">
        <v>28904</v>
      </c>
      <c r="E25" s="168">
        <v>28904</v>
      </c>
      <c r="F25" s="168">
        <v>28904</v>
      </c>
      <c r="G25" s="168">
        <v>28904</v>
      </c>
      <c r="H25" s="168">
        <v>28904</v>
      </c>
      <c r="I25" s="168">
        <v>28904</v>
      </c>
      <c r="J25" s="168">
        <v>28904</v>
      </c>
      <c r="K25" s="168">
        <f>1952679+7251</f>
        <v>1959930</v>
      </c>
      <c r="L25" s="168">
        <v>28904</v>
      </c>
      <c r="M25" s="168">
        <f>28904+5</f>
        <v>28909</v>
      </c>
      <c r="N25" s="168">
        <v>28904</v>
      </c>
      <c r="O25" s="163">
        <f t="shared" si="0"/>
        <v>2277879</v>
      </c>
    </row>
    <row r="26" spans="1:15" ht="15.75">
      <c r="A26" s="160"/>
      <c r="B26" s="161" t="s">
        <v>286</v>
      </c>
      <c r="C26" s="168"/>
      <c r="D26" s="168"/>
      <c r="E26" s="168"/>
      <c r="F26" s="168"/>
      <c r="G26" s="168"/>
      <c r="H26" s="168"/>
      <c r="I26" s="168"/>
      <c r="J26" s="168">
        <v>3000000</v>
      </c>
      <c r="K26" s="168"/>
      <c r="L26" s="168"/>
      <c r="M26" s="168"/>
      <c r="N26" s="169">
        <v>3000000</v>
      </c>
      <c r="O26" s="163">
        <f t="shared" si="0"/>
        <v>6000000</v>
      </c>
    </row>
    <row r="27" spans="1:15" ht="15.75">
      <c r="A27" s="160" t="s">
        <v>203</v>
      </c>
      <c r="B27" s="164" t="s">
        <v>287</v>
      </c>
      <c r="C27" s="168">
        <f>413192+500000</f>
        <v>913192</v>
      </c>
      <c r="D27" s="168">
        <f>98322035-413192-500000</f>
        <v>97408843</v>
      </c>
      <c r="E27" s="168">
        <v>140000</v>
      </c>
      <c r="F27" s="168"/>
      <c r="G27" s="168">
        <f>25+5+99+234696+964900</f>
        <v>1199725</v>
      </c>
      <c r="H27" s="168"/>
      <c r="I27" s="168">
        <f>289419+20902499+822484</f>
        <v>22014402</v>
      </c>
      <c r="J27" s="168"/>
      <c r="K27" s="168"/>
      <c r="L27" s="168"/>
      <c r="M27" s="168"/>
      <c r="N27" s="169"/>
      <c r="O27" s="163">
        <f t="shared" si="0"/>
        <v>121676162</v>
      </c>
    </row>
    <row r="28" spans="1:15" ht="16.5" thickBot="1">
      <c r="A28" s="170" t="s">
        <v>205</v>
      </c>
      <c r="B28" s="171" t="s">
        <v>288</v>
      </c>
      <c r="C28" s="168"/>
      <c r="D28" s="168">
        <f>C50</f>
        <v>500000</v>
      </c>
      <c r="E28" s="168">
        <f aca="true" t="shared" si="2" ref="E28:N28">D50</f>
        <v>91084307</v>
      </c>
      <c r="F28" s="168">
        <f t="shared" si="2"/>
        <v>90894515</v>
      </c>
      <c r="G28" s="168">
        <f t="shared" si="2"/>
        <v>90685627</v>
      </c>
      <c r="H28" s="168">
        <f t="shared" si="2"/>
        <v>90365760</v>
      </c>
      <c r="I28" s="168">
        <f t="shared" si="2"/>
        <v>61329685</v>
      </c>
      <c r="J28" s="168">
        <f t="shared" si="2"/>
        <v>40250289</v>
      </c>
      <c r="K28" s="168">
        <f t="shared" si="2"/>
        <v>9234046</v>
      </c>
      <c r="L28" s="168">
        <f t="shared" si="2"/>
        <v>9116346</v>
      </c>
      <c r="M28" s="168">
        <f t="shared" si="2"/>
        <v>9052869</v>
      </c>
      <c r="N28" s="168">
        <f t="shared" si="2"/>
        <v>8958228</v>
      </c>
      <c r="O28" s="163"/>
    </row>
    <row r="29" spans="1:16" s="11" customFormat="1" ht="27.75" customHeight="1" thickBot="1">
      <c r="A29" s="172"/>
      <c r="B29" s="172" t="s">
        <v>289</v>
      </c>
      <c r="C29" s="173">
        <f aca="true" t="shared" si="3" ref="C29:N29">SUM(C16:C28)</f>
        <v>5147143</v>
      </c>
      <c r="D29" s="173">
        <f t="shared" si="3"/>
        <v>102306794</v>
      </c>
      <c r="E29" s="173">
        <f t="shared" si="3"/>
        <v>96297258</v>
      </c>
      <c r="F29" s="173">
        <f t="shared" si="3"/>
        <v>95221466</v>
      </c>
      <c r="G29" s="173">
        <f t="shared" si="3"/>
        <v>96184303</v>
      </c>
      <c r="H29" s="173">
        <f t="shared" si="3"/>
        <v>94040932</v>
      </c>
      <c r="I29" s="173">
        <f t="shared" si="3"/>
        <v>87064388</v>
      </c>
      <c r="J29" s="173">
        <f t="shared" si="3"/>
        <v>48106980</v>
      </c>
      <c r="K29" s="173">
        <f t="shared" si="3"/>
        <v>16282489</v>
      </c>
      <c r="L29" s="173">
        <f t="shared" si="3"/>
        <v>13404712</v>
      </c>
      <c r="M29" s="173">
        <f t="shared" si="3"/>
        <v>14083800</v>
      </c>
      <c r="N29" s="173">
        <f t="shared" si="3"/>
        <v>16312137</v>
      </c>
      <c r="O29" s="174">
        <f>SUM(O15:O28)</f>
        <v>182980730</v>
      </c>
      <c r="P29" s="59"/>
    </row>
    <row r="30" spans="1:15" ht="15.75">
      <c r="A30" s="175"/>
      <c r="B30" s="176" t="s">
        <v>290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77"/>
    </row>
    <row r="31" spans="1:17" ht="15.75">
      <c r="A31" s="160" t="s">
        <v>211</v>
      </c>
      <c r="B31" s="164" t="s">
        <v>149</v>
      </c>
      <c r="C31" s="162">
        <v>1841663</v>
      </c>
      <c r="D31" s="162">
        <v>1841663</v>
      </c>
      <c r="E31" s="162">
        <v>1841663</v>
      </c>
      <c r="F31" s="162">
        <f>1841663-82280</f>
        <v>1759383</v>
      </c>
      <c r="G31" s="162">
        <v>1841663</v>
      </c>
      <c r="H31" s="162">
        <f>1841663+32868</f>
        <v>1874531</v>
      </c>
      <c r="I31" s="162">
        <f>1841663+300007</f>
        <v>2141670</v>
      </c>
      <c r="J31" s="162">
        <v>1841663</v>
      </c>
      <c r="K31" s="162">
        <v>1841663</v>
      </c>
      <c r="L31" s="162">
        <v>1841663</v>
      </c>
      <c r="M31" s="162">
        <v>1841663</v>
      </c>
      <c r="N31" s="162">
        <f>1841663+2800000-300000</f>
        <v>4341663</v>
      </c>
      <c r="O31" s="163">
        <f aca="true" t="shared" si="4" ref="O31:O48">SUM(C31:N31)</f>
        <v>24850551</v>
      </c>
      <c r="P31" s="185"/>
      <c r="Q31" s="185"/>
    </row>
    <row r="32" spans="1:17" ht="31.5">
      <c r="A32" s="160" t="s">
        <v>213</v>
      </c>
      <c r="B32" s="183" t="s">
        <v>291</v>
      </c>
      <c r="C32" s="162">
        <v>324480</v>
      </c>
      <c r="D32" s="162">
        <v>324480</v>
      </c>
      <c r="E32" s="162">
        <v>324480</v>
      </c>
      <c r="F32" s="162">
        <f>324480-7199</f>
        <v>317281</v>
      </c>
      <c r="G32" s="162">
        <v>324480</v>
      </c>
      <c r="H32" s="162">
        <f>324480-32868</f>
        <v>291612</v>
      </c>
      <c r="I32" s="162">
        <v>324480</v>
      </c>
      <c r="J32" s="162">
        <f>324480+52500</f>
        <v>376980</v>
      </c>
      <c r="K32" s="162">
        <v>324480</v>
      </c>
      <c r="L32" s="162">
        <v>324480</v>
      </c>
      <c r="M32" s="162">
        <v>324480</v>
      </c>
      <c r="N32" s="162">
        <f>324480+437504</f>
        <v>761984</v>
      </c>
      <c r="O32" s="163">
        <f t="shared" si="4"/>
        <v>4343697</v>
      </c>
      <c r="Q32" s="185"/>
    </row>
    <row r="33" spans="1:17" ht="15.75">
      <c r="A33" s="160" t="s">
        <v>215</v>
      </c>
      <c r="B33" s="164" t="s">
        <v>151</v>
      </c>
      <c r="C33" s="162">
        <f>2391000-270000-500000-100000+180000</f>
        <v>1701000</v>
      </c>
      <c r="D33" s="162">
        <f>1745000+200000+180000</f>
        <v>2125000</v>
      </c>
      <c r="E33" s="162">
        <f>1745000+900000+150000+140000</f>
        <v>2935000</v>
      </c>
      <c r="F33" s="162">
        <f>1745000+50000+160000+89479</f>
        <v>2044479</v>
      </c>
      <c r="G33" s="162">
        <f>1745000+450000+171000+964900</f>
        <v>3330900</v>
      </c>
      <c r="H33" s="162">
        <f>1745000+150000</f>
        <v>1895000</v>
      </c>
      <c r="I33" s="162">
        <f>1745000+300000+150000+40640+822484</f>
        <v>3058124</v>
      </c>
      <c r="J33" s="162">
        <f>1745000+250000+100000</f>
        <v>2095000</v>
      </c>
      <c r="K33" s="162">
        <f>1745000+150000+150000</f>
        <v>2045000</v>
      </c>
      <c r="L33" s="162">
        <f>1745000+60000+171000</f>
        <v>1976000</v>
      </c>
      <c r="M33" s="162">
        <f>1745000+123732+100000+150000</f>
        <v>2118732</v>
      </c>
      <c r="N33" s="162">
        <f>1745000+194797+246914</f>
        <v>2186711</v>
      </c>
      <c r="O33" s="163">
        <f t="shared" si="4"/>
        <v>27510946</v>
      </c>
      <c r="P33" s="185"/>
      <c r="Q33" s="185"/>
    </row>
    <row r="34" spans="1:15" ht="15.75">
      <c r="A34" s="160" t="s">
        <v>220</v>
      </c>
      <c r="B34" s="164" t="s">
        <v>152</v>
      </c>
      <c r="C34" s="162">
        <f>150000-20000</f>
        <v>130000</v>
      </c>
      <c r="D34" s="162">
        <f>150000-30000</f>
        <v>120000</v>
      </c>
      <c r="E34" s="162">
        <v>150000</v>
      </c>
      <c r="F34" s="162">
        <f>150000-10000</f>
        <v>140000</v>
      </c>
      <c r="G34" s="162">
        <f>150000-20000</f>
        <v>130000</v>
      </c>
      <c r="H34" s="162">
        <f>150000-10000</f>
        <v>140000</v>
      </c>
      <c r="I34" s="162">
        <f>150000-20000</f>
        <v>130000</v>
      </c>
      <c r="J34" s="162">
        <f>150000-10000</f>
        <v>140000</v>
      </c>
      <c r="K34" s="162">
        <f>150000-20000</f>
        <v>130000</v>
      </c>
      <c r="L34" s="162">
        <f>150000-10000</f>
        <v>140000</v>
      </c>
      <c r="M34" s="162">
        <f>150000</f>
        <v>150000</v>
      </c>
      <c r="N34" s="162">
        <v>1200000</v>
      </c>
      <c r="O34" s="163">
        <f t="shared" si="4"/>
        <v>2700000</v>
      </c>
    </row>
    <row r="35" spans="1:15" ht="15.75">
      <c r="A35" s="160" t="s">
        <v>222</v>
      </c>
      <c r="B35" s="164" t="s">
        <v>292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</row>
    <row r="36" spans="1:15" ht="15.75">
      <c r="A36" s="160"/>
      <c r="B36" s="164" t="s">
        <v>293</v>
      </c>
      <c r="C36" s="162">
        <v>50000</v>
      </c>
      <c r="D36" s="162"/>
      <c r="E36" s="162"/>
      <c r="F36" s="162"/>
      <c r="G36" s="162"/>
      <c r="H36" s="162"/>
      <c r="I36" s="162"/>
      <c r="J36" s="162">
        <v>50000</v>
      </c>
      <c r="K36" s="162">
        <v>1200000</v>
      </c>
      <c r="L36" s="162"/>
      <c r="M36" s="162"/>
      <c r="N36" s="162"/>
      <c r="O36" s="163">
        <f t="shared" si="4"/>
        <v>1300000</v>
      </c>
    </row>
    <row r="37" spans="1:16" ht="15.75">
      <c r="A37" s="160"/>
      <c r="B37" s="164" t="s">
        <v>294</v>
      </c>
      <c r="C37" s="162"/>
      <c r="D37" s="162">
        <v>79850</v>
      </c>
      <c r="E37" s="162">
        <v>50000</v>
      </c>
      <c r="F37" s="162">
        <v>40000</v>
      </c>
      <c r="G37" s="162">
        <f>209100-17600</f>
        <v>191500</v>
      </c>
      <c r="H37" s="162"/>
      <c r="I37" s="162">
        <v>40000</v>
      </c>
      <c r="J37" s="162">
        <v>40000</v>
      </c>
      <c r="K37" s="162">
        <v>625000</v>
      </c>
      <c r="L37" s="162">
        <v>69700</v>
      </c>
      <c r="M37" s="162">
        <v>54300</v>
      </c>
      <c r="N37" s="162">
        <v>79850</v>
      </c>
      <c r="O37" s="163">
        <f t="shared" si="4"/>
        <v>1270200</v>
      </c>
      <c r="P37" s="185"/>
    </row>
    <row r="38" spans="1:15" ht="15.75">
      <c r="A38" s="160" t="s">
        <v>224</v>
      </c>
      <c r="B38" s="164" t="s">
        <v>155</v>
      </c>
      <c r="C38" s="162"/>
      <c r="D38" s="162">
        <v>51562</v>
      </c>
      <c r="E38" s="162">
        <v>101600</v>
      </c>
      <c r="F38" s="162">
        <v>234696</v>
      </c>
      <c r="G38" s="162"/>
      <c r="H38" s="162"/>
      <c r="I38" s="162"/>
      <c r="J38" s="162">
        <f>1999880+25</f>
        <v>1999905</v>
      </c>
      <c r="K38" s="162"/>
      <c r="L38" s="162"/>
      <c r="M38" s="162">
        <f>280797-152400</f>
        <v>128397</v>
      </c>
      <c r="N38" s="162">
        <v>7741929</v>
      </c>
      <c r="O38" s="163">
        <f t="shared" si="4"/>
        <v>10258089</v>
      </c>
    </row>
    <row r="39" spans="1:15" ht="15.75">
      <c r="A39" s="160" t="s">
        <v>231</v>
      </c>
      <c r="B39" s="164" t="s">
        <v>45</v>
      </c>
      <c r="C39" s="162">
        <v>600000</v>
      </c>
      <c r="D39" s="162">
        <v>2627000</v>
      </c>
      <c r="E39" s="162"/>
      <c r="F39" s="162"/>
      <c r="G39" s="162"/>
      <c r="H39" s="162">
        <f>28510000+104</f>
        <v>28510104</v>
      </c>
      <c r="I39" s="162">
        <v>22500000</v>
      </c>
      <c r="J39" s="162">
        <v>32329386</v>
      </c>
      <c r="K39" s="162"/>
      <c r="L39" s="162"/>
      <c r="M39" s="162">
        <v>508000</v>
      </c>
      <c r="N39" s="162"/>
      <c r="O39" s="163">
        <f t="shared" si="4"/>
        <v>87074490</v>
      </c>
    </row>
    <row r="40" spans="1:15" ht="20.25" customHeight="1">
      <c r="A40" s="160" t="s">
        <v>234</v>
      </c>
      <c r="B40" s="164" t="s">
        <v>225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3">
        <f t="shared" si="4"/>
        <v>0</v>
      </c>
    </row>
    <row r="41" spans="1:15" ht="20.25" customHeight="1">
      <c r="A41" s="160"/>
      <c r="B41" s="164" t="s">
        <v>293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3">
        <f t="shared" si="4"/>
        <v>0</v>
      </c>
    </row>
    <row r="42" spans="1:15" ht="15.75">
      <c r="A42" s="160"/>
      <c r="B42" s="164" t="s">
        <v>294</v>
      </c>
      <c r="C42" s="162"/>
      <c r="D42" s="162">
        <v>2603573</v>
      </c>
      <c r="E42" s="162"/>
      <c r="F42" s="162"/>
      <c r="G42" s="162"/>
      <c r="H42" s="162"/>
      <c r="I42" s="162"/>
      <c r="J42" s="162"/>
      <c r="K42" s="162">
        <v>1000000</v>
      </c>
      <c r="L42" s="162"/>
      <c r="M42" s="162"/>
      <c r="N42" s="162"/>
      <c r="O42" s="163">
        <f t="shared" si="4"/>
        <v>3603573</v>
      </c>
    </row>
    <row r="43" spans="1:15" ht="15.75">
      <c r="A43" s="160" t="s">
        <v>236</v>
      </c>
      <c r="B43" s="164" t="s">
        <v>148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3">
        <f t="shared" si="4"/>
        <v>0</v>
      </c>
    </row>
    <row r="44" spans="1:15" ht="15.75">
      <c r="A44" s="160"/>
      <c r="B44" s="193" t="s">
        <v>321</v>
      </c>
      <c r="C44" s="162"/>
      <c r="D44" s="162">
        <v>1449359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3">
        <f t="shared" si="4"/>
        <v>1449359</v>
      </c>
    </row>
    <row r="45" spans="1:15" ht="15.75">
      <c r="A45" s="160"/>
      <c r="B45" s="164" t="s">
        <v>295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>
        <f t="shared" si="4"/>
        <v>0</v>
      </c>
    </row>
    <row r="46" spans="1:15" ht="15.75">
      <c r="A46" s="160"/>
      <c r="B46" s="164" t="s">
        <v>296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>
        <f t="shared" si="4"/>
        <v>0</v>
      </c>
    </row>
    <row r="47" spans="1:16" ht="15.75">
      <c r="A47" s="160" t="s">
        <v>297</v>
      </c>
      <c r="B47" s="164" t="s">
        <v>298</v>
      </c>
      <c r="C47" s="162"/>
      <c r="D47" s="162"/>
      <c r="E47" s="162"/>
      <c r="F47" s="162"/>
      <c r="G47" s="162"/>
      <c r="H47" s="162"/>
      <c r="I47" s="162">
        <f>20902499-700730+130720+467820+32100-128360-40640+128360-2171944</f>
        <v>18619825</v>
      </c>
      <c r="J47" s="162"/>
      <c r="K47" s="162"/>
      <c r="L47" s="162"/>
      <c r="M47" s="162"/>
      <c r="N47" s="162"/>
      <c r="O47" s="163">
        <f t="shared" si="4"/>
        <v>18619825</v>
      </c>
      <c r="P47" s="185"/>
    </row>
    <row r="48" spans="1:15" ht="16.5" thickBot="1">
      <c r="A48" s="170" t="s">
        <v>299</v>
      </c>
      <c r="B48" s="171" t="s">
        <v>300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3">
        <f t="shared" si="4"/>
        <v>0</v>
      </c>
    </row>
    <row r="49" spans="1:19" s="11" customFormat="1" ht="24" customHeight="1" thickBot="1">
      <c r="A49" s="172"/>
      <c r="B49" s="172" t="s">
        <v>301</v>
      </c>
      <c r="C49" s="173">
        <f aca="true" t="shared" si="5" ref="C49:N49">SUM(C31:C48)</f>
        <v>4647143</v>
      </c>
      <c r="D49" s="173">
        <f t="shared" si="5"/>
        <v>11222487</v>
      </c>
      <c r="E49" s="173">
        <f t="shared" si="5"/>
        <v>5402743</v>
      </c>
      <c r="F49" s="173">
        <f t="shared" si="5"/>
        <v>4535839</v>
      </c>
      <c r="G49" s="173">
        <f t="shared" si="5"/>
        <v>5818543</v>
      </c>
      <c r="H49" s="173">
        <f t="shared" si="5"/>
        <v>32711247</v>
      </c>
      <c r="I49" s="173">
        <f t="shared" si="5"/>
        <v>46814099</v>
      </c>
      <c r="J49" s="173">
        <f t="shared" si="5"/>
        <v>38872934</v>
      </c>
      <c r="K49" s="173">
        <f t="shared" si="5"/>
        <v>7166143</v>
      </c>
      <c r="L49" s="173">
        <f t="shared" si="5"/>
        <v>4351843</v>
      </c>
      <c r="M49" s="173">
        <f t="shared" si="5"/>
        <v>5125572</v>
      </c>
      <c r="N49" s="173">
        <f t="shared" si="5"/>
        <v>16312137</v>
      </c>
      <c r="O49" s="174">
        <f>SUM(O31:O48)</f>
        <v>182980730</v>
      </c>
      <c r="S49" s="178"/>
    </row>
    <row r="50" spans="1:15" ht="26.25" customHeight="1" thickBot="1">
      <c r="A50" s="179"/>
      <c r="B50" s="180" t="s">
        <v>302</v>
      </c>
      <c r="C50" s="181">
        <f aca="true" t="shared" si="6" ref="C50:N50">C29-C49</f>
        <v>500000</v>
      </c>
      <c r="D50" s="181">
        <f t="shared" si="6"/>
        <v>91084307</v>
      </c>
      <c r="E50" s="181">
        <f t="shared" si="6"/>
        <v>90894515</v>
      </c>
      <c r="F50" s="181">
        <f t="shared" si="6"/>
        <v>90685627</v>
      </c>
      <c r="G50" s="181">
        <f t="shared" si="6"/>
        <v>90365760</v>
      </c>
      <c r="H50" s="181">
        <f t="shared" si="6"/>
        <v>61329685</v>
      </c>
      <c r="I50" s="181">
        <f t="shared" si="6"/>
        <v>40250289</v>
      </c>
      <c r="J50" s="181">
        <f t="shared" si="6"/>
        <v>9234046</v>
      </c>
      <c r="K50" s="181">
        <f t="shared" si="6"/>
        <v>9116346</v>
      </c>
      <c r="L50" s="181">
        <f t="shared" si="6"/>
        <v>9052869</v>
      </c>
      <c r="M50" s="181">
        <f t="shared" si="6"/>
        <v>8958228</v>
      </c>
      <c r="N50" s="181">
        <f t="shared" si="6"/>
        <v>0</v>
      </c>
      <c r="O50" s="182"/>
    </row>
    <row r="52" spans="3:15" ht="15.75"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</row>
    <row r="53" ht="15.75">
      <c r="O53" s="184"/>
    </row>
    <row r="54" ht="15.75">
      <c r="O54" s="184"/>
    </row>
    <row r="55" ht="15.75">
      <c r="O55" s="184"/>
    </row>
    <row r="56" ht="15.75">
      <c r="O56" s="184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1:14" ht="12.75">
      <c r="A1" s="351" t="s">
        <v>475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3" spans="1:4" ht="12.75">
      <c r="A3" s="442" t="s">
        <v>429</v>
      </c>
      <c r="B3" s="442"/>
      <c r="C3" s="442"/>
      <c r="D3" s="442"/>
    </row>
    <row r="5" spans="1:14" ht="18.75" customHeight="1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</row>
    <row r="6" spans="1:14" ht="18" customHeight="1">
      <c r="A6" s="458" t="s">
        <v>383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</row>
    <row r="7" spans="1:14" ht="16.5" customHeight="1">
      <c r="A7" s="458" t="s">
        <v>384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</row>
    <row r="8" spans="1:14" ht="16.5" customHeight="1">
      <c r="A8" s="458" t="s">
        <v>413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</row>
    <row r="10" ht="13.5" thickBot="1">
      <c r="N10" s="304" t="s">
        <v>385</v>
      </c>
    </row>
    <row r="11" spans="1:14" ht="21" customHeight="1" thickBot="1">
      <c r="A11" s="457" t="s">
        <v>386</v>
      </c>
      <c r="B11" s="459" t="s">
        <v>0</v>
      </c>
      <c r="C11" s="460" t="s">
        <v>387</v>
      </c>
      <c r="D11" s="461" t="s">
        <v>388</v>
      </c>
      <c r="E11" s="461"/>
      <c r="F11" s="461"/>
      <c r="G11" s="461"/>
      <c r="H11" s="461"/>
      <c r="I11" s="456" t="s">
        <v>389</v>
      </c>
      <c r="J11" s="456"/>
      <c r="K11" s="456"/>
      <c r="L11" s="456"/>
      <c r="M11" s="456" t="s">
        <v>390</v>
      </c>
      <c r="N11" s="456"/>
    </row>
    <row r="12" spans="1:14" ht="63" customHeight="1" thickBot="1">
      <c r="A12" s="457"/>
      <c r="B12" s="459"/>
      <c r="C12" s="460"/>
      <c r="D12" s="305" t="s">
        <v>391</v>
      </c>
      <c r="E12" s="305" t="s">
        <v>392</v>
      </c>
      <c r="F12" s="305" t="s">
        <v>388</v>
      </c>
      <c r="G12" s="305" t="s">
        <v>393</v>
      </c>
      <c r="H12" s="305" t="s">
        <v>394</v>
      </c>
      <c r="I12" s="305" t="s">
        <v>395</v>
      </c>
      <c r="J12" s="305" t="s">
        <v>389</v>
      </c>
      <c r="K12" s="305" t="s">
        <v>402</v>
      </c>
      <c r="L12" s="305" t="s">
        <v>396</v>
      </c>
      <c r="M12" s="305" t="s">
        <v>397</v>
      </c>
      <c r="N12" s="305" t="s">
        <v>398</v>
      </c>
    </row>
    <row r="13" spans="1:14" ht="16.5" customHeight="1" thickBot="1">
      <c r="A13" s="306" t="s">
        <v>24</v>
      </c>
      <c r="B13" s="306" t="s">
        <v>399</v>
      </c>
      <c r="C13" s="307">
        <f>H13+M13+L13+N13</f>
        <v>166601736</v>
      </c>
      <c r="D13" s="307">
        <f>36233972-700730+130720+467820+32100-417779+128360</f>
        <v>35874463</v>
      </c>
      <c r="E13" s="307">
        <f>8300000-2100000-140000+68056</f>
        <v>6128056</v>
      </c>
      <c r="F13" s="307">
        <v>7824055</v>
      </c>
      <c r="G13" s="306"/>
      <c r="H13" s="307">
        <f>D13+E13+F13</f>
        <v>49826574</v>
      </c>
      <c r="I13" s="306"/>
      <c r="J13" s="307"/>
      <c r="K13" s="306">
        <v>8277879</v>
      </c>
      <c r="L13" s="307">
        <f>I13+J13+K13</f>
        <v>8277879</v>
      </c>
      <c r="M13" s="307">
        <f>98322035+25+104+234696+964900+20509434+822484</f>
        <v>120853678</v>
      </c>
      <c r="N13" s="307">
        <f>-12356395</f>
        <v>-12356395</v>
      </c>
    </row>
    <row r="14" spans="1:14" ht="18.75" customHeight="1" thickBot="1">
      <c r="A14" s="306" t="s">
        <v>15</v>
      </c>
      <c r="B14" s="306" t="s">
        <v>400</v>
      </c>
      <c r="C14" s="307">
        <f>H14+N14+M14</f>
        <v>16378994</v>
      </c>
      <c r="D14" s="306"/>
      <c r="E14" s="306"/>
      <c r="F14" s="307">
        <v>3200115</v>
      </c>
      <c r="G14" s="306"/>
      <c r="H14" s="307">
        <f>D14+E14+F14</f>
        <v>3200115</v>
      </c>
      <c r="I14" s="306"/>
      <c r="J14" s="306"/>
      <c r="K14" s="306"/>
      <c r="L14" s="306"/>
      <c r="M14" s="307">
        <v>822484</v>
      </c>
      <c r="N14" s="307">
        <f>12356395</f>
        <v>12356395</v>
      </c>
    </row>
    <row r="15" spans="1:14" ht="20.25" customHeight="1" thickBot="1">
      <c r="A15" s="306" t="s">
        <v>25</v>
      </c>
      <c r="B15" s="306" t="s">
        <v>401</v>
      </c>
      <c r="C15" s="307">
        <f>C13+C14</f>
        <v>182980730</v>
      </c>
      <c r="D15" s="307">
        <f aca="true" t="shared" si="0" ref="D15:N15">D13+D14</f>
        <v>35874463</v>
      </c>
      <c r="E15" s="307">
        <f t="shared" si="0"/>
        <v>6128056</v>
      </c>
      <c r="F15" s="307">
        <f t="shared" si="0"/>
        <v>11024170</v>
      </c>
      <c r="G15" s="307">
        <f t="shared" si="0"/>
        <v>0</v>
      </c>
      <c r="H15" s="307">
        <f t="shared" si="0"/>
        <v>53026689</v>
      </c>
      <c r="I15" s="307">
        <f t="shared" si="0"/>
        <v>0</v>
      </c>
      <c r="J15" s="307">
        <f t="shared" si="0"/>
        <v>0</v>
      </c>
      <c r="K15" s="307">
        <f t="shared" si="0"/>
        <v>8277879</v>
      </c>
      <c r="L15" s="307">
        <f t="shared" si="0"/>
        <v>8277879</v>
      </c>
      <c r="M15" s="307">
        <f t="shared" si="0"/>
        <v>121676162</v>
      </c>
      <c r="N15" s="307">
        <f t="shared" si="0"/>
        <v>0</v>
      </c>
    </row>
    <row r="24" ht="12.75">
      <c r="B24" s="308"/>
    </row>
  </sheetData>
  <sheetProtection/>
  <mergeCells count="12">
    <mergeCell ref="C11:C12"/>
    <mergeCell ref="D11:H11"/>
    <mergeCell ref="A1:N1"/>
    <mergeCell ref="I11:L11"/>
    <mergeCell ref="M11:N11"/>
    <mergeCell ref="A11:A12"/>
    <mergeCell ref="A3:D3"/>
    <mergeCell ref="A5:N5"/>
    <mergeCell ref="A6:N6"/>
    <mergeCell ref="A7:N7"/>
    <mergeCell ref="A8:N8"/>
    <mergeCell ref="B11:B12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Vargáné Horváth Krisztina</cp:lastModifiedBy>
  <cp:lastPrinted>2020-09-18T06:52:29Z</cp:lastPrinted>
  <dcterms:created xsi:type="dcterms:W3CDTF">2002-11-26T17:22:50Z</dcterms:created>
  <dcterms:modified xsi:type="dcterms:W3CDTF">2020-09-18T10:30:04Z</dcterms:modified>
  <cp:category/>
  <cp:version/>
  <cp:contentType/>
  <cp:contentStatus/>
</cp:coreProperties>
</file>