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Dokumentumtár\2020. évi rendeletek\"/>
    </mc:Choice>
  </mc:AlternateContent>
  <xr:revisionPtr revIDLastSave="0" documentId="13_ncr:1_{B2A97FA4-788C-4671-8FE5-DCD0C32EA4DD}" xr6:coauthVersionLast="45" xr6:coauthVersionMax="45" xr10:uidLastSave="{00000000-0000-0000-0000-000000000000}"/>
  <bookViews>
    <workbookView xWindow="-110" yWindow="-110" windowWidth="19420" windowHeight="10420" tabRatio="727" xr2:uid="{00000000-000D-0000-FFFF-FFFF00000000}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" sheetId="73" r:id="rId5"/>
    <sheet name="2.2.sz.mell" sheetId="61" r:id="rId6"/>
    <sheet name="3.sz.mell.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 " sheetId="71" r:id="rId12"/>
    <sheet name="9.1. sz. mell" sheetId="3" r:id="rId13"/>
    <sheet name="9.1.1. sz. mell " sheetId="119" r:id="rId14"/>
    <sheet name="9.1.2. sz. mell " sheetId="120" r:id="rId15"/>
    <sheet name="9.1.3. sz. mell" sheetId="121" r:id="rId16"/>
    <sheet name="9.2. sz. mell" sheetId="359" r:id="rId17"/>
    <sheet name="9.2. sz. mell (2-1)" sheetId="360" r:id="rId18"/>
    <sheet name="9.2. sz. mell (2-2)" sheetId="361" r:id="rId19"/>
    <sheet name="9.2.1. sz. mell" sheetId="362" r:id="rId20"/>
    <sheet name="9.2.2. sz.  mell" sheetId="363" r:id="rId21"/>
    <sheet name="9.2.3. sz. mell" sheetId="364" r:id="rId22"/>
    <sheet name="9.3. sz. mell" sheetId="381" r:id="rId23"/>
    <sheet name="9.3.1. sz. mell" sheetId="382" r:id="rId24"/>
    <sheet name="9.3.2. sz. mell" sheetId="383" r:id="rId25"/>
    <sheet name="9.3.3. sz. mell" sheetId="384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</sheets>
  <externalReferences>
    <externalReference r:id="rId35"/>
  </externalReferences>
  <definedNames>
    <definedName name="_xlnm.Print_Titles" localSheetId="12">'9.1. sz. mell'!$1:$6</definedName>
    <definedName name="_xlnm.Print_Titles" localSheetId="13">'9.1.1. sz. mell '!$1:$5</definedName>
    <definedName name="_xlnm.Print_Titles" localSheetId="14">'9.1.2. sz. mell '!$1:$5</definedName>
    <definedName name="_xlnm.Print_Titles" localSheetId="15">'9.1.3. sz. mell'!$1:$6</definedName>
    <definedName name="_xlnm.Print_Titles" localSheetId="16">'9.2. sz. mell'!$1:$6</definedName>
    <definedName name="_xlnm.Print_Titles" localSheetId="17">'9.2. sz. mell (2-1)'!$1:$6</definedName>
    <definedName name="_xlnm.Print_Titles" localSheetId="18">'9.2. sz. mell (2-2)'!$1:$6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t.'!$A$1:$F$156</definedName>
    <definedName name="_xlnm.Print_Area" localSheetId="0">'1.1.sz.mell.'!$A$1:$E$163</definedName>
    <definedName name="_xlnm.Print_Area" localSheetId="1">'1.2.sz.mell.'!$A$1:$E$164</definedName>
    <definedName name="_xlnm.Print_Area" localSheetId="2">'1.3.sz.mell.'!$A$1:$E$160</definedName>
    <definedName name="_xlnm.Print_Area" localSheetId="3">'1.4.sz.mell.'!$A$1:$D$159</definedName>
    <definedName name="_xlnm.Print_Area" localSheetId="30">'4.sz tájékoztató t.'!$A$1:$O$73</definedName>
    <definedName name="_xlnm.Print_Area" localSheetId="33">'7. sz tájékoztató t.'!$A$1:$E$37</definedName>
    <definedName name="_xlnm.Print_Area" localSheetId="10">'7.sz.mell.'!$A$1:$M$11</definedName>
    <definedName name="_xlnm.Print_Area" localSheetId="11">'8. sz. mell. '!$A$1:$G$52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0" i="1" l="1"/>
  <c r="E21" i="1"/>
  <c r="E105" i="116"/>
  <c r="E26" i="116"/>
  <c r="E21" i="116" s="1"/>
  <c r="E71" i="116" s="1"/>
  <c r="E48" i="381"/>
  <c r="E23" i="381"/>
  <c r="E20" i="381" s="1"/>
  <c r="E48" i="382"/>
  <c r="E23" i="382"/>
  <c r="E98" i="1"/>
  <c r="E119" i="1"/>
  <c r="E99" i="1"/>
  <c r="E49" i="1"/>
  <c r="E44" i="1"/>
  <c r="E40" i="1"/>
  <c r="E146" i="1"/>
  <c r="E121" i="1"/>
  <c r="E117" i="1"/>
  <c r="E116" i="1"/>
  <c r="E114" i="1"/>
  <c r="E109" i="1"/>
  <c r="E105" i="1"/>
  <c r="E101" i="1"/>
  <c r="E80" i="1"/>
  <c r="E79" i="1"/>
  <c r="E77" i="1"/>
  <c r="E64" i="1"/>
  <c r="E61" i="1"/>
  <c r="E53" i="1"/>
  <c r="E50" i="1" s="1"/>
  <c r="E52" i="1"/>
  <c r="E46" i="1"/>
  <c r="E45" i="1"/>
  <c r="E43" i="1"/>
  <c r="E41" i="1"/>
  <c r="E37" i="1"/>
  <c r="E36" i="1"/>
  <c r="E35" i="1"/>
  <c r="E34" i="1"/>
  <c r="E32" i="1"/>
  <c r="E31" i="1"/>
  <c r="E28" i="1"/>
  <c r="E13" i="1"/>
  <c r="E12" i="1"/>
  <c r="E11" i="1"/>
  <c r="E10" i="1"/>
  <c r="E124" i="116"/>
  <c r="E123" i="116"/>
  <c r="E104" i="116"/>
  <c r="E103" i="116"/>
  <c r="E82" i="116"/>
  <c r="E81" i="116"/>
  <c r="E54" i="116"/>
  <c r="E51" i="116"/>
  <c r="E46" i="116"/>
  <c r="E45" i="116"/>
  <c r="E42" i="116"/>
  <c r="E154" i="116"/>
  <c r="E151" i="116"/>
  <c r="E149" i="116"/>
  <c r="E142" i="116"/>
  <c r="E138" i="116"/>
  <c r="E128" i="116"/>
  <c r="E126" i="116"/>
  <c r="E122" i="116"/>
  <c r="E121" i="116"/>
  <c r="E120" i="116" s="1"/>
  <c r="E119" i="116"/>
  <c r="E114" i="116"/>
  <c r="E107" i="116"/>
  <c r="E110" i="116"/>
  <c r="E106" i="116"/>
  <c r="E88" i="116"/>
  <c r="E85" i="116"/>
  <c r="E84" i="116" s="1"/>
  <c r="E76" i="116"/>
  <c r="E72" i="116"/>
  <c r="E69" i="116"/>
  <c r="E66" i="116" s="1"/>
  <c r="E61" i="116"/>
  <c r="E58" i="116"/>
  <c r="E55" i="116"/>
  <c r="E49" i="116"/>
  <c r="E41" i="116"/>
  <c r="E40" i="116"/>
  <c r="E39" i="116"/>
  <c r="E37" i="116"/>
  <c r="E33" i="116"/>
  <c r="E28" i="116"/>
  <c r="E19" i="116"/>
  <c r="E18" i="116"/>
  <c r="E17" i="116"/>
  <c r="E16" i="116"/>
  <c r="E15" i="116"/>
  <c r="E14" i="116" s="1"/>
  <c r="E120" i="117"/>
  <c r="E101" i="117"/>
  <c r="E100" i="117"/>
  <c r="E99" i="117"/>
  <c r="E50" i="117"/>
  <c r="E45" i="117"/>
  <c r="E41" i="117"/>
  <c r="I7" i="61"/>
  <c r="E10" i="61"/>
  <c r="J29" i="63"/>
  <c r="K29" i="63"/>
  <c r="H29" i="63"/>
  <c r="C29" i="63"/>
  <c r="H30" i="63"/>
  <c r="L30" i="63"/>
  <c r="E119" i="3"/>
  <c r="E63" i="3"/>
  <c r="E119" i="119"/>
  <c r="E63" i="119"/>
  <c r="E60" i="119" s="1"/>
  <c r="G116" i="87"/>
  <c r="G60" i="87"/>
  <c r="H103" i="24"/>
  <c r="H89" i="24"/>
  <c r="I12" i="73"/>
  <c r="I11" i="73"/>
  <c r="E115" i="3"/>
  <c r="E108" i="3"/>
  <c r="E115" i="119"/>
  <c r="E108" i="119"/>
  <c r="G112" i="87"/>
  <c r="G111" i="87" s="1"/>
  <c r="G105" i="87"/>
  <c r="H102" i="24"/>
  <c r="H100" i="24"/>
  <c r="H83" i="24"/>
  <c r="G17" i="87"/>
  <c r="G12" i="87" s="1"/>
  <c r="E20" i="119"/>
  <c r="E20" i="3"/>
  <c r="E8" i="73"/>
  <c r="I8" i="73"/>
  <c r="I7" i="73"/>
  <c r="E98" i="3"/>
  <c r="E97" i="3"/>
  <c r="E98" i="119"/>
  <c r="E97" i="119"/>
  <c r="G95" i="87"/>
  <c r="G94" i="87"/>
  <c r="H96" i="24"/>
  <c r="H95" i="24"/>
  <c r="E51" i="384"/>
  <c r="D51" i="384"/>
  <c r="C51" i="384"/>
  <c r="E45" i="384"/>
  <c r="E57" i="384" s="1"/>
  <c r="D45" i="384"/>
  <c r="D57" i="384"/>
  <c r="C45" i="384"/>
  <c r="C57" i="384" s="1"/>
  <c r="E37" i="384"/>
  <c r="D37" i="384"/>
  <c r="C37" i="384"/>
  <c r="E30" i="384"/>
  <c r="D30" i="384"/>
  <c r="C30" i="384"/>
  <c r="E26" i="384"/>
  <c r="D26" i="384"/>
  <c r="C26" i="384"/>
  <c r="E20" i="384"/>
  <c r="D20" i="384"/>
  <c r="C20" i="384"/>
  <c r="E8" i="384"/>
  <c r="E36" i="384" s="1"/>
  <c r="E41" i="384" s="1"/>
  <c r="D8" i="384"/>
  <c r="D36" i="384"/>
  <c r="D41" i="384" s="1"/>
  <c r="C8" i="384"/>
  <c r="C36" i="384" s="1"/>
  <c r="C41" i="384"/>
  <c r="B1" i="384"/>
  <c r="E51" i="383"/>
  <c r="D51" i="383"/>
  <c r="C51" i="383"/>
  <c r="E45" i="383"/>
  <c r="E57" i="383" s="1"/>
  <c r="D45" i="383"/>
  <c r="D57" i="383"/>
  <c r="C45" i="383"/>
  <c r="C57" i="383" s="1"/>
  <c r="E37" i="383"/>
  <c r="D37" i="383"/>
  <c r="C37" i="383"/>
  <c r="E30" i="383"/>
  <c r="D30" i="383"/>
  <c r="C30" i="383"/>
  <c r="E26" i="383"/>
  <c r="D26" i="383"/>
  <c r="C26" i="383"/>
  <c r="E20" i="383"/>
  <c r="D20" i="383"/>
  <c r="C20" i="383"/>
  <c r="E8" i="383"/>
  <c r="E36" i="383"/>
  <c r="E41" i="383" s="1"/>
  <c r="D8" i="383"/>
  <c r="D36" i="383" s="1"/>
  <c r="D41" i="383"/>
  <c r="C8" i="383"/>
  <c r="C36" i="383" s="1"/>
  <c r="C41" i="383" s="1"/>
  <c r="B1" i="383"/>
  <c r="E52" i="382"/>
  <c r="E51" i="382" s="1"/>
  <c r="D51" i="382"/>
  <c r="C51" i="382"/>
  <c r="E45" i="382"/>
  <c r="E58" i="382" s="1"/>
  <c r="E47" i="382"/>
  <c r="E46" i="382"/>
  <c r="D45" i="382"/>
  <c r="D58" i="382" s="1"/>
  <c r="C45" i="382"/>
  <c r="C58" i="382" s="1"/>
  <c r="E40" i="382"/>
  <c r="E37" i="382" s="1"/>
  <c r="D40" i="382"/>
  <c r="D37" i="382"/>
  <c r="C37" i="382"/>
  <c r="C41" i="382"/>
  <c r="E30" i="382"/>
  <c r="D30" i="382"/>
  <c r="C30" i="382"/>
  <c r="E26" i="382"/>
  <c r="D26" i="382"/>
  <c r="C26" i="382"/>
  <c r="E20" i="382"/>
  <c r="D20" i="382"/>
  <c r="D36" i="382" s="1"/>
  <c r="C20" i="382"/>
  <c r="E10" i="382"/>
  <c r="E8" i="382"/>
  <c r="E36" i="382" s="1"/>
  <c r="E41" i="382" s="1"/>
  <c r="D8" i="382"/>
  <c r="C8" i="382"/>
  <c r="C36" i="382" s="1"/>
  <c r="B1" i="382"/>
  <c r="E52" i="381"/>
  <c r="E51" i="381"/>
  <c r="D51" i="381"/>
  <c r="D58" i="381"/>
  <c r="C51" i="381"/>
  <c r="E45" i="381"/>
  <c r="E58" i="381" s="1"/>
  <c r="E47" i="381"/>
  <c r="E46" i="381"/>
  <c r="D45" i="381"/>
  <c r="C45" i="381"/>
  <c r="C58" i="381"/>
  <c r="E40" i="381"/>
  <c r="E37" i="381" s="1"/>
  <c r="D40" i="381"/>
  <c r="D37" i="381"/>
  <c r="C37" i="381"/>
  <c r="E30" i="381"/>
  <c r="D30" i="381"/>
  <c r="C30" i="381"/>
  <c r="E26" i="381"/>
  <c r="D26" i="381"/>
  <c r="C26" i="381"/>
  <c r="D20" i="381"/>
  <c r="C20" i="381"/>
  <c r="C36" i="381" s="1"/>
  <c r="C41" i="381" s="1"/>
  <c r="E10" i="381"/>
  <c r="E8" i="381"/>
  <c r="D8" i="381"/>
  <c r="D36" i="381"/>
  <c r="D41" i="381" s="1"/>
  <c r="C8" i="381"/>
  <c r="B1" i="381"/>
  <c r="H87" i="24"/>
  <c r="H84" i="24"/>
  <c r="G49" i="87"/>
  <c r="E52" i="119"/>
  <c r="E49" i="119" s="1"/>
  <c r="E52" i="3"/>
  <c r="E9" i="61"/>
  <c r="E52" i="359"/>
  <c r="D52" i="359"/>
  <c r="C52" i="359"/>
  <c r="E48" i="359"/>
  <c r="D48" i="359"/>
  <c r="E47" i="359"/>
  <c r="E46" i="359" s="1"/>
  <c r="E58" i="359" s="1"/>
  <c r="D47" i="359"/>
  <c r="D46" i="359" s="1"/>
  <c r="C46" i="359"/>
  <c r="C58" i="359" s="1"/>
  <c r="E41" i="359"/>
  <c r="E38" i="359" s="1"/>
  <c r="D41" i="359"/>
  <c r="D38" i="359"/>
  <c r="C38" i="359"/>
  <c r="E31" i="359"/>
  <c r="D31" i="359"/>
  <c r="C31" i="359"/>
  <c r="E26" i="359"/>
  <c r="D26" i="359"/>
  <c r="C26" i="359"/>
  <c r="E20" i="359"/>
  <c r="D20" i="359"/>
  <c r="C20" i="359"/>
  <c r="E8" i="359"/>
  <c r="E37" i="359"/>
  <c r="E42" i="359" s="1"/>
  <c r="D8" i="359"/>
  <c r="D37" i="359"/>
  <c r="D42" i="359"/>
  <c r="C8" i="359"/>
  <c r="E52" i="360"/>
  <c r="D52" i="360"/>
  <c r="C52" i="360"/>
  <c r="E48" i="360"/>
  <c r="D48" i="360"/>
  <c r="E47" i="360"/>
  <c r="E46" i="360" s="1"/>
  <c r="E58" i="360" s="1"/>
  <c r="D47" i="360"/>
  <c r="D46" i="360" s="1"/>
  <c r="D58" i="360" s="1"/>
  <c r="C46" i="360"/>
  <c r="C58" i="360" s="1"/>
  <c r="E41" i="360"/>
  <c r="E38" i="360" s="1"/>
  <c r="D41" i="360"/>
  <c r="D38" i="360"/>
  <c r="D42" i="360" s="1"/>
  <c r="C38" i="360"/>
  <c r="E31" i="360"/>
  <c r="D31" i="360"/>
  <c r="C31" i="360"/>
  <c r="E26" i="360"/>
  <c r="D26" i="360"/>
  <c r="C26" i="360"/>
  <c r="E20" i="360"/>
  <c r="D20" i="360"/>
  <c r="C20" i="360"/>
  <c r="E8" i="360"/>
  <c r="E37" i="360"/>
  <c r="E42" i="360" s="1"/>
  <c r="D8" i="360"/>
  <c r="D37" i="360"/>
  <c r="C8" i="360"/>
  <c r="E52" i="361"/>
  <c r="D52" i="361"/>
  <c r="C52" i="361"/>
  <c r="E48" i="361"/>
  <c r="D48" i="361"/>
  <c r="D46" i="361"/>
  <c r="D58" i="361" s="1"/>
  <c r="E47" i="361"/>
  <c r="E46" i="361"/>
  <c r="E58" i="361" s="1"/>
  <c r="D47" i="361"/>
  <c r="C46" i="361"/>
  <c r="C58" i="361"/>
  <c r="E41" i="361"/>
  <c r="E38" i="361" s="1"/>
  <c r="D41" i="361"/>
  <c r="D38" i="361" s="1"/>
  <c r="C38" i="361"/>
  <c r="E31" i="361"/>
  <c r="D31" i="361"/>
  <c r="D37" i="361" s="1"/>
  <c r="D42" i="361" s="1"/>
  <c r="C31" i="361"/>
  <c r="E26" i="361"/>
  <c r="D26" i="361"/>
  <c r="C26" i="361"/>
  <c r="E20" i="361"/>
  <c r="D20" i="361"/>
  <c r="C20" i="361"/>
  <c r="E8" i="361"/>
  <c r="E37" i="361" s="1"/>
  <c r="E42" i="361" s="1"/>
  <c r="D8" i="361"/>
  <c r="C8" i="361"/>
  <c r="E52" i="362"/>
  <c r="D52" i="362"/>
  <c r="C52" i="362"/>
  <c r="E48" i="362"/>
  <c r="D48" i="362"/>
  <c r="D46" i="362" s="1"/>
  <c r="D58" i="362" s="1"/>
  <c r="E47" i="362"/>
  <c r="E46" i="362" s="1"/>
  <c r="D47" i="362"/>
  <c r="C46" i="362"/>
  <c r="C58" i="362" s="1"/>
  <c r="E41" i="362"/>
  <c r="E38" i="362" s="1"/>
  <c r="D41" i="362"/>
  <c r="D38" i="362" s="1"/>
  <c r="C38" i="362"/>
  <c r="E31" i="362"/>
  <c r="D31" i="362"/>
  <c r="D37" i="362" s="1"/>
  <c r="D42" i="362" s="1"/>
  <c r="C31" i="362"/>
  <c r="E26" i="362"/>
  <c r="D26" i="362"/>
  <c r="C26" i="362"/>
  <c r="E20" i="362"/>
  <c r="D20" i="362"/>
  <c r="C20" i="362"/>
  <c r="E8" i="362"/>
  <c r="E37" i="362" s="1"/>
  <c r="E42" i="362" s="1"/>
  <c r="D8" i="362"/>
  <c r="C8" i="362"/>
  <c r="E52" i="363"/>
  <c r="D52" i="363"/>
  <c r="C52" i="363"/>
  <c r="E46" i="363"/>
  <c r="E58" i="363"/>
  <c r="D46" i="363"/>
  <c r="D58" i="363" s="1"/>
  <c r="C46" i="363"/>
  <c r="C58" i="363" s="1"/>
  <c r="E38" i="363"/>
  <c r="D38" i="363"/>
  <c r="C38" i="363"/>
  <c r="E31" i="363"/>
  <c r="D31" i="363"/>
  <c r="C31" i="363"/>
  <c r="E26" i="363"/>
  <c r="D26" i="363"/>
  <c r="C26" i="363"/>
  <c r="E20" i="363"/>
  <c r="D20" i="363"/>
  <c r="C20" i="363"/>
  <c r="E8" i="363"/>
  <c r="E37" i="363" s="1"/>
  <c r="E42" i="363" s="1"/>
  <c r="D8" i="363"/>
  <c r="C8" i="363"/>
  <c r="E52" i="364"/>
  <c r="D52" i="364"/>
  <c r="C52" i="364"/>
  <c r="E46" i="364"/>
  <c r="E58" i="364" s="1"/>
  <c r="D46" i="364"/>
  <c r="D58" i="364"/>
  <c r="C46" i="364"/>
  <c r="C58" i="364" s="1"/>
  <c r="E38" i="364"/>
  <c r="D38" i="364"/>
  <c r="C38" i="364"/>
  <c r="E31" i="364"/>
  <c r="D31" i="364"/>
  <c r="C31" i="364"/>
  <c r="E26" i="364"/>
  <c r="D26" i="364"/>
  <c r="C26" i="364"/>
  <c r="E20" i="364"/>
  <c r="D20" i="364"/>
  <c r="D37" i="364" s="1"/>
  <c r="D42" i="364" s="1"/>
  <c r="C20" i="364"/>
  <c r="E8" i="364"/>
  <c r="D8" i="364"/>
  <c r="C8" i="364"/>
  <c r="C37" i="364" s="1"/>
  <c r="H104" i="24"/>
  <c r="G118" i="87"/>
  <c r="E121" i="119"/>
  <c r="E121" i="3"/>
  <c r="K6" i="64"/>
  <c r="H6" i="64"/>
  <c r="C6" i="64"/>
  <c r="K24" i="63"/>
  <c r="H24" i="63"/>
  <c r="C24" i="63"/>
  <c r="I9" i="61"/>
  <c r="I18" i="61"/>
  <c r="I32" i="61" s="1"/>
  <c r="I29" i="73"/>
  <c r="H97" i="24"/>
  <c r="H86" i="24"/>
  <c r="G96" i="87"/>
  <c r="G40" i="87"/>
  <c r="G36" i="87"/>
  <c r="E39" i="119"/>
  <c r="E39" i="120"/>
  <c r="E37" i="120" s="1"/>
  <c r="E118" i="120"/>
  <c r="E99" i="120"/>
  <c r="E96" i="120" s="1"/>
  <c r="E98" i="120"/>
  <c r="E97" i="120"/>
  <c r="E43" i="120"/>
  <c r="E114" i="119"/>
  <c r="E99" i="3"/>
  <c r="E43" i="3"/>
  <c r="E39" i="3"/>
  <c r="K25" i="63"/>
  <c r="H25" i="63"/>
  <c r="C25" i="63"/>
  <c r="K46" i="63"/>
  <c r="H46" i="63"/>
  <c r="C46" i="63"/>
  <c r="I9" i="73"/>
  <c r="E11" i="73"/>
  <c r="E117" i="3"/>
  <c r="E114" i="3" s="1"/>
  <c r="E117" i="119"/>
  <c r="G114" i="87"/>
  <c r="H85" i="24"/>
  <c r="G32" i="87"/>
  <c r="G30" i="87"/>
  <c r="G27" i="87" s="1"/>
  <c r="E35" i="119"/>
  <c r="E33" i="119"/>
  <c r="E35" i="3"/>
  <c r="E29" i="3" s="1"/>
  <c r="E33" i="3"/>
  <c r="E10" i="73"/>
  <c r="K23" i="63"/>
  <c r="H23" i="63"/>
  <c r="C23" i="63"/>
  <c r="K16" i="63"/>
  <c r="H16" i="63"/>
  <c r="C16" i="63"/>
  <c r="K14" i="63"/>
  <c r="H14" i="63"/>
  <c r="C14" i="63"/>
  <c r="K38" i="63"/>
  <c r="J38" i="63" s="1"/>
  <c r="H38" i="63"/>
  <c r="C38" i="63"/>
  <c r="K37" i="63"/>
  <c r="H37" i="63"/>
  <c r="C37" i="63"/>
  <c r="K8" i="64"/>
  <c r="H8" i="64"/>
  <c r="C8" i="64"/>
  <c r="K5" i="64"/>
  <c r="H5" i="64"/>
  <c r="H11" i="64" s="1"/>
  <c r="C5" i="64"/>
  <c r="F8" i="70"/>
  <c r="F7" i="70"/>
  <c r="F6" i="70"/>
  <c r="F13" i="70"/>
  <c r="F10" i="70"/>
  <c r="F9" i="70"/>
  <c r="F16" i="70"/>
  <c r="E113" i="3"/>
  <c r="E113" i="119"/>
  <c r="E101" i="119" s="1"/>
  <c r="G110" i="87"/>
  <c r="I10" i="73"/>
  <c r="E100" i="3"/>
  <c r="E100" i="119"/>
  <c r="E99" i="119"/>
  <c r="G97" i="87"/>
  <c r="H98" i="24"/>
  <c r="E31" i="119"/>
  <c r="E31" i="120"/>
  <c r="K28" i="63"/>
  <c r="H28" i="63"/>
  <c r="C28" i="63"/>
  <c r="E43" i="119"/>
  <c r="H106" i="24"/>
  <c r="G153" i="87"/>
  <c r="E156" i="119"/>
  <c r="E156" i="3"/>
  <c r="G24" i="87"/>
  <c r="G45" i="87"/>
  <c r="E48" i="119"/>
  <c r="E48" i="3"/>
  <c r="E7" i="73"/>
  <c r="E11" i="3"/>
  <c r="E10" i="3"/>
  <c r="E11" i="119"/>
  <c r="E10" i="119"/>
  <c r="C21" i="2"/>
  <c r="B21" i="2"/>
  <c r="D24" i="2"/>
  <c r="D23" i="2"/>
  <c r="D21" i="2" s="1"/>
  <c r="D20" i="2"/>
  <c r="G8" i="87"/>
  <c r="G5" i="87" s="1"/>
  <c r="G7" i="87"/>
  <c r="H82" i="24"/>
  <c r="E48" i="120"/>
  <c r="D16" i="2"/>
  <c r="E9" i="3"/>
  <c r="E9" i="119"/>
  <c r="G6" i="87"/>
  <c r="G31" i="87"/>
  <c r="E34" i="119"/>
  <c r="E34" i="3"/>
  <c r="D34" i="2"/>
  <c r="D33" i="2"/>
  <c r="D31" i="2" s="1"/>
  <c r="D17" i="2"/>
  <c r="D29" i="2"/>
  <c r="G10" i="87"/>
  <c r="G9" i="87"/>
  <c r="E13" i="119"/>
  <c r="E12" i="119"/>
  <c r="E13" i="3"/>
  <c r="E12" i="3"/>
  <c r="J24" i="63"/>
  <c r="E27" i="119"/>
  <c r="E27" i="3"/>
  <c r="E7" i="61"/>
  <c r="E146" i="3"/>
  <c r="H90" i="24"/>
  <c r="G143" i="87"/>
  <c r="G76" i="87"/>
  <c r="G75" i="87" s="1"/>
  <c r="E146" i="119"/>
  <c r="E79" i="119"/>
  <c r="E79" i="3"/>
  <c r="E29" i="73"/>
  <c r="I28" i="73"/>
  <c r="K40" i="63"/>
  <c r="H40" i="63"/>
  <c r="C40" i="63"/>
  <c r="K7" i="64"/>
  <c r="H7" i="64"/>
  <c r="C7" i="64"/>
  <c r="D38" i="2"/>
  <c r="D36" i="2"/>
  <c r="D27" i="2"/>
  <c r="D18" i="2"/>
  <c r="D9" i="2"/>
  <c r="D8" i="2"/>
  <c r="N106" i="24"/>
  <c r="M106" i="24"/>
  <c r="L106" i="24"/>
  <c r="K106" i="24"/>
  <c r="J106" i="24"/>
  <c r="I106" i="24"/>
  <c r="G106" i="24"/>
  <c r="F106" i="24"/>
  <c r="E106" i="24"/>
  <c r="D106" i="24"/>
  <c r="C106" i="24"/>
  <c r="O106" i="24"/>
  <c r="O105" i="24"/>
  <c r="G104" i="24"/>
  <c r="F104" i="24"/>
  <c r="E104" i="24"/>
  <c r="O104" i="24" s="1"/>
  <c r="N103" i="24"/>
  <c r="M103" i="24"/>
  <c r="L103" i="24"/>
  <c r="K103" i="24"/>
  <c r="J103" i="24"/>
  <c r="I103" i="24"/>
  <c r="G103" i="24"/>
  <c r="F103" i="24"/>
  <c r="E103" i="24"/>
  <c r="D103" i="24"/>
  <c r="C103" i="24"/>
  <c r="O103" i="24" s="1"/>
  <c r="E102" i="24"/>
  <c r="O102" i="24" s="1"/>
  <c r="K101" i="24"/>
  <c r="F101" i="24"/>
  <c r="O101" i="24" s="1"/>
  <c r="N100" i="24"/>
  <c r="M100" i="24"/>
  <c r="L100" i="24"/>
  <c r="K100" i="24"/>
  <c r="J100" i="24"/>
  <c r="I100" i="24"/>
  <c r="G100" i="24"/>
  <c r="F100" i="24"/>
  <c r="O100" i="24" s="1"/>
  <c r="E100" i="24"/>
  <c r="D100" i="24"/>
  <c r="C100" i="24"/>
  <c r="O99" i="24"/>
  <c r="F99" i="24"/>
  <c r="E99" i="24"/>
  <c r="N98" i="24"/>
  <c r="M98" i="24"/>
  <c r="L98" i="24"/>
  <c r="K98" i="24"/>
  <c r="J98" i="24"/>
  <c r="I98" i="24"/>
  <c r="G98" i="24"/>
  <c r="F98" i="24"/>
  <c r="E98" i="24"/>
  <c r="D98" i="24"/>
  <c r="C98" i="24"/>
  <c r="N97" i="24"/>
  <c r="M97" i="24"/>
  <c r="L97" i="24"/>
  <c r="K97" i="24"/>
  <c r="J97" i="24"/>
  <c r="I97" i="24"/>
  <c r="G97" i="24"/>
  <c r="F97" i="24"/>
  <c r="E97" i="24"/>
  <c r="D97" i="24"/>
  <c r="O97" i="24" s="1"/>
  <c r="C97" i="24"/>
  <c r="N96" i="24"/>
  <c r="M96" i="24"/>
  <c r="M107" i="24" s="1"/>
  <c r="L96" i="24"/>
  <c r="K96" i="24"/>
  <c r="J96" i="24"/>
  <c r="I96" i="24"/>
  <c r="G96" i="24"/>
  <c r="F96" i="24"/>
  <c r="E96" i="24"/>
  <c r="D96" i="24"/>
  <c r="C96" i="24"/>
  <c r="N95" i="24"/>
  <c r="M95" i="24"/>
  <c r="L95" i="24"/>
  <c r="L107" i="24" s="1"/>
  <c r="K95" i="24"/>
  <c r="K107" i="24" s="1"/>
  <c r="J95" i="24"/>
  <c r="I95" i="24"/>
  <c r="I107" i="24" s="1"/>
  <c r="G95" i="24"/>
  <c r="F95" i="24"/>
  <c r="F107" i="24" s="1"/>
  <c r="E95" i="24"/>
  <c r="D95" i="24"/>
  <c r="C95" i="24"/>
  <c r="C107" i="24" s="1"/>
  <c r="K91" i="24"/>
  <c r="C91" i="24"/>
  <c r="O90" i="24"/>
  <c r="C90" i="24"/>
  <c r="E89" i="24"/>
  <c r="D89" i="24"/>
  <c r="O89" i="24" s="1"/>
  <c r="O88" i="24"/>
  <c r="E87" i="24"/>
  <c r="O87" i="24"/>
  <c r="N86" i="24"/>
  <c r="M86" i="24"/>
  <c r="L86" i="24"/>
  <c r="K86" i="24"/>
  <c r="J86" i="24"/>
  <c r="I86" i="24"/>
  <c r="G86" i="24"/>
  <c r="F86" i="24"/>
  <c r="E86" i="24"/>
  <c r="D86" i="24"/>
  <c r="C86" i="24"/>
  <c r="O86" i="24"/>
  <c r="N85" i="24"/>
  <c r="M85" i="24"/>
  <c r="L85" i="24"/>
  <c r="K85" i="24"/>
  <c r="J85" i="24"/>
  <c r="I85" i="24"/>
  <c r="G85" i="24"/>
  <c r="F85" i="24"/>
  <c r="F91" i="24" s="1"/>
  <c r="F109" i="24" s="1"/>
  <c r="E85" i="24"/>
  <c r="D85" i="24"/>
  <c r="C85" i="24"/>
  <c r="O85" i="24"/>
  <c r="E84" i="24"/>
  <c r="D84" i="24"/>
  <c r="N83" i="24"/>
  <c r="M83" i="24"/>
  <c r="L83" i="24"/>
  <c r="K83" i="24"/>
  <c r="J83" i="24"/>
  <c r="I83" i="24"/>
  <c r="I91" i="24" s="1"/>
  <c r="I109" i="24" s="1"/>
  <c r="G83" i="24"/>
  <c r="F83" i="24"/>
  <c r="E83" i="24"/>
  <c r="D83" i="24"/>
  <c r="C83" i="24"/>
  <c r="N82" i="24"/>
  <c r="N91" i="24"/>
  <c r="M82" i="24"/>
  <c r="L82" i="24"/>
  <c r="L91" i="24" s="1"/>
  <c r="K82" i="24"/>
  <c r="J82" i="24"/>
  <c r="J91" i="24"/>
  <c r="I82" i="24"/>
  <c r="G82" i="24"/>
  <c r="G91" i="24" s="1"/>
  <c r="F82" i="24"/>
  <c r="E82" i="24"/>
  <c r="D82" i="24"/>
  <c r="O82" i="24" s="1"/>
  <c r="D91" i="24"/>
  <c r="C82" i="24"/>
  <c r="G146" i="87"/>
  <c r="G141" i="87"/>
  <c r="G134" i="87"/>
  <c r="G130" i="87"/>
  <c r="G120" i="87"/>
  <c r="G101" i="87"/>
  <c r="G98" i="87" s="1"/>
  <c r="G79" i="87"/>
  <c r="G73" i="87"/>
  <c r="G72" i="87"/>
  <c r="G67" i="87"/>
  <c r="G86" i="87" s="1"/>
  <c r="G63" i="87"/>
  <c r="G57" i="87"/>
  <c r="G52" i="87"/>
  <c r="G46" i="87"/>
  <c r="G34" i="87"/>
  <c r="G19" i="87"/>
  <c r="E146" i="121"/>
  <c r="E140" i="121"/>
  <c r="E154" i="121" s="1"/>
  <c r="E133" i="121"/>
  <c r="E129" i="121"/>
  <c r="E114" i="121"/>
  <c r="E128" i="121" s="1"/>
  <c r="E93" i="121"/>
  <c r="E82" i="121"/>
  <c r="E78" i="121"/>
  <c r="E75" i="121"/>
  <c r="E70" i="121"/>
  <c r="E66" i="121"/>
  <c r="E89" i="121"/>
  <c r="E60" i="121"/>
  <c r="E55" i="121"/>
  <c r="E49" i="121"/>
  <c r="E37" i="121"/>
  <c r="E30" i="121"/>
  <c r="E29" i="121"/>
  <c r="E22" i="121"/>
  <c r="E15" i="121"/>
  <c r="E8" i="121"/>
  <c r="E148" i="120"/>
  <c r="E143" i="120"/>
  <c r="E136" i="120"/>
  <c r="E156" i="120" s="1"/>
  <c r="E132" i="120"/>
  <c r="E122" i="120"/>
  <c r="E117" i="120"/>
  <c r="E114" i="120"/>
  <c r="E101" i="120"/>
  <c r="E82" i="120"/>
  <c r="E78" i="120"/>
  <c r="E75" i="120"/>
  <c r="E70" i="120"/>
  <c r="E66" i="120"/>
  <c r="E89" i="120" s="1"/>
  <c r="E60" i="120"/>
  <c r="E55" i="120"/>
  <c r="E49" i="120"/>
  <c r="E30" i="120"/>
  <c r="E29" i="120"/>
  <c r="E22" i="120"/>
  <c r="E15" i="120"/>
  <c r="E65" i="120" s="1"/>
  <c r="E8" i="120"/>
  <c r="E149" i="119"/>
  <c r="E144" i="119"/>
  <c r="E137" i="119"/>
  <c r="E157" i="119" s="1"/>
  <c r="E133" i="119"/>
  <c r="E123" i="119"/>
  <c r="E118" i="119" s="1"/>
  <c r="E104" i="119"/>
  <c r="E82" i="119"/>
  <c r="E78" i="119"/>
  <c r="E76" i="119"/>
  <c r="E75" i="119" s="1"/>
  <c r="E70" i="119"/>
  <c r="E66" i="119"/>
  <c r="E55" i="119"/>
  <c r="E30" i="119"/>
  <c r="E29" i="119" s="1"/>
  <c r="E22" i="119"/>
  <c r="E15" i="119"/>
  <c r="E149" i="3"/>
  <c r="E144" i="3"/>
  <c r="E137" i="3"/>
  <c r="E133" i="3"/>
  <c r="E157" i="3"/>
  <c r="E123" i="3"/>
  <c r="E104" i="3"/>
  <c r="E82" i="3"/>
  <c r="E78" i="3"/>
  <c r="E76" i="3"/>
  <c r="E75" i="3"/>
  <c r="E70" i="3"/>
  <c r="E66" i="3"/>
  <c r="E89" i="3" s="1"/>
  <c r="E60" i="3"/>
  <c r="E55" i="3"/>
  <c r="E51" i="3"/>
  <c r="E49" i="3" s="1"/>
  <c r="E30" i="3"/>
  <c r="E22" i="3"/>
  <c r="E15" i="3"/>
  <c r="E8" i="3"/>
  <c r="H51" i="63"/>
  <c r="H47" i="63"/>
  <c r="H45" i="63"/>
  <c r="H44" i="63"/>
  <c r="H43" i="63"/>
  <c r="H42" i="63"/>
  <c r="H41" i="63"/>
  <c r="H39" i="63"/>
  <c r="H34" i="63"/>
  <c r="H33" i="63"/>
  <c r="H32" i="63"/>
  <c r="H35" i="63" s="1"/>
  <c r="H27" i="63"/>
  <c r="H26" i="63"/>
  <c r="H22" i="63"/>
  <c r="H21" i="63"/>
  <c r="H20" i="63"/>
  <c r="H19" i="63"/>
  <c r="H18" i="63"/>
  <c r="H17" i="63"/>
  <c r="H15" i="63"/>
  <c r="H11" i="63"/>
  <c r="H10" i="63"/>
  <c r="H12" i="63" s="1"/>
  <c r="H9" i="63"/>
  <c r="E11" i="77"/>
  <c r="I31" i="61"/>
  <c r="D25" i="61"/>
  <c r="D9" i="61"/>
  <c r="D18" i="61" s="1"/>
  <c r="I30" i="73"/>
  <c r="D25" i="73"/>
  <c r="D8" i="73"/>
  <c r="D7" i="73"/>
  <c r="D19" i="73"/>
  <c r="E149" i="118"/>
  <c r="E144" i="118"/>
  <c r="E137" i="118"/>
  <c r="E133" i="118"/>
  <c r="E157" i="118"/>
  <c r="E118" i="118"/>
  <c r="E97" i="118"/>
  <c r="E132" i="118"/>
  <c r="E83" i="118"/>
  <c r="E79" i="118"/>
  <c r="E76" i="118"/>
  <c r="E71" i="118"/>
  <c r="E67" i="118"/>
  <c r="E90" i="118" s="1"/>
  <c r="E61" i="118"/>
  <c r="E56" i="118"/>
  <c r="E50" i="118"/>
  <c r="E38" i="118"/>
  <c r="E31" i="118"/>
  <c r="E30" i="118"/>
  <c r="E23" i="118"/>
  <c r="E16" i="118"/>
  <c r="E9" i="118"/>
  <c r="E150" i="117"/>
  <c r="E145" i="117"/>
  <c r="E138" i="117"/>
  <c r="E134" i="117"/>
  <c r="E158" i="117"/>
  <c r="E124" i="117"/>
  <c r="E119" i="117" s="1"/>
  <c r="E116" i="117"/>
  <c r="E103" i="117"/>
  <c r="E84" i="117"/>
  <c r="E80" i="117"/>
  <c r="E77" i="117"/>
  <c r="E72" i="117"/>
  <c r="E68" i="117"/>
  <c r="E91" i="117" s="1"/>
  <c r="E62" i="117"/>
  <c r="E57" i="117"/>
  <c r="E51" i="117"/>
  <c r="E32" i="117"/>
  <c r="E31" i="117" s="1"/>
  <c r="E24" i="117"/>
  <c r="E17" i="117"/>
  <c r="E10" i="117"/>
  <c r="E149" i="1"/>
  <c r="E144" i="1"/>
  <c r="E157" i="1"/>
  <c r="E137" i="1"/>
  <c r="E133" i="1"/>
  <c r="E123" i="1"/>
  <c r="E118" i="1"/>
  <c r="E115" i="1"/>
  <c r="E83" i="1"/>
  <c r="E76" i="1"/>
  <c r="E71" i="1"/>
  <c r="E90" i="1" s="1"/>
  <c r="E163" i="1" s="1"/>
  <c r="E67" i="1"/>
  <c r="E56" i="1"/>
  <c r="E23" i="1"/>
  <c r="E16" i="1"/>
  <c r="D82" i="116"/>
  <c r="D81" i="116" s="1"/>
  <c r="H12" i="73"/>
  <c r="H11" i="73"/>
  <c r="D115" i="3"/>
  <c r="D114" i="3" s="1"/>
  <c r="D104" i="3"/>
  <c r="D76" i="3"/>
  <c r="D115" i="119"/>
  <c r="D104" i="119"/>
  <c r="D76" i="119"/>
  <c r="F112" i="87"/>
  <c r="F111" i="87" s="1"/>
  <c r="F101" i="87"/>
  <c r="F98" i="87" s="1"/>
  <c r="F73" i="87"/>
  <c r="F72" i="87"/>
  <c r="E66" i="24"/>
  <c r="E63" i="24"/>
  <c r="O63" i="24" s="1"/>
  <c r="C54" i="24"/>
  <c r="D99" i="1"/>
  <c r="D98" i="1"/>
  <c r="D21" i="1"/>
  <c r="D26" i="116"/>
  <c r="D21" i="116" s="1"/>
  <c r="D104" i="116"/>
  <c r="D103" i="116"/>
  <c r="E70" i="24"/>
  <c r="F153" i="87"/>
  <c r="D156" i="119"/>
  <c r="D156" i="3"/>
  <c r="H29" i="73"/>
  <c r="D20" i="3"/>
  <c r="D20" i="119"/>
  <c r="D15" i="119" s="1"/>
  <c r="F17" i="87"/>
  <c r="F12" i="87" s="1"/>
  <c r="E47" i="24"/>
  <c r="D98" i="119"/>
  <c r="E60" i="24"/>
  <c r="E59" i="24"/>
  <c r="F95" i="87"/>
  <c r="F94" i="87"/>
  <c r="D97" i="119"/>
  <c r="D98" i="3"/>
  <c r="D97" i="3"/>
  <c r="H8" i="73"/>
  <c r="H7" i="73"/>
  <c r="H19" i="73" s="1"/>
  <c r="H31" i="73" s="1"/>
  <c r="D117" i="3"/>
  <c r="D51" i="3"/>
  <c r="D49" i="3" s="1"/>
  <c r="D117" i="119"/>
  <c r="D114" i="119" s="1"/>
  <c r="F114" i="87"/>
  <c r="E51" i="24"/>
  <c r="D108" i="3"/>
  <c r="D9" i="3"/>
  <c r="D9" i="119"/>
  <c r="F6" i="87"/>
  <c r="F5" i="87" s="1"/>
  <c r="E46" i="24"/>
  <c r="C8" i="2"/>
  <c r="C34" i="2"/>
  <c r="C33" i="2"/>
  <c r="C31" i="2"/>
  <c r="B31" i="2"/>
  <c r="F10" i="87"/>
  <c r="D13" i="119"/>
  <c r="D8" i="119" s="1"/>
  <c r="D13" i="3"/>
  <c r="D108" i="119"/>
  <c r="D101" i="119" s="1"/>
  <c r="F105" i="87"/>
  <c r="E64" i="24"/>
  <c r="E18" i="70"/>
  <c r="C38" i="2"/>
  <c r="C36" i="2"/>
  <c r="C27" i="2"/>
  <c r="C18" i="2"/>
  <c r="C9" i="2"/>
  <c r="N70" i="24"/>
  <c r="M70" i="24"/>
  <c r="L70" i="24"/>
  <c r="K70" i="24"/>
  <c r="J70" i="24"/>
  <c r="I70" i="24"/>
  <c r="H70" i="24"/>
  <c r="G70" i="24"/>
  <c r="F70" i="24"/>
  <c r="D70" i="24"/>
  <c r="O70" i="24" s="1"/>
  <c r="C70" i="24"/>
  <c r="O69" i="24"/>
  <c r="I68" i="24"/>
  <c r="G68" i="24"/>
  <c r="F68" i="24"/>
  <c r="E68" i="24"/>
  <c r="O68" i="24"/>
  <c r="N67" i="24"/>
  <c r="M67" i="24"/>
  <c r="L67" i="24"/>
  <c r="K67" i="24"/>
  <c r="J67" i="24"/>
  <c r="I67" i="24"/>
  <c r="H67" i="24"/>
  <c r="G67" i="24"/>
  <c r="F67" i="24"/>
  <c r="E67" i="24"/>
  <c r="D67" i="24"/>
  <c r="C67" i="24"/>
  <c r="O67" i="24" s="1"/>
  <c r="O66" i="24"/>
  <c r="O65" i="24"/>
  <c r="K65" i="24"/>
  <c r="F65" i="24"/>
  <c r="N64" i="24"/>
  <c r="M64" i="24"/>
  <c r="L64" i="24"/>
  <c r="K64" i="24"/>
  <c r="J64" i="24"/>
  <c r="I64" i="24"/>
  <c r="H64" i="24"/>
  <c r="G64" i="24"/>
  <c r="F64" i="24"/>
  <c r="F71" i="24" s="1"/>
  <c r="F73" i="24" s="1"/>
  <c r="D64" i="24"/>
  <c r="C64" i="24"/>
  <c r="F63" i="24"/>
  <c r="N62" i="24"/>
  <c r="M62" i="24"/>
  <c r="L62" i="24"/>
  <c r="K62" i="24"/>
  <c r="J62" i="24"/>
  <c r="I62" i="24"/>
  <c r="H62" i="24"/>
  <c r="G62" i="24"/>
  <c r="G71" i="24" s="1"/>
  <c r="F62" i="24"/>
  <c r="E62" i="24"/>
  <c r="D62" i="24"/>
  <c r="C62" i="24"/>
  <c r="N61" i="24"/>
  <c r="M61" i="24"/>
  <c r="L61" i="24"/>
  <c r="L71" i="24" s="1"/>
  <c r="K61" i="24"/>
  <c r="J61" i="24"/>
  <c r="I61" i="24"/>
  <c r="H61" i="24"/>
  <c r="G61" i="24"/>
  <c r="F61" i="24"/>
  <c r="E61" i="24"/>
  <c r="D61" i="24"/>
  <c r="O61" i="24" s="1"/>
  <c r="C61" i="24"/>
  <c r="N60" i="24"/>
  <c r="M60" i="24"/>
  <c r="L60" i="24"/>
  <c r="K60" i="24"/>
  <c r="J60" i="24"/>
  <c r="I60" i="24"/>
  <c r="H60" i="24"/>
  <c r="G60" i="24"/>
  <c r="F60" i="24"/>
  <c r="D60" i="24"/>
  <c r="C60" i="24"/>
  <c r="N59" i="24"/>
  <c r="N71" i="24"/>
  <c r="M59" i="24"/>
  <c r="L59" i="24"/>
  <c r="K59" i="24"/>
  <c r="K71" i="24" s="1"/>
  <c r="J59" i="24"/>
  <c r="J71" i="24" s="1"/>
  <c r="J73" i="24" s="1"/>
  <c r="I59" i="24"/>
  <c r="H59" i="24"/>
  <c r="H71" i="24"/>
  <c r="G59" i="24"/>
  <c r="F59" i="24"/>
  <c r="D59" i="24"/>
  <c r="C59" i="24"/>
  <c r="O54" i="24"/>
  <c r="E53" i="24"/>
  <c r="D53" i="24"/>
  <c r="O53" i="24" s="1"/>
  <c r="O52" i="24"/>
  <c r="O51" i="24"/>
  <c r="N50" i="24"/>
  <c r="M50" i="24"/>
  <c r="L50" i="24"/>
  <c r="K50" i="24"/>
  <c r="J50" i="24"/>
  <c r="I50" i="24"/>
  <c r="H50" i="24"/>
  <c r="G50" i="24"/>
  <c r="F50" i="24"/>
  <c r="E50" i="24"/>
  <c r="D50" i="24"/>
  <c r="C50" i="24"/>
  <c r="N49" i="24"/>
  <c r="M49" i="24"/>
  <c r="L49" i="24"/>
  <c r="K49" i="24"/>
  <c r="J49" i="24"/>
  <c r="I49" i="24"/>
  <c r="H49" i="24"/>
  <c r="G49" i="24"/>
  <c r="F49" i="24"/>
  <c r="E49" i="24"/>
  <c r="D49" i="24"/>
  <c r="C49" i="24"/>
  <c r="E48" i="24"/>
  <c r="D48" i="24"/>
  <c r="O48" i="24" s="1"/>
  <c r="N47" i="24"/>
  <c r="M47" i="24"/>
  <c r="L47" i="24"/>
  <c r="K47" i="24"/>
  <c r="K55" i="24" s="1"/>
  <c r="J47" i="24"/>
  <c r="I47" i="24"/>
  <c r="H47" i="24"/>
  <c r="H55" i="24" s="1"/>
  <c r="H73" i="24" s="1"/>
  <c r="G47" i="24"/>
  <c r="F47" i="24"/>
  <c r="D47" i="24"/>
  <c r="C47" i="24"/>
  <c r="O47" i="24"/>
  <c r="N46" i="24"/>
  <c r="N55" i="24"/>
  <c r="M46" i="24"/>
  <c r="L46" i="24"/>
  <c r="L55" i="24" s="1"/>
  <c r="L73" i="24" s="1"/>
  <c r="K46" i="24"/>
  <c r="K73" i="24"/>
  <c r="J46" i="24"/>
  <c r="J55" i="24" s="1"/>
  <c r="I46" i="24"/>
  <c r="I55" i="24" s="1"/>
  <c r="H46" i="24"/>
  <c r="G46" i="24"/>
  <c r="G55" i="24" s="1"/>
  <c r="G73" i="24" s="1"/>
  <c r="F46" i="24"/>
  <c r="F55" i="24"/>
  <c r="D46" i="24"/>
  <c r="C46" i="24"/>
  <c r="F146" i="87"/>
  <c r="F141" i="87"/>
  <c r="F134" i="87"/>
  <c r="F154" i="87" s="1"/>
  <c r="F130" i="87"/>
  <c r="F120" i="87"/>
  <c r="F115" i="87"/>
  <c r="F79" i="87"/>
  <c r="F75" i="87"/>
  <c r="F67" i="87"/>
  <c r="F63" i="87"/>
  <c r="F86" i="87" s="1"/>
  <c r="F60" i="87"/>
  <c r="F57" i="87" s="1"/>
  <c r="F52" i="87"/>
  <c r="F46" i="87"/>
  <c r="F34" i="87"/>
  <c r="F27" i="87"/>
  <c r="F26" i="87"/>
  <c r="F19" i="87"/>
  <c r="D146" i="121"/>
  <c r="D140" i="121"/>
  <c r="D133" i="121"/>
  <c r="D129" i="121"/>
  <c r="D154" i="121"/>
  <c r="D114" i="121"/>
  <c r="D93" i="121"/>
  <c r="D128" i="121" s="1"/>
  <c r="D155" i="121" s="1"/>
  <c r="D82" i="121"/>
  <c r="D78" i="121"/>
  <c r="D75" i="121"/>
  <c r="D70" i="121"/>
  <c r="D66" i="121"/>
  <c r="D89" i="121" s="1"/>
  <c r="D60" i="121"/>
  <c r="D55" i="121"/>
  <c r="D49" i="121"/>
  <c r="D37" i="121"/>
  <c r="D30" i="121"/>
  <c r="D29" i="121" s="1"/>
  <c r="D22" i="121"/>
  <c r="D15" i="121"/>
  <c r="D8" i="121"/>
  <c r="D148" i="120"/>
  <c r="D143" i="120"/>
  <c r="D136" i="120"/>
  <c r="D132" i="120"/>
  <c r="D156" i="120" s="1"/>
  <c r="D122" i="120"/>
  <c r="D117" i="120" s="1"/>
  <c r="D114" i="120"/>
  <c r="D101" i="120"/>
  <c r="D96" i="120" s="1"/>
  <c r="D131" i="120" s="1"/>
  <c r="D157" i="120" s="1"/>
  <c r="D82" i="120"/>
  <c r="D78" i="120"/>
  <c r="D75" i="120"/>
  <c r="D70" i="120"/>
  <c r="D66" i="120"/>
  <c r="D89" i="120"/>
  <c r="D60" i="120"/>
  <c r="D55" i="120"/>
  <c r="D49" i="120"/>
  <c r="D37" i="120"/>
  <c r="D30" i="120"/>
  <c r="D29" i="120" s="1"/>
  <c r="D22" i="120"/>
  <c r="D15" i="120"/>
  <c r="D8" i="120"/>
  <c r="D65" i="120" s="1"/>
  <c r="D90" i="120" s="1"/>
  <c r="D149" i="119"/>
  <c r="D144" i="119"/>
  <c r="D137" i="119"/>
  <c r="D133" i="119"/>
  <c r="D157" i="119" s="1"/>
  <c r="D123" i="119"/>
  <c r="D119" i="119"/>
  <c r="D118" i="119"/>
  <c r="D99" i="119"/>
  <c r="D82" i="119"/>
  <c r="D79" i="119"/>
  <c r="D78" i="119"/>
  <c r="D75" i="119"/>
  <c r="D89" i="119"/>
  <c r="D70" i="119"/>
  <c r="D66" i="119"/>
  <c r="D60" i="119"/>
  <c r="D55" i="119"/>
  <c r="D49" i="119"/>
  <c r="D43" i="119"/>
  <c r="D39" i="119"/>
  <c r="D37" i="119" s="1"/>
  <c r="D31" i="119"/>
  <c r="D30" i="119" s="1"/>
  <c r="D29" i="119"/>
  <c r="D22" i="119"/>
  <c r="D149" i="3"/>
  <c r="D144" i="3"/>
  <c r="D137" i="3"/>
  <c r="D133" i="3"/>
  <c r="D123" i="3"/>
  <c r="D118" i="3"/>
  <c r="D82" i="3"/>
  <c r="D79" i="3"/>
  <c r="D78" i="3"/>
  <c r="D75" i="3"/>
  <c r="D70" i="3"/>
  <c r="D66" i="3"/>
  <c r="D60" i="3"/>
  <c r="D55" i="3"/>
  <c r="D37" i="3"/>
  <c r="D30" i="3"/>
  <c r="D29" i="3"/>
  <c r="D22" i="3"/>
  <c r="D15" i="3"/>
  <c r="D8" i="3"/>
  <c r="G8" i="64"/>
  <c r="G7" i="64"/>
  <c r="G6" i="64"/>
  <c r="G5" i="64"/>
  <c r="G11" i="64" s="1"/>
  <c r="G51" i="63"/>
  <c r="G47" i="63"/>
  <c r="G46" i="63"/>
  <c r="G45" i="63"/>
  <c r="G44" i="63"/>
  <c r="G43" i="63"/>
  <c r="G42" i="63"/>
  <c r="G41" i="63"/>
  <c r="G40" i="63"/>
  <c r="G39" i="63"/>
  <c r="G38" i="63"/>
  <c r="G48" i="63" s="1"/>
  <c r="G37" i="63"/>
  <c r="G34" i="63"/>
  <c r="G35" i="63"/>
  <c r="G33" i="63"/>
  <c r="G32" i="63"/>
  <c r="G28" i="63"/>
  <c r="G27" i="63"/>
  <c r="G26" i="63"/>
  <c r="G25" i="63"/>
  <c r="G23" i="63"/>
  <c r="G22" i="63"/>
  <c r="G21" i="63"/>
  <c r="G20" i="63"/>
  <c r="G19" i="63"/>
  <c r="G18" i="63"/>
  <c r="G17" i="63"/>
  <c r="G16" i="63"/>
  <c r="G15" i="63"/>
  <c r="G14" i="63"/>
  <c r="G30" i="63" s="1"/>
  <c r="G11" i="63"/>
  <c r="G10" i="63"/>
  <c r="G9" i="63"/>
  <c r="G12" i="63"/>
  <c r="G57" i="63" s="1"/>
  <c r="D11" i="77"/>
  <c r="H31" i="61"/>
  <c r="H18" i="61"/>
  <c r="H32" i="61" s="1"/>
  <c r="C25" i="61"/>
  <c r="C18" i="61"/>
  <c r="H30" i="73"/>
  <c r="C25" i="73"/>
  <c r="C19" i="73"/>
  <c r="D149" i="118"/>
  <c r="D144" i="118"/>
  <c r="D137" i="118"/>
  <c r="D133" i="118"/>
  <c r="D157" i="118"/>
  <c r="D118" i="118"/>
  <c r="D97" i="118"/>
  <c r="D83" i="118"/>
  <c r="D79" i="118"/>
  <c r="D76" i="118"/>
  <c r="D71" i="118"/>
  <c r="D67" i="118"/>
  <c r="D90" i="118"/>
  <c r="D61" i="118"/>
  <c r="D56" i="118"/>
  <c r="D50" i="118"/>
  <c r="D38" i="118"/>
  <c r="D31" i="118"/>
  <c r="D30" i="118" s="1"/>
  <c r="D23" i="118"/>
  <c r="D16" i="118"/>
  <c r="D9" i="118"/>
  <c r="D150" i="117"/>
  <c r="D145" i="117"/>
  <c r="D138" i="117"/>
  <c r="D134" i="117"/>
  <c r="D158" i="117" s="1"/>
  <c r="D124" i="117"/>
  <c r="D119" i="117"/>
  <c r="D116" i="117"/>
  <c r="D103" i="117"/>
  <c r="D98" i="117" s="1"/>
  <c r="D133" i="117" s="1"/>
  <c r="D159" i="117" s="1"/>
  <c r="D84" i="117"/>
  <c r="D80" i="117"/>
  <c r="D77" i="117"/>
  <c r="D72" i="117"/>
  <c r="D68" i="117"/>
  <c r="D62" i="117"/>
  <c r="D57" i="117"/>
  <c r="D51" i="117"/>
  <c r="D39" i="117"/>
  <c r="D32" i="117"/>
  <c r="D31" i="117"/>
  <c r="D24" i="117"/>
  <c r="D17" i="117"/>
  <c r="D10" i="117"/>
  <c r="D154" i="116"/>
  <c r="D149" i="116"/>
  <c r="D142" i="116"/>
  <c r="D138" i="116"/>
  <c r="D128" i="116"/>
  <c r="D124" i="116"/>
  <c r="D120" i="116"/>
  <c r="D107" i="116"/>
  <c r="D105" i="116"/>
  <c r="D88" i="116"/>
  <c r="D85" i="116"/>
  <c r="D84" i="116"/>
  <c r="D95" i="116" s="1"/>
  <c r="D76" i="116"/>
  <c r="D72" i="116"/>
  <c r="D66" i="116"/>
  <c r="D61" i="116"/>
  <c r="D55" i="116"/>
  <c r="D54" i="116"/>
  <c r="D51" i="116"/>
  <c r="D49" i="116"/>
  <c r="D43" i="116" s="1"/>
  <c r="D46" i="116"/>
  <c r="D45" i="116"/>
  <c r="D42" i="116"/>
  <c r="D37" i="116"/>
  <c r="D36" i="116" s="1"/>
  <c r="D35" i="116" s="1"/>
  <c r="D28" i="116"/>
  <c r="D14" i="116"/>
  <c r="D149" i="1"/>
  <c r="D144" i="1"/>
  <c r="D137" i="1"/>
  <c r="D133" i="1"/>
  <c r="D123" i="1"/>
  <c r="D119" i="1"/>
  <c r="D118" i="1" s="1"/>
  <c r="D115" i="1"/>
  <c r="D102" i="1"/>
  <c r="D100" i="1"/>
  <c r="D83" i="1"/>
  <c r="D80" i="1"/>
  <c r="D79" i="1"/>
  <c r="D76" i="1"/>
  <c r="D71" i="1"/>
  <c r="D67" i="1"/>
  <c r="D61" i="1"/>
  <c r="D56" i="1"/>
  <c r="D50" i="1"/>
  <c r="D49" i="1"/>
  <c r="D46" i="1"/>
  <c r="D44" i="1"/>
  <c r="D41" i="1"/>
  <c r="D40" i="1"/>
  <c r="D38" i="1" s="1"/>
  <c r="D37" i="1"/>
  <c r="D32" i="1"/>
  <c r="D31" i="1" s="1"/>
  <c r="D30" i="1" s="1"/>
  <c r="D23" i="1"/>
  <c r="D16" i="1"/>
  <c r="D9" i="1"/>
  <c r="M23" i="63"/>
  <c r="C119" i="1"/>
  <c r="C100" i="1"/>
  <c r="C124" i="116"/>
  <c r="C105" i="116"/>
  <c r="F19" i="63"/>
  <c r="C19" i="63"/>
  <c r="M20" i="63"/>
  <c r="F20" i="63"/>
  <c r="C20" i="63"/>
  <c r="C119" i="119"/>
  <c r="C99" i="119"/>
  <c r="F31" i="24"/>
  <c r="F25" i="24"/>
  <c r="D12" i="24"/>
  <c r="J20" i="63"/>
  <c r="C99" i="1"/>
  <c r="C98" i="1"/>
  <c r="C97" i="1" s="1"/>
  <c r="C132" i="1" s="1"/>
  <c r="C44" i="1"/>
  <c r="C40" i="1"/>
  <c r="C32" i="1"/>
  <c r="C31" i="1" s="1"/>
  <c r="C149" i="1"/>
  <c r="C144" i="1"/>
  <c r="C137" i="1"/>
  <c r="C133" i="1"/>
  <c r="C157" i="1"/>
  <c r="C123" i="1"/>
  <c r="C118" i="1" s="1"/>
  <c r="C115" i="1"/>
  <c r="C102" i="1"/>
  <c r="C83" i="1"/>
  <c r="C80" i="1"/>
  <c r="C79" i="1"/>
  <c r="C77" i="1"/>
  <c r="C76" i="1" s="1"/>
  <c r="C71" i="1"/>
  <c r="C67" i="1"/>
  <c r="C61" i="1"/>
  <c r="C56" i="1"/>
  <c r="C50" i="1"/>
  <c r="C49" i="1"/>
  <c r="C46" i="1"/>
  <c r="C41" i="1"/>
  <c r="C38" i="1" s="1"/>
  <c r="C37" i="1"/>
  <c r="C23" i="1"/>
  <c r="C21" i="1"/>
  <c r="C16" i="1" s="1"/>
  <c r="C9" i="1"/>
  <c r="C104" i="116"/>
  <c r="C103" i="116"/>
  <c r="C26" i="116"/>
  <c r="C21" i="116"/>
  <c r="C54" i="116"/>
  <c r="C51" i="116"/>
  <c r="C46" i="116"/>
  <c r="C45" i="116"/>
  <c r="C49" i="116"/>
  <c r="C37" i="116"/>
  <c r="C42" i="116"/>
  <c r="C154" i="116"/>
  <c r="C162" i="116" s="1"/>
  <c r="C149" i="116"/>
  <c r="C142" i="116"/>
  <c r="C138" i="116"/>
  <c r="C128" i="116"/>
  <c r="C123" i="116" s="1"/>
  <c r="C120" i="116"/>
  <c r="C107" i="116"/>
  <c r="C88" i="116"/>
  <c r="C85" i="116"/>
  <c r="C84" i="116" s="1"/>
  <c r="C82" i="116"/>
  <c r="C81" i="116" s="1"/>
  <c r="C76" i="116"/>
  <c r="C72" i="116"/>
  <c r="C66" i="116"/>
  <c r="C61" i="116"/>
  <c r="C55" i="116"/>
  <c r="C36" i="116"/>
  <c r="C28" i="116"/>
  <c r="C14" i="116"/>
  <c r="C150" i="117"/>
  <c r="C145" i="117"/>
  <c r="C138" i="117"/>
  <c r="C134" i="117"/>
  <c r="C124" i="117"/>
  <c r="C119" i="117"/>
  <c r="C116" i="117"/>
  <c r="C103" i="117"/>
  <c r="C98" i="117" s="1"/>
  <c r="C133" i="117" s="1"/>
  <c r="C84" i="117"/>
  <c r="C80" i="117"/>
  <c r="C77" i="117"/>
  <c r="C72" i="117"/>
  <c r="C91" i="117" s="1"/>
  <c r="C68" i="117"/>
  <c r="C62" i="117"/>
  <c r="C57" i="117"/>
  <c r="C51" i="117"/>
  <c r="C39" i="117"/>
  <c r="C32" i="117"/>
  <c r="C31" i="117"/>
  <c r="C24" i="117"/>
  <c r="C17" i="117"/>
  <c r="C10" i="117"/>
  <c r="D31" i="24"/>
  <c r="F42" i="63"/>
  <c r="J42" i="63"/>
  <c r="C42" i="63"/>
  <c r="M42" i="63"/>
  <c r="F18" i="63"/>
  <c r="F17" i="63"/>
  <c r="K18" i="63"/>
  <c r="J18" i="63" s="1"/>
  <c r="K17" i="63"/>
  <c r="J17" i="63" s="1"/>
  <c r="C18" i="63"/>
  <c r="C17" i="63"/>
  <c r="F26" i="63"/>
  <c r="F25" i="63"/>
  <c r="F28" i="63"/>
  <c r="J28" i="63"/>
  <c r="F47" i="63"/>
  <c r="M47" i="63"/>
  <c r="C47" i="63"/>
  <c r="M27" i="63"/>
  <c r="J27" i="63" s="1"/>
  <c r="F27" i="63"/>
  <c r="C27" i="63"/>
  <c r="F46" i="63"/>
  <c r="K26" i="63"/>
  <c r="J26" i="63" s="1"/>
  <c r="C26" i="63"/>
  <c r="J25" i="63"/>
  <c r="F45" i="63"/>
  <c r="F48" i="63" s="1"/>
  <c r="K45" i="63"/>
  <c r="C45" i="63"/>
  <c r="F44" i="63"/>
  <c r="K44" i="63"/>
  <c r="J44" i="63" s="1"/>
  <c r="C44" i="63"/>
  <c r="F43" i="63"/>
  <c r="K43" i="63"/>
  <c r="C43" i="63"/>
  <c r="F34" i="63"/>
  <c r="K34" i="63"/>
  <c r="J34" i="63"/>
  <c r="C34" i="63"/>
  <c r="L35" i="63"/>
  <c r="M35" i="63"/>
  <c r="F33" i="63"/>
  <c r="K33" i="63"/>
  <c r="J33" i="63" s="1"/>
  <c r="J35" i="63" s="1"/>
  <c r="C33" i="63"/>
  <c r="F23" i="63"/>
  <c r="F22" i="63"/>
  <c r="M22" i="63"/>
  <c r="J22" i="63" s="1"/>
  <c r="C22" i="63"/>
  <c r="F21" i="63"/>
  <c r="K21" i="63"/>
  <c r="C21" i="63"/>
  <c r="F41" i="63"/>
  <c r="M41" i="63"/>
  <c r="C41" i="63"/>
  <c r="M19" i="63"/>
  <c r="F40" i="63"/>
  <c r="F39" i="63"/>
  <c r="K39" i="63"/>
  <c r="C39" i="63"/>
  <c r="C48" i="63" s="1"/>
  <c r="F16" i="63"/>
  <c r="F11" i="63"/>
  <c r="K11" i="63"/>
  <c r="J11" i="63" s="1"/>
  <c r="C11" i="63"/>
  <c r="F10" i="63"/>
  <c r="K10" i="63"/>
  <c r="J10" i="63" s="1"/>
  <c r="C10" i="63"/>
  <c r="L12" i="63"/>
  <c r="M12" i="63"/>
  <c r="F38" i="63"/>
  <c r="F37" i="63"/>
  <c r="F32" i="63"/>
  <c r="K32" i="63"/>
  <c r="C32" i="63"/>
  <c r="F9" i="63"/>
  <c r="K9" i="63"/>
  <c r="C9" i="63"/>
  <c r="K15" i="63"/>
  <c r="F15" i="63"/>
  <c r="C15" i="63"/>
  <c r="C30" i="63" s="1"/>
  <c r="F14" i="63"/>
  <c r="G11" i="73"/>
  <c r="J15" i="63"/>
  <c r="J16" i="63"/>
  <c r="J21" i="63"/>
  <c r="J23" i="63"/>
  <c r="D11" i="64"/>
  <c r="E11" i="64"/>
  <c r="F11" i="64"/>
  <c r="I11" i="64"/>
  <c r="K11" i="64"/>
  <c r="L11" i="64"/>
  <c r="M11" i="64"/>
  <c r="C11" i="64"/>
  <c r="F8" i="64"/>
  <c r="J7" i="64"/>
  <c r="J8" i="64"/>
  <c r="F7" i="64"/>
  <c r="F6" i="64"/>
  <c r="J6" i="64"/>
  <c r="J11" i="64" s="1"/>
  <c r="J5" i="64"/>
  <c r="F5" i="64"/>
  <c r="C98" i="119"/>
  <c r="C96" i="119" s="1"/>
  <c r="C97" i="119"/>
  <c r="C43" i="119"/>
  <c r="C39" i="119"/>
  <c r="C31" i="119"/>
  <c r="C30" i="119" s="1"/>
  <c r="C149" i="3"/>
  <c r="C144" i="3"/>
  <c r="C137" i="3"/>
  <c r="C133" i="3"/>
  <c r="C157" i="3" s="1"/>
  <c r="C123" i="3"/>
  <c r="C118" i="3" s="1"/>
  <c r="C114" i="3"/>
  <c r="C101" i="3"/>
  <c r="C96" i="3" s="1"/>
  <c r="C82" i="3"/>
  <c r="C79" i="3"/>
  <c r="C78" i="3" s="1"/>
  <c r="C76" i="3"/>
  <c r="C75" i="3" s="1"/>
  <c r="C70" i="3"/>
  <c r="C66" i="3"/>
  <c r="C89" i="3"/>
  <c r="C60" i="3"/>
  <c r="C55" i="3"/>
  <c r="C49" i="3"/>
  <c r="C37" i="3"/>
  <c r="C30" i="3"/>
  <c r="C29" i="3" s="1"/>
  <c r="C22" i="3"/>
  <c r="C15" i="3"/>
  <c r="C8" i="3"/>
  <c r="C65" i="3" s="1"/>
  <c r="C90" i="3" s="1"/>
  <c r="C79" i="119"/>
  <c r="C78" i="119" s="1"/>
  <c r="C76" i="119"/>
  <c r="C75" i="119" s="1"/>
  <c r="E60" i="87"/>
  <c r="D128" i="87"/>
  <c r="D120" i="87" s="1"/>
  <c r="D115" i="87" s="1"/>
  <c r="C146" i="87"/>
  <c r="C141" i="87"/>
  <c r="C134" i="87"/>
  <c r="C130" i="87"/>
  <c r="C154" i="87" s="1"/>
  <c r="C120" i="87"/>
  <c r="C115" i="87" s="1"/>
  <c r="C111" i="87"/>
  <c r="C98" i="87"/>
  <c r="C93" i="87"/>
  <c r="C129" i="87" s="1"/>
  <c r="C156" i="87" s="1"/>
  <c r="C79" i="87"/>
  <c r="C75" i="87"/>
  <c r="C72" i="87"/>
  <c r="C67" i="87"/>
  <c r="C63" i="87"/>
  <c r="C57" i="87"/>
  <c r="C52" i="87"/>
  <c r="C46" i="87"/>
  <c r="C34" i="87"/>
  <c r="C27" i="87"/>
  <c r="C26" i="87" s="1"/>
  <c r="C19" i="87"/>
  <c r="C12" i="87"/>
  <c r="C5" i="87"/>
  <c r="N34" i="24"/>
  <c r="C34" i="24"/>
  <c r="M34" i="24"/>
  <c r="L34" i="24"/>
  <c r="K34" i="24"/>
  <c r="J34" i="24"/>
  <c r="J35" i="24" s="1"/>
  <c r="I34" i="24"/>
  <c r="H34" i="24"/>
  <c r="G34" i="24"/>
  <c r="O34" i="24"/>
  <c r="F34" i="24"/>
  <c r="E34" i="24"/>
  <c r="D34" i="24"/>
  <c r="G32" i="24"/>
  <c r="O32" i="24" s="1"/>
  <c r="E32" i="24"/>
  <c r="F32" i="24"/>
  <c r="I32" i="24"/>
  <c r="N31" i="24"/>
  <c r="N35" i="24" s="1"/>
  <c r="M31" i="24"/>
  <c r="L31" i="24"/>
  <c r="K31" i="24"/>
  <c r="C31" i="24"/>
  <c r="C35" i="24" s="1"/>
  <c r="C37" i="24" s="1"/>
  <c r="J31" i="24"/>
  <c r="I31" i="24"/>
  <c r="H31" i="24"/>
  <c r="G31" i="24"/>
  <c r="G35" i="24" s="1"/>
  <c r="E31" i="24"/>
  <c r="K29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N26" i="24"/>
  <c r="M26" i="24"/>
  <c r="K26" i="24"/>
  <c r="J26" i="24"/>
  <c r="H26" i="24"/>
  <c r="L26" i="24"/>
  <c r="I26" i="24"/>
  <c r="G26" i="24"/>
  <c r="F26" i="24"/>
  <c r="E26" i="24"/>
  <c r="O26" i="24" s="1"/>
  <c r="D26" i="24"/>
  <c r="C26" i="24"/>
  <c r="N25" i="24"/>
  <c r="M25" i="24"/>
  <c r="L25" i="24"/>
  <c r="K25" i="24"/>
  <c r="J25" i="24"/>
  <c r="I25" i="24"/>
  <c r="H25" i="24"/>
  <c r="G25" i="24"/>
  <c r="E25" i="24"/>
  <c r="D25" i="24"/>
  <c r="C25" i="24"/>
  <c r="N24" i="24"/>
  <c r="M24" i="24"/>
  <c r="L24" i="24"/>
  <c r="L35" i="24" s="1"/>
  <c r="K24" i="24"/>
  <c r="J24" i="24"/>
  <c r="I24" i="24"/>
  <c r="H24" i="24"/>
  <c r="G24" i="24"/>
  <c r="F24" i="24"/>
  <c r="E24" i="24"/>
  <c r="D24" i="24"/>
  <c r="O24" i="24" s="1"/>
  <c r="C24" i="24"/>
  <c r="N23" i="24"/>
  <c r="M23" i="24"/>
  <c r="M35" i="24" s="1"/>
  <c r="L23" i="24"/>
  <c r="K23" i="24"/>
  <c r="J23" i="24"/>
  <c r="I23" i="24"/>
  <c r="I35" i="24" s="1"/>
  <c r="H23" i="24"/>
  <c r="G23" i="24"/>
  <c r="F23" i="24"/>
  <c r="E23" i="24"/>
  <c r="O23" i="24" s="1"/>
  <c r="D23" i="24"/>
  <c r="C23" i="24"/>
  <c r="F27" i="24"/>
  <c r="F29" i="24"/>
  <c r="O29" i="24" s="1"/>
  <c r="C18" i="24"/>
  <c r="E17" i="24"/>
  <c r="D17" i="24"/>
  <c r="O17" i="24" s="1"/>
  <c r="N14" i="24"/>
  <c r="J14" i="24"/>
  <c r="I14" i="24"/>
  <c r="H14" i="24"/>
  <c r="K14" i="24"/>
  <c r="E14" i="24"/>
  <c r="M14" i="24"/>
  <c r="L14" i="24"/>
  <c r="G14" i="24"/>
  <c r="F14" i="24"/>
  <c r="D14" i="24"/>
  <c r="C14" i="24"/>
  <c r="K13" i="24"/>
  <c r="E13" i="24"/>
  <c r="D13" i="24"/>
  <c r="F13" i="24"/>
  <c r="G13" i="24"/>
  <c r="H13" i="24"/>
  <c r="I13" i="24"/>
  <c r="J13" i="24"/>
  <c r="L13" i="24"/>
  <c r="M13" i="24"/>
  <c r="M19" i="24" s="1"/>
  <c r="N13" i="24"/>
  <c r="C13" i="24"/>
  <c r="E12" i="24"/>
  <c r="N11" i="24"/>
  <c r="N19" i="24" s="1"/>
  <c r="N37" i="24" s="1"/>
  <c r="F11" i="24"/>
  <c r="F19" i="24" s="1"/>
  <c r="M11" i="24"/>
  <c r="L11" i="24"/>
  <c r="K11" i="24"/>
  <c r="J11" i="24"/>
  <c r="I11" i="24"/>
  <c r="H11" i="24"/>
  <c r="G11" i="24"/>
  <c r="O11" i="24" s="1"/>
  <c r="E11" i="24"/>
  <c r="D11" i="24"/>
  <c r="C11" i="24"/>
  <c r="L19" i="24"/>
  <c r="L37" i="24" s="1"/>
  <c r="N10" i="24"/>
  <c r="M10" i="24"/>
  <c r="L10" i="24"/>
  <c r="K10" i="24"/>
  <c r="K19" i="24" s="1"/>
  <c r="K37" i="24" s="1"/>
  <c r="J10" i="24"/>
  <c r="J19" i="24" s="1"/>
  <c r="I10" i="24"/>
  <c r="H10" i="24"/>
  <c r="H19" i="24" s="1"/>
  <c r="G10" i="24"/>
  <c r="G19" i="24" s="1"/>
  <c r="G37" i="24" s="1"/>
  <c r="F10" i="24"/>
  <c r="E10" i="24"/>
  <c r="D10" i="24"/>
  <c r="D19" i="24" s="1"/>
  <c r="C10" i="24"/>
  <c r="B9" i="2"/>
  <c r="E29" i="128"/>
  <c r="E33" i="128" s="1"/>
  <c r="E35" i="128" s="1"/>
  <c r="D29" i="128"/>
  <c r="D33" i="128" s="1"/>
  <c r="D35" i="128" s="1"/>
  <c r="C29" i="128"/>
  <c r="E9" i="128"/>
  <c r="E8" i="128"/>
  <c r="E20" i="128"/>
  <c r="E22" i="128" s="1"/>
  <c r="D9" i="128"/>
  <c r="D8" i="128" s="1"/>
  <c r="D20" i="128" s="1"/>
  <c r="D22" i="128" s="1"/>
  <c r="G30" i="73"/>
  <c r="J46" i="63"/>
  <c r="C51" i="63"/>
  <c r="C144" i="119"/>
  <c r="C37" i="119"/>
  <c r="E34" i="87"/>
  <c r="E19" i="24"/>
  <c r="E25" i="73"/>
  <c r="D111" i="87"/>
  <c r="E111" i="87"/>
  <c r="E156" i="87"/>
  <c r="C60" i="119"/>
  <c r="C29" i="119"/>
  <c r="J47" i="63"/>
  <c r="C9" i="128"/>
  <c r="C8" i="128" s="1"/>
  <c r="C20" i="128" s="1"/>
  <c r="C22" i="128" s="1"/>
  <c r="C26" i="128"/>
  <c r="D26" i="128"/>
  <c r="E26" i="128"/>
  <c r="C33" i="128"/>
  <c r="C35" i="128" s="1"/>
  <c r="D18" i="70"/>
  <c r="B7" i="2"/>
  <c r="B18" i="2"/>
  <c r="B27" i="2"/>
  <c r="B36" i="2"/>
  <c r="B38" i="2"/>
  <c r="O12" i="24"/>
  <c r="O16" i="24"/>
  <c r="O18" i="24"/>
  <c r="O25" i="24"/>
  <c r="O27" i="24"/>
  <c r="O30" i="24"/>
  <c r="O33" i="24"/>
  <c r="H35" i="24"/>
  <c r="C30" i="88"/>
  <c r="D30" i="88"/>
  <c r="D6" i="66"/>
  <c r="E6" i="66"/>
  <c r="F6" i="66"/>
  <c r="G6" i="66"/>
  <c r="H6" i="66"/>
  <c r="I7" i="66"/>
  <c r="I8" i="66"/>
  <c r="D9" i="66"/>
  <c r="D18" i="66" s="1"/>
  <c r="E9" i="66"/>
  <c r="F9" i="66"/>
  <c r="G9" i="66"/>
  <c r="H9" i="66"/>
  <c r="H18" i="66" s="1"/>
  <c r="I10" i="66"/>
  <c r="I11" i="66"/>
  <c r="D12" i="66"/>
  <c r="E12" i="66"/>
  <c r="F12" i="66"/>
  <c r="G12" i="66"/>
  <c r="H12" i="66"/>
  <c r="I13" i="66"/>
  <c r="D14" i="66"/>
  <c r="E14" i="66"/>
  <c r="F14" i="66"/>
  <c r="I14" i="66" s="1"/>
  <c r="G14" i="66"/>
  <c r="H14" i="66"/>
  <c r="I15" i="66"/>
  <c r="D16" i="66"/>
  <c r="E16" i="66"/>
  <c r="F16" i="66"/>
  <c r="I16" i="66"/>
  <c r="G16" i="66"/>
  <c r="H16" i="66"/>
  <c r="I17" i="66"/>
  <c r="D5" i="87"/>
  <c r="E5" i="87"/>
  <c r="D12" i="87"/>
  <c r="D62" i="87" s="1"/>
  <c r="D88" i="87" s="1"/>
  <c r="E12" i="87"/>
  <c r="D19" i="87"/>
  <c r="E19" i="87"/>
  <c r="D27" i="87"/>
  <c r="D26" i="87"/>
  <c r="E27" i="87"/>
  <c r="E26" i="87" s="1"/>
  <c r="D34" i="87"/>
  <c r="D46" i="87"/>
  <c r="E46" i="87"/>
  <c r="E62" i="87" s="1"/>
  <c r="D52" i="87"/>
  <c r="E52" i="87"/>
  <c r="D57" i="87"/>
  <c r="E57" i="87"/>
  <c r="D63" i="87"/>
  <c r="E63" i="87"/>
  <c r="D67" i="87"/>
  <c r="E67" i="87"/>
  <c r="D72" i="87"/>
  <c r="E72" i="87"/>
  <c r="D75" i="87"/>
  <c r="E75" i="87"/>
  <c r="D79" i="87"/>
  <c r="E79" i="87"/>
  <c r="D98" i="87"/>
  <c r="D93" i="87"/>
  <c r="E98" i="87"/>
  <c r="E93" i="87" s="1"/>
  <c r="E129" i="87" s="1"/>
  <c r="E120" i="87"/>
  <c r="E115" i="87"/>
  <c r="D130" i="87"/>
  <c r="E130" i="87"/>
  <c r="D134" i="87"/>
  <c r="E134" i="87"/>
  <c r="D141" i="87"/>
  <c r="E141" i="87"/>
  <c r="D146" i="87"/>
  <c r="E146" i="87"/>
  <c r="E154" i="87" s="1"/>
  <c r="G10" i="89"/>
  <c r="G11" i="89"/>
  <c r="G12" i="89"/>
  <c r="G13" i="89"/>
  <c r="G14" i="89"/>
  <c r="G15" i="89"/>
  <c r="C16" i="89"/>
  <c r="D16" i="89"/>
  <c r="E16" i="89"/>
  <c r="F16" i="89"/>
  <c r="G16" i="89"/>
  <c r="C8" i="121"/>
  <c r="C15" i="121"/>
  <c r="C22" i="121"/>
  <c r="C29" i="121"/>
  <c r="C30" i="121"/>
  <c r="C37" i="121"/>
  <c r="C49" i="121"/>
  <c r="C55" i="121"/>
  <c r="C60" i="121"/>
  <c r="C66" i="121"/>
  <c r="C70" i="121"/>
  <c r="C75" i="121"/>
  <c r="C89" i="121" s="1"/>
  <c r="C78" i="121"/>
  <c r="C82" i="121"/>
  <c r="C93" i="121"/>
  <c r="C114" i="121"/>
  <c r="C128" i="121" s="1"/>
  <c r="C155" i="121" s="1"/>
  <c r="C129" i="121"/>
  <c r="C133" i="121"/>
  <c r="C154" i="121" s="1"/>
  <c r="C140" i="121"/>
  <c r="C146" i="121"/>
  <c r="C8" i="120"/>
  <c r="C15" i="120"/>
  <c r="C22" i="120"/>
  <c r="C30" i="120"/>
  <c r="C29" i="120"/>
  <c r="C37" i="120"/>
  <c r="C49" i="120"/>
  <c r="C55" i="120"/>
  <c r="C60" i="120"/>
  <c r="C66" i="120"/>
  <c r="C70" i="120"/>
  <c r="C75" i="120"/>
  <c r="C89" i="120"/>
  <c r="C78" i="120"/>
  <c r="C82" i="120"/>
  <c r="C101" i="120"/>
  <c r="C96" i="120"/>
  <c r="C114" i="120"/>
  <c r="C122" i="120"/>
  <c r="C117" i="120"/>
  <c r="C132" i="120"/>
  <c r="C156" i="120" s="1"/>
  <c r="C136" i="120"/>
  <c r="C143" i="120"/>
  <c r="C148" i="120"/>
  <c r="C8" i="119"/>
  <c r="C15" i="119"/>
  <c r="C22" i="119"/>
  <c r="C49" i="119"/>
  <c r="C55" i="119"/>
  <c r="C66" i="119"/>
  <c r="C70" i="119"/>
  <c r="C82" i="119"/>
  <c r="C101" i="119"/>
  <c r="C114" i="119"/>
  <c r="C123" i="119"/>
  <c r="C118" i="119" s="1"/>
  <c r="C133" i="119"/>
  <c r="C157" i="119" s="1"/>
  <c r="C137" i="119"/>
  <c r="C149" i="119"/>
  <c r="E5" i="71"/>
  <c r="E6" i="71"/>
  <c r="E7" i="71"/>
  <c r="E8" i="71"/>
  <c r="E9" i="71"/>
  <c r="E10" i="71"/>
  <c r="E11" i="71"/>
  <c r="B12" i="71"/>
  <c r="C12" i="71"/>
  <c r="D12" i="71"/>
  <c r="B14" i="71"/>
  <c r="B27" i="71" s="1"/>
  <c r="B37" i="71" s="1"/>
  <c r="C14" i="71"/>
  <c r="D14" i="71"/>
  <c r="D27" i="71" s="1"/>
  <c r="D37" i="71"/>
  <c r="E15" i="71"/>
  <c r="E16" i="71"/>
  <c r="E17" i="71"/>
  <c r="E18" i="71"/>
  <c r="E22" i="71" s="1"/>
  <c r="E19" i="71"/>
  <c r="E20" i="71"/>
  <c r="E21" i="71"/>
  <c r="B22" i="71"/>
  <c r="C22" i="71"/>
  <c r="D22" i="71"/>
  <c r="C27" i="71"/>
  <c r="C37" i="71" s="1"/>
  <c r="E28" i="71"/>
  <c r="E29" i="71"/>
  <c r="E30" i="71"/>
  <c r="E31" i="71"/>
  <c r="E32" i="71"/>
  <c r="E33" i="71"/>
  <c r="E34" i="71"/>
  <c r="B35" i="71"/>
  <c r="C35" i="71"/>
  <c r="D35" i="71"/>
  <c r="E38" i="71"/>
  <c r="E39" i="71"/>
  <c r="E40" i="71"/>
  <c r="E41" i="71"/>
  <c r="E42" i="71"/>
  <c r="E43" i="71"/>
  <c r="E44" i="71"/>
  <c r="B45" i="71"/>
  <c r="C45" i="71"/>
  <c r="D45" i="71"/>
  <c r="D52" i="71"/>
  <c r="J9" i="63"/>
  <c r="J12" i="63" s="1"/>
  <c r="J37" i="63"/>
  <c r="J39" i="63"/>
  <c r="J48" i="63" s="1"/>
  <c r="J40" i="63"/>
  <c r="J41" i="63"/>
  <c r="J43" i="63"/>
  <c r="J45" i="63"/>
  <c r="I48" i="63"/>
  <c r="M48" i="63"/>
  <c r="J50" i="63"/>
  <c r="J51" i="63"/>
  <c r="F51" i="63"/>
  <c r="K51" i="63"/>
  <c r="L51" i="63"/>
  <c r="M51" i="63"/>
  <c r="C8" i="78"/>
  <c r="C11" i="77"/>
  <c r="F6" i="62"/>
  <c r="F7" i="62"/>
  <c r="F11" i="62" s="1"/>
  <c r="F8" i="62"/>
  <c r="F9" i="62"/>
  <c r="F10" i="62"/>
  <c r="C11" i="62"/>
  <c r="D11" i="62"/>
  <c r="E11" i="62"/>
  <c r="G18" i="61"/>
  <c r="G32" i="61"/>
  <c r="E18" i="61"/>
  <c r="E25" i="61"/>
  <c r="G31" i="61"/>
  <c r="G19" i="73"/>
  <c r="G31" i="73" s="1"/>
  <c r="E19" i="73"/>
  <c r="C9" i="118"/>
  <c r="C16" i="118"/>
  <c r="C23" i="118"/>
  <c r="C31" i="118"/>
  <c r="C30" i="118"/>
  <c r="C38" i="118"/>
  <c r="C50" i="118"/>
  <c r="C56" i="118"/>
  <c r="C61" i="118"/>
  <c r="C67" i="118"/>
  <c r="C71" i="118"/>
  <c r="C76" i="118"/>
  <c r="C79" i="118"/>
  <c r="C90" i="118" s="1"/>
  <c r="C83" i="118"/>
  <c r="C97" i="118"/>
  <c r="C118" i="118"/>
  <c r="C132" i="118"/>
  <c r="C133" i="118"/>
  <c r="C137" i="118"/>
  <c r="C144" i="118"/>
  <c r="C149" i="118"/>
  <c r="C157" i="118" s="1"/>
  <c r="C19" i="24"/>
  <c r="E35" i="24"/>
  <c r="L48" i="63"/>
  <c r="L57" i="63"/>
  <c r="I9" i="66"/>
  <c r="C131" i="120"/>
  <c r="C157" i="120" s="1"/>
  <c r="C86" i="87"/>
  <c r="D86" i="87"/>
  <c r="D129" i="87"/>
  <c r="O28" i="24"/>
  <c r="K35" i="24"/>
  <c r="O31" i="24"/>
  <c r="J37" i="24"/>
  <c r="O15" i="24"/>
  <c r="O14" i="24"/>
  <c r="H37" i="24"/>
  <c r="J14" i="63"/>
  <c r="J32" i="63"/>
  <c r="F12" i="63"/>
  <c r="C12" i="63"/>
  <c r="K12" i="63"/>
  <c r="K48" i="63"/>
  <c r="D65" i="121"/>
  <c r="D90" i="121"/>
  <c r="D66" i="118"/>
  <c r="D91" i="118" s="1"/>
  <c r="D65" i="119"/>
  <c r="D90" i="119" s="1"/>
  <c r="F62" i="87"/>
  <c r="F88" i="87" s="1"/>
  <c r="D96" i="119"/>
  <c r="D132" i="119"/>
  <c r="D158" i="119"/>
  <c r="D66" i="1"/>
  <c r="F93" i="87"/>
  <c r="F129" i="87" s="1"/>
  <c r="F156" i="87" s="1"/>
  <c r="F158" i="87"/>
  <c r="E71" i="24"/>
  <c r="C109" i="24"/>
  <c r="L109" i="24"/>
  <c r="K109" i="24"/>
  <c r="E65" i="121"/>
  <c r="E90" i="121"/>
  <c r="E155" i="121"/>
  <c r="E66" i="118"/>
  <c r="E91" i="118"/>
  <c r="E158" i="118"/>
  <c r="H107" i="24"/>
  <c r="H91" i="24"/>
  <c r="H109" i="24" s="1"/>
  <c r="I19" i="73"/>
  <c r="I31" i="73" s="1"/>
  <c r="E21" i="73" s="1"/>
  <c r="E20" i="73" s="1"/>
  <c r="E30" i="73" s="1"/>
  <c r="E31" i="73" s="1"/>
  <c r="G26" i="87"/>
  <c r="E131" i="120"/>
  <c r="E157" i="120" s="1"/>
  <c r="G115" i="87"/>
  <c r="G129" i="87"/>
  <c r="E118" i="3"/>
  <c r="G93" i="87"/>
  <c r="E20" i="61"/>
  <c r="E19" i="61"/>
  <c r="E31" i="61" s="1"/>
  <c r="E102" i="1"/>
  <c r="E97" i="1" s="1"/>
  <c r="E132" i="1" s="1"/>
  <c r="E158" i="1" s="1"/>
  <c r="E38" i="1"/>
  <c r="E30" i="1"/>
  <c r="E9" i="1"/>
  <c r="E43" i="116"/>
  <c r="E95" i="116"/>
  <c r="E102" i="116"/>
  <c r="E137" i="116" s="1"/>
  <c r="E36" i="116"/>
  <c r="E35" i="116"/>
  <c r="E162" i="116"/>
  <c r="D123" i="116"/>
  <c r="C43" i="116"/>
  <c r="C102" i="116"/>
  <c r="C137" i="116" s="1"/>
  <c r="D71" i="116"/>
  <c r="D96" i="116" s="1"/>
  <c r="C35" i="116"/>
  <c r="D162" i="116"/>
  <c r="D102" i="116"/>
  <c r="D137" i="116" s="1"/>
  <c r="C95" i="116"/>
  <c r="E39" i="117"/>
  <c r="E67" i="117"/>
  <c r="E92" i="117"/>
  <c r="C163" i="116"/>
  <c r="E36" i="381" l="1"/>
  <c r="E41" i="381" s="1"/>
  <c r="E96" i="116"/>
  <c r="C158" i="118"/>
  <c r="D154" i="87"/>
  <c r="E86" i="87"/>
  <c r="E88" i="87" s="1"/>
  <c r="E158" i="87" s="1"/>
  <c r="E37" i="24"/>
  <c r="C71" i="116"/>
  <c r="C96" i="116" s="1"/>
  <c r="C158" i="1"/>
  <c r="F35" i="24"/>
  <c r="F37" i="24" s="1"/>
  <c r="D67" i="117"/>
  <c r="D160" i="120"/>
  <c r="E66" i="1"/>
  <c r="D156" i="87"/>
  <c r="E163" i="116"/>
  <c r="E32" i="61"/>
  <c r="C65" i="119"/>
  <c r="C65" i="120"/>
  <c r="C90" i="120" s="1"/>
  <c r="C160" i="120" s="1"/>
  <c r="F18" i="66"/>
  <c r="B40" i="2"/>
  <c r="O10" i="24"/>
  <c r="M37" i="24"/>
  <c r="O13" i="24"/>
  <c r="C62" i="87"/>
  <c r="C88" i="87" s="1"/>
  <c r="C132" i="119"/>
  <c r="C158" i="119" s="1"/>
  <c r="C21" i="73"/>
  <c r="C20" i="73" s="1"/>
  <c r="C30" i="73" s="1"/>
  <c r="C31" i="73" s="1"/>
  <c r="D21" i="73"/>
  <c r="D20" i="73" s="1"/>
  <c r="D30" i="73" s="1"/>
  <c r="D31" i="73" s="1"/>
  <c r="D20" i="61"/>
  <c r="D19" i="61" s="1"/>
  <c r="D31" i="61" s="1"/>
  <c r="D32" i="61" s="1"/>
  <c r="C20" i="61"/>
  <c r="C19" i="61" s="1"/>
  <c r="C31" i="61" s="1"/>
  <c r="C65" i="121"/>
  <c r="C90" i="121" s="1"/>
  <c r="C89" i="119"/>
  <c r="C132" i="3"/>
  <c r="C158" i="3" s="1"/>
  <c r="M30" i="63"/>
  <c r="M57" i="63" s="1"/>
  <c r="J19" i="63"/>
  <c r="J30" i="63" s="1"/>
  <c r="J57" i="63" s="1"/>
  <c r="D163" i="116"/>
  <c r="C66" i="118"/>
  <c r="C91" i="118" s="1"/>
  <c r="E45" i="71"/>
  <c r="E35" i="71"/>
  <c r="E12" i="71"/>
  <c r="I12" i="66"/>
  <c r="E18" i="66"/>
  <c r="G18" i="66"/>
  <c r="I6" i="66"/>
  <c r="I18" i="66" s="1"/>
  <c r="I19" i="24"/>
  <c r="I37" i="24" s="1"/>
  <c r="K35" i="63"/>
  <c r="C158" i="117"/>
  <c r="C159" i="117" s="1"/>
  <c r="G62" i="87"/>
  <c r="G88" i="87" s="1"/>
  <c r="C67" i="117"/>
  <c r="C92" i="117" s="1"/>
  <c r="C30" i="1"/>
  <c r="C66" i="1" s="1"/>
  <c r="D90" i="1"/>
  <c r="O62" i="24"/>
  <c r="C71" i="24"/>
  <c r="D97" i="1"/>
  <c r="D132" i="1" s="1"/>
  <c r="D107" i="24"/>
  <c r="O96" i="24"/>
  <c r="F18" i="70"/>
  <c r="H48" i="63"/>
  <c r="H57" i="63" s="1"/>
  <c r="D41" i="382"/>
  <c r="O95" i="24"/>
  <c r="F35" i="63"/>
  <c r="C90" i="1"/>
  <c r="C163" i="1" s="1"/>
  <c r="D157" i="1"/>
  <c r="D91" i="117"/>
  <c r="C32" i="61"/>
  <c r="D65" i="3"/>
  <c r="D90" i="3" s="1"/>
  <c r="D89" i="3"/>
  <c r="C55" i="24"/>
  <c r="O46" i="24"/>
  <c r="M55" i="24"/>
  <c r="M73" i="24" s="1"/>
  <c r="C7" i="2"/>
  <c r="C40" i="2" s="1"/>
  <c r="D101" i="3"/>
  <c r="D96" i="3" s="1"/>
  <c r="D132" i="3" s="1"/>
  <c r="E89" i="119"/>
  <c r="E90" i="120"/>
  <c r="E160" i="120" s="1"/>
  <c r="J107" i="24"/>
  <c r="J109" i="24" s="1"/>
  <c r="D7" i="2"/>
  <c r="D40" i="2" s="1"/>
  <c r="E37" i="364"/>
  <c r="E42" i="364" s="1"/>
  <c r="C37" i="363"/>
  <c r="C42" i="363" s="1"/>
  <c r="E96" i="119"/>
  <c r="E132" i="119" s="1"/>
  <c r="E158" i="119" s="1"/>
  <c r="D35" i="24"/>
  <c r="O35" i="24" s="1"/>
  <c r="C35" i="63"/>
  <c r="C57" i="63" s="1"/>
  <c r="D157" i="3"/>
  <c r="D55" i="24"/>
  <c r="O50" i="24"/>
  <c r="O59" i="24"/>
  <c r="I71" i="24"/>
  <c r="I73" i="24" s="1"/>
  <c r="M71" i="24"/>
  <c r="O60" i="24"/>
  <c r="D71" i="24"/>
  <c r="E55" i="24"/>
  <c r="E73" i="24" s="1"/>
  <c r="O83" i="24"/>
  <c r="E107" i="24"/>
  <c r="N107" i="24"/>
  <c r="N109" i="24" s="1"/>
  <c r="O98" i="24"/>
  <c r="C42" i="364"/>
  <c r="D37" i="363"/>
  <c r="D42" i="363" s="1"/>
  <c r="E58" i="362"/>
  <c r="D58" i="359"/>
  <c r="F30" i="63"/>
  <c r="F57" i="63" s="1"/>
  <c r="N73" i="24"/>
  <c r="O64" i="24"/>
  <c r="O84" i="24"/>
  <c r="E37" i="3"/>
  <c r="E65" i="3" s="1"/>
  <c r="E90" i="3" s="1"/>
  <c r="E37" i="119"/>
  <c r="D132" i="118"/>
  <c r="D158" i="118" s="1"/>
  <c r="O49" i="24"/>
  <c r="E101" i="3"/>
  <c r="E96" i="3" s="1"/>
  <c r="E132" i="3" s="1"/>
  <c r="E158" i="3" s="1"/>
  <c r="G154" i="87"/>
  <c r="G156" i="87" s="1"/>
  <c r="M91" i="24"/>
  <c r="M109" i="24" s="1"/>
  <c r="E8" i="119"/>
  <c r="E65" i="119" s="1"/>
  <c r="E90" i="119" s="1"/>
  <c r="C37" i="362"/>
  <c r="C42" i="362" s="1"/>
  <c r="C37" i="361"/>
  <c r="C42" i="361" s="1"/>
  <c r="E98" i="117"/>
  <c r="E133" i="117" s="1"/>
  <c r="E159" i="117" s="1"/>
  <c r="E91" i="24"/>
  <c r="G107" i="24"/>
  <c r="G109" i="24" s="1"/>
  <c r="K30" i="63"/>
  <c r="K57" i="63" s="1"/>
  <c r="C37" i="360"/>
  <c r="C42" i="360" s="1"/>
  <c r="C37" i="359"/>
  <c r="C42" i="359" s="1"/>
  <c r="C91" i="1" l="1"/>
  <c r="C162" i="1"/>
  <c r="O71" i="24"/>
  <c r="G158" i="87"/>
  <c r="O19" i="24"/>
  <c r="O37" i="24" s="1"/>
  <c r="C90" i="119"/>
  <c r="E162" i="1"/>
  <c r="E91" i="1"/>
  <c r="O107" i="24"/>
  <c r="D109" i="24"/>
  <c r="D37" i="24"/>
  <c r="E109" i="24"/>
  <c r="O91" i="24"/>
  <c r="O109" i="24" s="1"/>
  <c r="D92" i="117"/>
  <c r="D73" i="24"/>
  <c r="D158" i="3"/>
  <c r="O55" i="24"/>
  <c r="O73" i="24" s="1"/>
  <c r="C73" i="24"/>
  <c r="D158" i="1"/>
  <c r="D163" i="1"/>
  <c r="D162" i="1"/>
  <c r="D91" i="1"/>
</calcChain>
</file>

<file path=xl/sharedStrings.xml><?xml version="1.0" encoding="utf-8"?>
<sst xmlns="http://schemas.openxmlformats.org/spreadsheetml/2006/main" count="5170" uniqueCount="749">
  <si>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</si>
  <si>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</si>
  <si>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</si>
  <si>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</si>
  <si>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</si>
  <si>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</si>
  <si>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</si>
  <si>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</si>
  <si>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</si>
  <si>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</si>
  <si>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</si>
  <si>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</si>
  <si>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</si>
  <si>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</si>
  <si>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</si>
  <si>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</si>
  <si>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</si>
  <si>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</si>
  <si>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</si>
  <si>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</si>
  <si>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</si>
  <si>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</si>
  <si>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</si>
  <si>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</si>
  <si>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</si>
  <si>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</si>
  <si>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</si>
  <si>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</si>
  <si>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</si>
  <si>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</si>
  <si>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</si>
  <si>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</si>
  <si>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</si>
  <si>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</si>
  <si>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</si>
  <si>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</si>
  <si>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</si>
  <si>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</si>
  <si>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</si>
  <si>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</si>
  <si>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</si>
  <si>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</si>
  <si>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</si>
  <si>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</si>
  <si>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</si>
  <si>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</si>
  <si>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</si>
  <si>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</si>
  <si>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</si>
  <si>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</si>
  <si>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</si>
  <si>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</si>
  <si>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</si>
  <si>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</si>
  <si>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</si>
  <si>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</si>
  <si>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</si>
  <si>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</si>
  <si>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</si>
  <si>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</si>
  <si>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</si>
  <si>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</si>
  <si>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</si>
  <si>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</si>
  <si>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</si>
  <si>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</si>
  <si>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</si>
  <si>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</si>
  <si>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</si>
  <si>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</si>
  <si>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</si>
  <si>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</si>
  <si>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</si>
  <si>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</si>
  <si>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</si>
  <si>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</si>
  <si>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</si>
  <si>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</si>
  <si>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</si>
  <si>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</si>
  <si>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</si>
  <si>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</si>
  <si>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</si>
  <si>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</si>
  <si>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</si>
  <si>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</si>
  <si>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</si>
  <si>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</si>
  <si>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</si>
  <si>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</si>
  <si>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</si>
  <si>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</si>
  <si>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</si>
  <si>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</si>
  <si>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</si>
  <si>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</si>
  <si>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</si>
  <si>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</si>
  <si>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</si>
  <si>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</si>
  <si>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</si>
  <si>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</si>
  <si>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</si>
  <si>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</si>
  <si>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</si>
  <si>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</si>
  <si>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</si>
  <si>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</si>
  <si>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</si>
  <si>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</si>
  <si>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</si>
  <si>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</si>
  <si>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</si>
  <si>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</si>
  <si>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</si>
  <si>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</si>
  <si>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</si>
  <si>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</si>
  <si>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</si>
  <si>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</si>
  <si>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</si>
  <si>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</si>
  <si>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</si>
  <si>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</si>
  <si>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</si>
  <si>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</si>
  <si>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</si>
  <si>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</si>
  <si>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</si>
  <si>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</si>
  <si>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</si>
  <si>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</si>
  <si>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</si>
  <si>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</si>
  <si>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</si>
  <si>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</si>
  <si>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</si>
  <si>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</si>
  <si>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</si>
  <si>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</si>
  <si>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</si>
  <si>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</si>
  <si>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</si>
  <si>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</si>
  <si>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</si>
  <si>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</si>
  <si>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</si>
  <si>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</si>
  <si>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</si>
  <si>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</si>
  <si>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</si>
  <si>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</si>
  <si>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</si>
  <si>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</si>
  <si>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</si>
  <si>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</si>
  <si>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</si>
  <si>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</si>
  <si>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</si>
  <si>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</si>
  <si>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</si>
  <si>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</si>
  <si>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</si>
  <si>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</si>
  <si>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</si>
  <si>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</si>
  <si>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</si>
  <si>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</si>
  <si>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</si>
  <si>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</si>
  <si>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</si>
  <si>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</si>
  <si>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</si>
  <si>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</si>
  <si>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</si>
  <si>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</si>
  <si>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</si>
  <si>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</si>
  <si>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</si>
  <si>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</si>
  <si>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</si>
  <si>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</si>
  <si>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</si>
  <si>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</si>
  <si>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</si>
  <si>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</si>
  <si>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</si>
  <si>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</si>
  <si>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</si>
  <si>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</si>
  <si>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</si>
  <si>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</si>
  <si>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</si>
  <si>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</si>
  <si>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</si>
  <si>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</si>
  <si>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</si>
  <si>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</si>
  <si>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</si>
  <si>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</si>
  <si>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</si>
  <si>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</si>
  <si>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</si>
  <si>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</si>
  <si>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</si>
  <si>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</si>
  <si>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</si>
  <si>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</si>
  <si>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</si>
  <si>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</si>
  <si>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</si>
  <si>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</si>
  <si>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</si>
  <si>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</si>
  <si>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</si>
  <si>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</si>
  <si>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</si>
  <si>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</si>
  <si>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</si>
  <si>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</si>
  <si>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</si>
  <si>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</si>
  <si>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</si>
  <si>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</si>
  <si>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</si>
  <si>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</si>
  <si>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</si>
  <si>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</si>
  <si>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</si>
  <si>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</si>
  <si>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</si>
  <si>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</si>
  <si>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</si>
  <si>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</si>
  <si>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</si>
  <si>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</si>
  <si>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</si>
  <si>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</si>
  <si>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</si>
  <si>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</si>
  <si>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</si>
  <si>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</si>
  <si>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</si>
  <si>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</si>
  <si>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</si>
  <si>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</si>
  <si>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</si>
  <si>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</si>
  <si>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</si>
  <si>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</si>
  <si>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</si>
  <si>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</si>
  <si>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</si>
  <si>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</si>
  <si>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</si>
  <si>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</si>
  <si>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</si>
  <si>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</si>
  <si>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</si>
  <si>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</si>
  <si>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</si>
  <si>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</si>
  <si>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</si>
  <si>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</si>
  <si>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</si>
  <si>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</si>
  <si>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</si>
  <si>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</si>
  <si>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</si>
  <si>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</si>
  <si>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</si>
  <si>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</si>
  <si>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</si>
  <si>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</si>
  <si>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</si>
  <si>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</si>
  <si>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</si>
  <si>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</si>
  <si>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</si>
  <si>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</si>
  <si>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</si>
  <si>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</si>
  <si>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</si>
  <si>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</si>
  <si>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</si>
  <si>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</si>
  <si>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</si>
  <si>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</si>
  <si>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</si>
  <si>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</si>
  <si>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</si>
  <si>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</si>
  <si>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</si>
  <si>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</si>
  <si>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</si>
  <si>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</si>
  <si>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</si>
  <si>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</si>
  <si>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</si>
  <si>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</si>
  <si>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</si>
  <si>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</si>
  <si>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</si>
  <si>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</si>
  <si>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</si>
  <si>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</si>
  <si>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</si>
  <si>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</si>
  <si>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</si>
  <si>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</si>
  <si>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</si>
  <si>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</si>
  <si>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</si>
  <si>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</si>
  <si>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</si>
  <si>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</si>
  <si>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</si>
  <si>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</si>
  <si>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</si>
  <si>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</si>
  <si>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</si>
  <si>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</si>
  <si>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</si>
  <si>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</si>
  <si>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</si>
  <si>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</si>
  <si>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</si>
  <si>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</si>
  <si>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</si>
  <si>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</si>
  <si>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</si>
  <si>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</si>
  <si>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</si>
  <si>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</si>
  <si>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</si>
  <si>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</si>
  <si>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</si>
  <si>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</si>
  <si>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</si>
  <si>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</si>
  <si>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</si>
  <si>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</si>
  <si>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</si>
  <si>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</si>
  <si>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</si>
  <si>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</si>
  <si>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</si>
  <si>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</si>
  <si>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</si>
  <si>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</si>
  <si>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</si>
  <si>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</si>
  <si>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</si>
  <si>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</si>
  <si>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</si>
  <si>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</si>
  <si>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</si>
  <si>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</si>
  <si>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</si>
  <si>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</si>
  <si>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</si>
  <si>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</si>
  <si>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</si>
  <si>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</si>
  <si>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</si>
  <si>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</si>
  <si>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</si>
  <si>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</si>
  <si>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</si>
  <si>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</si>
  <si>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</si>
  <si>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</si>
  <si>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</si>
  <si>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</si>
  <si>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</si>
  <si>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</si>
  <si>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</si>
  <si>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</si>
  <si>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</si>
  <si>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</si>
  <si>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</si>
  <si>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</si>
  <si>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</si>
  <si>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</si>
  <si>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</si>
  <si>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</si>
  <si>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</si>
  <si>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</si>
  <si>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</si>
  <si>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</si>
  <si>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</si>
  <si>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</si>
  <si>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</si>
  <si>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</si>
  <si>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</si>
  <si>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</si>
  <si>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</si>
  <si>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</si>
  <si>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</si>
  <si>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</si>
  <si>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</si>
  <si>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</si>
  <si>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</si>
  <si>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</si>
  <si>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</si>
  <si>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</si>
  <si>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</si>
  <si>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</si>
  <si>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</si>
  <si>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</si>
  <si>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</si>
  <si>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</si>
  <si>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</si>
  <si>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</si>
  <si>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</si>
  <si>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</si>
  <si>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</si>
  <si>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</si>
  <si>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</si>
  <si>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</si>
  <si>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</si>
  <si>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</si>
  <si>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</si>
  <si>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</si>
  <si>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</si>
  <si>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</si>
  <si>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</si>
  <si>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</si>
  <si>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</si>
  <si>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</si>
  <si>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</si>
  <si>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</si>
  <si>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</si>
  <si>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</si>
  <si>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</si>
  <si>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</si>
  <si>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</si>
  <si>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</si>
  <si>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</si>
  <si>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</si>
  <si>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</si>
  <si>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</si>
  <si>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</si>
  <si>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</si>
  <si>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</si>
  <si>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</si>
  <si>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</si>
  <si>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</si>
  <si>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</si>
  <si>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</si>
  <si>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</si>
  <si>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</si>
  <si>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</si>
  <si>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</si>
  <si>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</si>
  <si>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</si>
  <si>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</si>
  <si>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</si>
  <si>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</si>
  <si>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</si>
  <si>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</si>
  <si>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</si>
  <si>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</si>
  <si>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</si>
  <si>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</si>
  <si>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</si>
  <si>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</si>
  <si>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</si>
  <si>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</si>
  <si>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</si>
  <si>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</si>
  <si>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</si>
  <si>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</si>
  <si>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</si>
  <si>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</si>
  <si>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</si>
  <si>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</si>
  <si>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</si>
  <si>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</si>
  <si>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</si>
  <si>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</si>
  <si>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</si>
  <si>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</si>
  <si>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</si>
  <si>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</si>
  <si>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</si>
  <si>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</si>
  <si>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</si>
  <si>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</si>
  <si>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</si>
  <si>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</si>
  <si>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</si>
  <si>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</si>
  <si>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</si>
  <si>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</si>
  <si>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</si>
  <si>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</si>
  <si>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</si>
  <si>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</si>
  <si>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</si>
  <si>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</si>
  <si>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</si>
  <si>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</si>
  <si>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</si>
  <si>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</si>
  <si>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</si>
  <si>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</si>
  <si>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</si>
  <si>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</si>
  <si>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</si>
  <si>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</si>
  <si>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</si>
  <si>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</si>
  <si>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</si>
  <si>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</si>
  <si>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</si>
  <si>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</si>
  <si>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</si>
  <si>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</si>
  <si>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</si>
  <si>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</si>
  <si>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</si>
  <si>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</si>
  <si>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</si>
  <si>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</si>
  <si>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</si>
  <si>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</si>
  <si>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</si>
  <si>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</si>
  <si>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</si>
  <si>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</si>
  <si>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</si>
  <si>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</si>
  <si>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</si>
  <si>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 xml:space="preserve">Vonyarcvashegy Nagyközség Önkormányzata </t>
  </si>
  <si>
    <t>Vonyarcvashegy Nagyközség Önkormányzata</t>
  </si>
  <si>
    <t>Vonyarcvashegyi Közös Önkormányzati Hivatal</t>
  </si>
  <si>
    <t>Művelődési Ház és Könyvtár</t>
  </si>
  <si>
    <t>Vonyarcvashegy Nagyközség Önkormányzata adósságot keletkeztető ügyletekből és kezességvállalásokból fennálló kötelezettségei</t>
  </si>
  <si>
    <t>Vonyarcvashegy Nagyközség Önkormányzata saját bevételeinek részletezése az adósságot keletkeztető ügyletből származó tárgyévi fizetési kötelezettség megállapításához</t>
  </si>
  <si>
    <t>Központi, irányítószervi támogatás (intézményfinanszírozás)</t>
  </si>
  <si>
    <t>Szentmihályhegy Védő Vendégváró Egyesület</t>
  </si>
  <si>
    <t>Balaton-felvidéki Borvidék Hegyközsége</t>
  </si>
  <si>
    <t>Polgárőr Egyesület</t>
  </si>
  <si>
    <t>Kék Balaton Fúvós Egyesület (Zalai Balaton-Part Ifjúsági Fúvószenekar)</t>
  </si>
  <si>
    <t>Vonyarcvashegy Tanulóiért Alapítvány</t>
  </si>
  <si>
    <t>Turisztikai Egyesület</t>
  </si>
  <si>
    <t>Nyugat-Balatoni Turisztikai Nonprofit Kft</t>
  </si>
  <si>
    <t>Vonyarcvashegy Kézilabda-utánpótlásért Alapítvány</t>
  </si>
  <si>
    <t>Balaton Art Alkotóközösség</t>
  </si>
  <si>
    <t>Vonyarcvashegyi Közös Önkormányzati Hivatal - Vonyarcvashegy</t>
  </si>
  <si>
    <t>Vonyarcvashegyi Közös Önkormányzati Hivatal - Balatongyörök</t>
  </si>
  <si>
    <t>11749039-1543436</t>
  </si>
  <si>
    <t>Tartalék</t>
  </si>
  <si>
    <t>Függő, átfutó, kiegyenlítő bevételek</t>
  </si>
  <si>
    <t>Függő, átfutó, kiegyenlítő kiadások</t>
  </si>
  <si>
    <t>Helyi adók</t>
  </si>
  <si>
    <t>Önkormányzat működésének általános támogatása</t>
  </si>
  <si>
    <t>Hivatal  működésének támogatása</t>
  </si>
  <si>
    <t>Település üzemeltetéshez kapcsolódó feladatellátás támogatása összesen:</t>
  </si>
  <si>
    <t>Zöldterület gazdálkodással kapcsolatos feladatok</t>
  </si>
  <si>
    <t>Közvilágítás fenntartása</t>
  </si>
  <si>
    <t>Köztemető fenntartásásával kapcsolatos feladatok</t>
  </si>
  <si>
    <t>Közútak fenntartása</t>
  </si>
  <si>
    <t>Önkormányzat egyes köznevelési és gyermekétkeztetési feladatainak támogatása</t>
  </si>
  <si>
    <t xml:space="preserve">Óvodaműködtetés </t>
  </si>
  <si>
    <t>Szociális  feladatok egyéb támogatása</t>
  </si>
  <si>
    <t>Szociális étkezés</t>
  </si>
  <si>
    <t>Gyermekétkeztetés dolgozói bértámogatása</t>
  </si>
  <si>
    <t>Gyermekétkeztetés üzemeltetési támogatása</t>
  </si>
  <si>
    <t>Üdülőhelyi feladatok</t>
  </si>
  <si>
    <t>Bérkompenzáció</t>
  </si>
  <si>
    <t>Központi, irányítószervi támogatás</t>
  </si>
  <si>
    <t>működési költségek</t>
  </si>
  <si>
    <t>Egyéb áruhasználati és szolgáltatási adók (idegenforgalmi adó)</t>
  </si>
  <si>
    <t>ÁHT-on belüli megelőlegezések visszafizetése</t>
  </si>
  <si>
    <t>BEVÉTELEK</t>
  </si>
  <si>
    <t>Sorszám</t>
  </si>
  <si>
    <t xml:space="preserve">K I M U T A T Á S </t>
  </si>
  <si>
    <t>Ft</t>
  </si>
  <si>
    <t>Egyéb kötelező önkormányzati feladat</t>
  </si>
  <si>
    <t>Óvodapedagógusok és az óvodapedagógusok munkáját közvetlenül segítők bértámogatása</t>
  </si>
  <si>
    <t>Könyvtári, közművelődési feladatok támogatása</t>
  </si>
  <si>
    <t>Önkormányzat szociális és gyermekjóléti feladatainak támogatása</t>
  </si>
  <si>
    <t>Önkormányzat kulturális feladatainak támogatása</t>
  </si>
  <si>
    <t xml:space="preserve">ÁLLAMI TÁMOGATÁS                                                                                                                      </t>
  </si>
  <si>
    <t>Forint</t>
  </si>
  <si>
    <t>Felhalmozási célú támogatások Áht-n belül</t>
  </si>
  <si>
    <t>Működési célú támogatások Áht-n belül</t>
  </si>
  <si>
    <t>Működési célú támogatások Áht-n kívül</t>
  </si>
  <si>
    <t>Vagyoni típusú adók (építményadó)</t>
  </si>
  <si>
    <t>Termékek és szolgáltatások adói</t>
  </si>
  <si>
    <t>2019.</t>
  </si>
  <si>
    <t>2020.</t>
  </si>
  <si>
    <t>Hozzájárulás  (Ft)</t>
  </si>
  <si>
    <t>Beruházás (immateriális javak) összesen:</t>
  </si>
  <si>
    <t>Beruházás (ingatlan) összesen:</t>
  </si>
  <si>
    <t>Beruházás (informatikai eszköz) összesen:</t>
  </si>
  <si>
    <t>Beruházás (gép,berendezés) összesen:</t>
  </si>
  <si>
    <t>BERUHÁZÁS MINDÖSSZESEN:</t>
  </si>
  <si>
    <t>Pályázati támogatás</t>
  </si>
  <si>
    <t>BERUHÁZÁS</t>
  </si>
  <si>
    <t>Önerő</t>
  </si>
  <si>
    <t>Pályázati önrész</t>
  </si>
  <si>
    <t>FELÚJÍTÁS</t>
  </si>
  <si>
    <t>Temető</t>
  </si>
  <si>
    <t>Felhasználási hely</t>
  </si>
  <si>
    <t>Elvonások és befizetések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</si>
  <si>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</si>
  <si>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</si>
  <si>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kulturális támogatás (kulturális illetménypótlék)</t>
  </si>
  <si>
    <t>Részesedés beszerzés összesen: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</si>
  <si>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</si>
  <si>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</si>
  <si>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</si>
  <si>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 xml:space="preserve">Vonyarcvashegy Sportegyesület </t>
  </si>
  <si>
    <t>Lakossági víz-csatornaszolgáltatási támogatás</t>
  </si>
  <si>
    <t>Kiegészítő, központosított előirányzat</t>
  </si>
  <si>
    <t>Egyéb kulturális támogatás (könyvtári érdekeltségnövelő támogatás)</t>
  </si>
  <si>
    <t>Temetői kőkeresztek felújítása</t>
  </si>
  <si>
    <t>Szociális tűzifa támogatás</t>
  </si>
  <si>
    <t>Morzsa Állatvédelmi Alapítvány</t>
  </si>
  <si>
    <t>VONYARVASHEGY NAGYKÖZSÉG ÖNKORMÁNYZAT</t>
  </si>
  <si>
    <t>KÖTELEZŐ FELADATOK</t>
  </si>
  <si>
    <t>ÖNKÉNT VÁLLALT FELADATOK</t>
  </si>
  <si>
    <t>ÁLLAMI (ÁLLAMIGAZGATÁSI) FELADATOK</t>
  </si>
  <si>
    <t>2021.</t>
  </si>
  <si>
    <t>Díjak, pótlékok, bírságok, talajterhelési díj</t>
  </si>
  <si>
    <t>Bírság-, pótlék- és díjbevétel, talajterhelési díj</t>
  </si>
  <si>
    <t>Polgármesteri illetmény támogatása</t>
  </si>
  <si>
    <t>4. tájékoztató tábla</t>
  </si>
  <si>
    <t>2021. évi</t>
  </si>
  <si>
    <t>Forintban</t>
  </si>
  <si>
    <t xml:space="preserve">                              ebből: Közművelődési érdekeltségnövelő pályázati önerő</t>
  </si>
  <si>
    <t>Felhalmozási célú támogatások</t>
  </si>
  <si>
    <t>Vonyarcvashegy, 2019. .......................... hó .....nap</t>
  </si>
  <si>
    <t>2022. évi</t>
  </si>
  <si>
    <t>Részesedés beszerzés</t>
  </si>
  <si>
    <t>BERUHÁZÁSi (felhalmozási) kiadások előirányzata beruházásonként</t>
  </si>
  <si>
    <t>FELÚJÍTÁSi kiadások előirányzata felújításonként</t>
  </si>
  <si>
    <t>Eredeti előirányzat (2020.01)</t>
  </si>
  <si>
    <t>Ebből: 824.364 Ft a közművelődési érdekeltségnövelő pályázat önrésze</t>
  </si>
  <si>
    <t>2023. évi</t>
  </si>
  <si>
    <t>a 2020. évben céljelleggel juttatott támogatásokról</t>
  </si>
  <si>
    <t>Támogatás összege (2020.01)</t>
  </si>
  <si>
    <t>A 2020. évi működési és felhalmozási feladatok állami támogatásának alakulása jogcímenként</t>
  </si>
  <si>
    <t>2020. évi támogatás (2020.01)</t>
  </si>
  <si>
    <t>2019. évi pótigény</t>
  </si>
  <si>
    <t>Előirányzat-felhasználási terv 2020. évre</t>
  </si>
  <si>
    <t>(2020.01)</t>
  </si>
  <si>
    <t>2019. év előtti kifizetés</t>
  </si>
  <si>
    <t>2021. után</t>
  </si>
  <si>
    <t>Éves eredeti kiadási előirányzat: 1.385.975.617 Ft</t>
  </si>
  <si>
    <t>2018. évi tény</t>
  </si>
  <si>
    <t>2019. évi várható</t>
  </si>
  <si>
    <t>2021.után</t>
  </si>
  <si>
    <t>Önkormányzaton kívüli EU-s projektekhez történő hozzájárulás 2020. évi előirányzat</t>
  </si>
  <si>
    <t>Felhasználás 2019.12.31-ig</t>
  </si>
  <si>
    <t>2020. év utáni szükséglet</t>
  </si>
  <si>
    <t>Világítás korszerűsítése (Általános Iskola)</t>
  </si>
  <si>
    <t>Önk.vagyonnal v.gazd.</t>
  </si>
  <si>
    <t>2020-2020</t>
  </si>
  <si>
    <t>Város-és községgazd.</t>
  </si>
  <si>
    <t>Közös Hivatal épületének felújítása (villamosítás, radiátorcsere)</t>
  </si>
  <si>
    <t>Földhivatali magassági alpont kiépítése (idegen tulajdon)</t>
  </si>
  <si>
    <t>Vonyarcvashegy Nagyközség Önkormányzata  2020. évi adósságot keletkeztető fejlesztési céljai</t>
  </si>
  <si>
    <t>2022.</t>
  </si>
  <si>
    <t>Virág Benedek utca útszegély kiépítése</t>
  </si>
  <si>
    <t>Út, autópálya építés</t>
  </si>
  <si>
    <t>Csapadékvíz tervezés</t>
  </si>
  <si>
    <t>Közutak üzemeltetése</t>
  </si>
  <si>
    <t>Igazgatás</t>
  </si>
  <si>
    <t>Informatikai eszköz (igazgatás)</t>
  </si>
  <si>
    <t>Immateriális javak (szoftver)(igazgatás)</t>
  </si>
  <si>
    <t>Eszközök-gép, berendezés (igazgatás)</t>
  </si>
  <si>
    <t>Eszközök-kandelláber, lámpatest</t>
  </si>
  <si>
    <t>Közvilágítás</t>
  </si>
  <si>
    <t>Szabályozási terv (településrendezési terv) módosítása</t>
  </si>
  <si>
    <t>Város-községgazd.</t>
  </si>
  <si>
    <t>Települési alaptérkép frissítése</t>
  </si>
  <si>
    <t>Óvoda étkező bejárati ajtaja</t>
  </si>
  <si>
    <t>Útlejegyzés (2026/1 Hrsz-Vízmű megközelítése)</t>
  </si>
  <si>
    <t>Eszközök-gép, berendezés (város-község)</t>
  </si>
  <si>
    <t>Város-községgazd</t>
  </si>
  <si>
    <t>Eszközök-klíma (Közös Hivatal)</t>
  </si>
  <si>
    <t>Ingatlan-Mondák háza pályázat</t>
  </si>
  <si>
    <t>Mondák</t>
  </si>
  <si>
    <t>Ingatlan-Piac pályázat</t>
  </si>
  <si>
    <t>Piac</t>
  </si>
  <si>
    <t>Eszközök-piac (piac pályázat)</t>
  </si>
  <si>
    <t>Ingatlan-Bölcsőde pályázat</t>
  </si>
  <si>
    <t>Bölcsőde</t>
  </si>
  <si>
    <t>Ingatlan (eljárási, igazgatási díjak)</t>
  </si>
  <si>
    <t>Orvosi szolg.lakás</t>
  </si>
  <si>
    <t>Ingatlan-Kossuth L. u. járda (Járda pályázat)</t>
  </si>
  <si>
    <t>Járda építés</t>
  </si>
  <si>
    <t>Informatikai eszköz (háziorvos)</t>
  </si>
  <si>
    <t>Háziorvos</t>
  </si>
  <si>
    <t>Informatikai eszköz (gyermekorvos)</t>
  </si>
  <si>
    <t>Gyermekorvos</t>
  </si>
  <si>
    <t>Eszközök-gép, berendezés (gyermekorvos)</t>
  </si>
  <si>
    <t>Eszközök-gép, berendezés (védőnő)</t>
  </si>
  <si>
    <t>Védőnő</t>
  </si>
  <si>
    <t>Eszközök-gép, berendezés (iskolaorvos)</t>
  </si>
  <si>
    <t>Iskolaorvos</t>
  </si>
  <si>
    <t>Partvédmű tervezése (strand)</t>
  </si>
  <si>
    <t>Strand</t>
  </si>
  <si>
    <t>Ingatlan-911/14 Hrsz (strand)</t>
  </si>
  <si>
    <t>Eszközök-gép, berendezés (strand)(pl. parkmunka gép, teherautó)</t>
  </si>
  <si>
    <t>Ingatlan-Orvosi szolgálati lakás pályázat</t>
  </si>
  <si>
    <t xml:space="preserve">Ingatlan-Strand pályázat </t>
  </si>
  <si>
    <t>Turisztika</t>
  </si>
  <si>
    <t>Eszközök-gép, berendezés (strand pályázat)</t>
  </si>
  <si>
    <t>Temetői urnasír vásárlása, építése</t>
  </si>
  <si>
    <t>Eszközök-Orvosi eszköz pályázat</t>
  </si>
  <si>
    <t>Orvosi eszköz</t>
  </si>
  <si>
    <t>2020. ÉVI KÖLTSÉGVETÉSÉNEK MÉRLEGE</t>
  </si>
  <si>
    <t>2020. ÉVI KÖLTSÉGVETÉSÉNEK ÖSSZEVONT MÉRLEGE</t>
  </si>
  <si>
    <t xml:space="preserve"> 1.2. melléklet a ........./2020. () önkormányzati rendelethez</t>
  </si>
  <si>
    <t>2.1. melléklet a …./2020.() önkormányzati rendelethez</t>
  </si>
  <si>
    <t>2.2. melléklet a …./2020.() önkormányzati rendelethez</t>
  </si>
  <si>
    <t>Kötelező feladatok - összes bevétel, kiadás</t>
  </si>
  <si>
    <t>Önként vállalt feladatok - összes bevétel, kiadás</t>
  </si>
  <si>
    <t>Államigazgatási feladatok - összes bevétel, kiadás</t>
  </si>
  <si>
    <t>Módosított előirányzat (2020.03)</t>
  </si>
  <si>
    <t>(2020.03)</t>
  </si>
  <si>
    <t>2020. évi támogatás (2020.03)</t>
  </si>
  <si>
    <t>Támogatás összege (2020.03)</t>
  </si>
  <si>
    <t>Kulturális illetménypótlék</t>
  </si>
  <si>
    <t>Módosított előirányzat (2020.04)</t>
  </si>
  <si>
    <t>Módosított előirányzat (2020.06)</t>
  </si>
  <si>
    <t>(2020.06)</t>
  </si>
  <si>
    <t>2020. évi támogatás (2020.06)</t>
  </si>
  <si>
    <t>Támogatás összege (2020.06)</t>
  </si>
  <si>
    <t>Ingatlan-Csapadékvíz (TOP-2.1.3-15-16 pályázat)</t>
  </si>
  <si>
    <t xml:space="preserve">Csapadékvíz </t>
  </si>
  <si>
    <r>
      <t xml:space="preserve">   Működési költségvetés kiadásai </t>
    </r>
    <r>
      <rPr>
        <sz val="12"/>
        <rFont val="Times New Roman CE"/>
        <charset val="238"/>
      </rPr>
      <t>(1.1+…+1.5.+1.18.)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</si>
  <si>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</si>
  <si>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A rászoruló gyermekek szünidei étkeztetésének támogatása</t>
  </si>
  <si>
    <t>Sporttelep térkő burkolat (32 m2)(911/16 Hrsz)</t>
  </si>
  <si>
    <t>Sport</t>
  </si>
  <si>
    <t>6. melléklet a 11/2020. (VI.26.) önkormányzati rendelethez</t>
  </si>
  <si>
    <t>9.1. melléklet a 11/2020. (VI.26.) önkormányzati rendelethez</t>
  </si>
  <si>
    <t>9.1.1. melléklet a 11/2020. (VI.26.) önkormányzati rendelethez</t>
  </si>
  <si>
    <t>9.1.2. melléklet a 11/2020. (VI.26.) önkormányzati rendelethez</t>
  </si>
  <si>
    <t>9.1.3. melléklet a 11/2020. (VI.26.) önkormányzati rendelethez</t>
  </si>
  <si>
    <t>9.2. melléklet a 11/2020. (VI.26.) önkormányzati rendelethez</t>
  </si>
  <si>
    <t>9.2.(2-1) melléklet a 11/2020. (VI.26.) önkormányzati rendelethez</t>
  </si>
  <si>
    <t>9.2.(2-2) melléklet a 11/2020. 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</si>
</sst>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4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975">
    <xf numFmtId="0" fontId="0" fillId="0" borderId="0" xfId="0"/>
    <xf numFmtId="165" fontId="8" fillId="0" borderId="0" xfId="0" applyNumberFormat="1" applyFont="1" applyFill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horizontal="left" vertical="center" wrapText="1" indent="1"/>
    </xf>
    <xf numFmtId="0" fontId="17" fillId="0" borderId="11" xfId="4" applyFont="1" applyFill="1" applyBorder="1" applyAlignment="1" applyProtection="1">
      <alignment horizontal="left" vertical="center" wrapText="1" indent="1"/>
    </xf>
    <xf numFmtId="0" fontId="17" fillId="0" borderId="12" xfId="4" applyFont="1" applyFill="1" applyBorder="1" applyAlignment="1" applyProtection="1">
      <alignment horizontal="left" vertical="center" wrapText="1" indent="1"/>
    </xf>
    <xf numFmtId="0" fontId="17" fillId="0" borderId="13" xfId="4" applyFont="1" applyFill="1" applyBorder="1" applyAlignment="1" applyProtection="1">
      <alignment horizontal="left" vertical="center" wrapText="1" indent="1"/>
    </xf>
    <xf numFmtId="0" fontId="15" fillId="0" borderId="7" xfId="4" applyFont="1" applyFill="1" applyBorder="1" applyAlignment="1" applyProtection="1">
      <alignment horizontal="left" vertical="center" wrapText="1" indent="1"/>
    </xf>
    <xf numFmtId="165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165" fontId="14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4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165" fontId="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3" fillId="0" borderId="6" xfId="0" applyFont="1" applyFill="1" applyBorder="1" applyAlignment="1" applyProtection="1">
      <alignment horizontal="left" vertical="center"/>
    </xf>
    <xf numFmtId="0" fontId="13" fillId="0" borderId="18" xfId="0" applyFont="1" applyFill="1" applyBorder="1" applyAlignment="1" applyProtection="1">
      <alignment vertical="center" wrapText="1"/>
    </xf>
    <xf numFmtId="3" fontId="13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4" applyFont="1" applyFill="1" applyProtection="1"/>
    <xf numFmtId="0" fontId="10" fillId="0" borderId="6" xfId="4" applyFont="1" applyFill="1" applyBorder="1" applyAlignment="1" applyProtection="1">
      <alignment horizontal="center" vertical="center" wrapText="1"/>
    </xf>
    <xf numFmtId="0" fontId="10" fillId="0" borderId="7" xfId="4" applyFont="1" applyFill="1" applyBorder="1" applyAlignment="1" applyProtection="1">
      <alignment horizontal="center" vertical="center" wrapText="1"/>
    </xf>
    <xf numFmtId="0" fontId="14" fillId="0" borderId="19" xfId="4" applyFont="1" applyFill="1" applyBorder="1" applyAlignment="1" applyProtection="1">
      <alignment horizontal="center" vertical="center" wrapText="1"/>
    </xf>
    <xf numFmtId="0" fontId="14" fillId="0" borderId="5" xfId="4" applyFont="1" applyFill="1" applyBorder="1" applyAlignment="1" applyProtection="1">
      <alignment horizontal="center" vertical="center" wrapText="1"/>
    </xf>
    <xf numFmtId="0" fontId="17" fillId="0" borderId="0" xfId="4" applyFont="1" applyFill="1" applyProtection="1"/>
    <xf numFmtId="0" fontId="14" fillId="0" borderId="6" xfId="4" applyFont="1" applyFill="1" applyBorder="1" applyAlignment="1" applyProtection="1">
      <alignment horizontal="left" vertical="center" wrapText="1" indent="1"/>
    </xf>
    <xf numFmtId="0" fontId="14" fillId="0" borderId="7" xfId="4" applyFont="1" applyFill="1" applyBorder="1" applyAlignment="1" applyProtection="1">
      <alignment horizontal="left" vertical="center" wrapText="1" indent="1"/>
    </xf>
    <xf numFmtId="165" fontId="14" fillId="0" borderId="8" xfId="4" applyNumberFormat="1" applyFont="1" applyFill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49" fontId="17" fillId="0" borderId="20" xfId="4" applyNumberFormat="1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horizontal="left" wrapText="1" indent="1"/>
    </xf>
    <xf numFmtId="165" fontId="17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1" xfId="4" applyNumberFormat="1" applyFont="1" applyFill="1" applyBorder="1" applyAlignment="1" applyProtection="1">
      <alignment horizontal="left" vertical="center" wrapText="1" indent="1"/>
    </xf>
    <xf numFmtId="0" fontId="24" fillId="0" borderId="11" xfId="0" applyFont="1" applyBorder="1" applyAlignment="1" applyProtection="1">
      <alignment horizontal="left" wrapText="1" indent="1"/>
    </xf>
    <xf numFmtId="165" fontId="17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1" xfId="0" applyFont="1" applyBorder="1" applyAlignment="1" applyProtection="1">
      <alignment horizontal="left" vertical="center" wrapText="1" indent="1"/>
    </xf>
    <xf numFmtId="49" fontId="17" fillId="0" borderId="22" xfId="4" applyNumberFormat="1" applyFont="1" applyFill="1" applyBorder="1" applyAlignment="1" applyProtection="1">
      <alignment horizontal="left" vertical="center" wrapText="1" indent="1"/>
    </xf>
    <xf numFmtId="0" fontId="24" fillId="0" borderId="23" xfId="0" applyFont="1" applyBorder="1" applyAlignment="1" applyProtection="1">
      <alignment horizontal="left" vertical="center" wrapText="1" indent="1"/>
    </xf>
    <xf numFmtId="0" fontId="19" fillId="0" borderId="7" xfId="0" applyFont="1" applyBorder="1" applyAlignment="1" applyProtection="1">
      <alignment horizontal="left" vertical="center" wrapText="1" indent="1"/>
    </xf>
    <xf numFmtId="165" fontId="17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3" xfId="0" applyFont="1" applyBorder="1" applyAlignment="1" applyProtection="1">
      <alignment horizontal="left" wrapText="1" indent="1"/>
    </xf>
    <xf numFmtId="165" fontId="15" fillId="0" borderId="8" xfId="4" applyNumberFormat="1" applyFont="1" applyFill="1" applyBorder="1" applyAlignment="1" applyProtection="1">
      <alignment horizontal="right" vertical="center" wrapText="1" indent="1"/>
    </xf>
    <xf numFmtId="165" fontId="17" fillId="0" borderId="14" xfId="4" applyNumberFormat="1" applyFont="1" applyFill="1" applyBorder="1" applyAlignment="1" applyProtection="1">
      <alignment horizontal="right" vertical="center" wrapText="1" indent="1"/>
    </xf>
    <xf numFmtId="0" fontId="24" fillId="0" borderId="11" xfId="0" quotePrefix="1" applyFont="1" applyBorder="1" applyAlignment="1" applyProtection="1">
      <alignment horizontal="left" wrapText="1" indent="1"/>
    </xf>
    <xf numFmtId="165" fontId="5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4" applyFont="1" applyFill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vertical="center" wrapText="1"/>
    </xf>
    <xf numFmtId="0" fontId="24" fillId="0" borderId="23" xfId="0" applyFont="1" applyBorder="1" applyAlignment="1" applyProtection="1">
      <alignment vertical="center" wrapText="1"/>
    </xf>
    <xf numFmtId="0" fontId="24" fillId="0" borderId="20" xfId="0" applyFont="1" applyBorder="1" applyAlignment="1" applyProtection="1">
      <alignment wrapText="1"/>
    </xf>
    <xf numFmtId="0" fontId="24" fillId="0" borderId="21" xfId="0" applyFont="1" applyBorder="1" applyAlignment="1" applyProtection="1">
      <alignment wrapText="1"/>
    </xf>
    <xf numFmtId="0" fontId="24" fillId="0" borderId="22" xfId="0" applyFont="1" applyBorder="1" applyAlignment="1" applyProtection="1">
      <alignment wrapText="1"/>
    </xf>
    <xf numFmtId="165" fontId="14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7" xfId="0" applyFont="1" applyBorder="1" applyAlignment="1" applyProtection="1">
      <alignment wrapText="1"/>
    </xf>
    <xf numFmtId="0" fontId="19" fillId="0" borderId="25" xfId="0" applyFont="1" applyBorder="1" applyAlignment="1" applyProtection="1">
      <alignment vertical="center" wrapText="1"/>
    </xf>
    <xf numFmtId="0" fontId="19" fillId="0" borderId="26" xfId="0" applyFont="1" applyBorder="1" applyAlignment="1" applyProtection="1">
      <alignment wrapText="1"/>
    </xf>
    <xf numFmtId="0" fontId="11" fillId="0" borderId="0" xfId="4" applyFont="1" applyFill="1" applyBorder="1" applyAlignment="1" applyProtection="1">
      <alignment horizontal="center" vertical="center" wrapText="1"/>
    </xf>
    <xf numFmtId="0" fontId="11" fillId="0" borderId="0" xfId="4" applyFont="1" applyFill="1" applyBorder="1" applyAlignment="1" applyProtection="1">
      <alignment vertical="center" wrapText="1"/>
    </xf>
    <xf numFmtId="0" fontId="2" fillId="0" borderId="0" xfId="4" applyFont="1" applyFill="1" applyAlignment="1" applyProtection="1"/>
    <xf numFmtId="0" fontId="14" fillId="0" borderId="6" xfId="4" applyFont="1" applyFill="1" applyBorder="1" applyAlignment="1" applyProtection="1">
      <alignment horizontal="center" vertical="center" wrapText="1"/>
    </xf>
    <xf numFmtId="0" fontId="14" fillId="0" borderId="7" xfId="4" applyFont="1" applyFill="1" applyBorder="1" applyAlignment="1" applyProtection="1">
      <alignment horizontal="center" vertical="center" wrapText="1"/>
    </xf>
    <xf numFmtId="0" fontId="14" fillId="0" borderId="19" xfId="4" applyFont="1" applyFill="1" applyBorder="1" applyAlignment="1" applyProtection="1">
      <alignment horizontal="left" vertical="center" wrapText="1" indent="1"/>
    </xf>
    <xf numFmtId="0" fontId="14" fillId="0" borderId="5" xfId="4" applyFont="1" applyFill="1" applyBorder="1" applyAlignment="1" applyProtection="1">
      <alignment vertical="center" wrapText="1"/>
    </xf>
    <xf numFmtId="165" fontId="14" fillId="0" borderId="27" xfId="4" applyNumberFormat="1" applyFont="1" applyFill="1" applyBorder="1" applyAlignment="1" applyProtection="1">
      <alignment horizontal="right" vertical="center" wrapText="1" indent="1"/>
    </xf>
    <xf numFmtId="49" fontId="17" fillId="0" borderId="28" xfId="4" applyNumberFormat="1" applyFont="1" applyFill="1" applyBorder="1" applyAlignment="1" applyProtection="1">
      <alignment horizontal="left" vertical="center" wrapText="1" indent="1"/>
    </xf>
    <xf numFmtId="165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4" applyFont="1" applyFill="1" applyBorder="1" applyAlignment="1" applyProtection="1">
      <alignment horizontal="left" vertical="center" wrapText="1" indent="1"/>
    </xf>
    <xf numFmtId="0" fontId="17" fillId="0" borderId="0" xfId="4" applyFont="1" applyFill="1" applyBorder="1" applyAlignment="1" applyProtection="1">
      <alignment horizontal="left" vertical="center" wrapText="1" indent="1"/>
    </xf>
    <xf numFmtId="0" fontId="17" fillId="0" borderId="23" xfId="4" applyFont="1" applyFill="1" applyBorder="1" applyAlignment="1" applyProtection="1">
      <alignment horizontal="left" vertical="center" wrapText="1" indent="6"/>
    </xf>
    <xf numFmtId="0" fontId="17" fillId="0" borderId="11" xfId="4" applyFont="1" applyFill="1" applyBorder="1" applyAlignment="1" applyProtection="1">
      <alignment horizontal="left" indent="6"/>
    </xf>
    <xf numFmtId="0" fontId="17" fillId="0" borderId="11" xfId="4" applyFont="1" applyFill="1" applyBorder="1" applyAlignment="1" applyProtection="1">
      <alignment horizontal="left" vertical="center" wrapText="1" indent="6"/>
    </xf>
    <xf numFmtId="49" fontId="17" fillId="0" borderId="31" xfId="4" applyNumberFormat="1" applyFont="1" applyFill="1" applyBorder="1" applyAlignment="1" applyProtection="1">
      <alignment horizontal="left" vertical="center" wrapText="1" indent="1"/>
    </xf>
    <xf numFmtId="49" fontId="17" fillId="0" borderId="32" xfId="4" applyNumberFormat="1" applyFont="1" applyFill="1" applyBorder="1" applyAlignment="1" applyProtection="1">
      <alignment horizontal="left" vertical="center" wrapText="1" indent="1"/>
    </xf>
    <xf numFmtId="0" fontId="17" fillId="0" borderId="3" xfId="4" applyFont="1" applyFill="1" applyBorder="1" applyAlignment="1" applyProtection="1">
      <alignment horizontal="left" vertical="center" wrapText="1" indent="7"/>
    </xf>
    <xf numFmtId="165" fontId="17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4" applyFont="1" applyFill="1" applyBorder="1" applyAlignment="1" applyProtection="1">
      <alignment horizontal="left" vertical="center" wrapText="1" indent="1"/>
    </xf>
    <xf numFmtId="0" fontId="14" fillId="0" borderId="26" xfId="4" applyFont="1" applyFill="1" applyBorder="1" applyAlignment="1" applyProtection="1">
      <alignment vertical="center" wrapText="1"/>
    </xf>
    <xf numFmtId="0" fontId="17" fillId="0" borderId="23" xfId="4" applyFont="1" applyFill="1" applyBorder="1" applyAlignment="1" applyProtection="1">
      <alignment horizontal="left" vertical="center" wrapText="1" indent="1"/>
    </xf>
    <xf numFmtId="165" fontId="17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4" applyFont="1" applyFill="1" applyBorder="1" applyAlignment="1" applyProtection="1">
      <alignment horizontal="left" vertical="center" wrapText="1" indent="6"/>
    </xf>
    <xf numFmtId="165" fontId="17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8" xfId="0" applyNumberFormat="1" applyFont="1" applyBorder="1" applyAlignment="1" applyProtection="1">
      <alignment horizontal="right" vertical="center" wrapText="1" indent="1"/>
    </xf>
    <xf numFmtId="165" fontId="20" fillId="0" borderId="8" xfId="0" quotePrefix="1" applyNumberFormat="1" applyFont="1" applyBorder="1" applyAlignment="1" applyProtection="1">
      <alignment horizontal="right" vertical="center" wrapText="1" indent="1"/>
    </xf>
    <xf numFmtId="0" fontId="6" fillId="0" borderId="0" xfId="4" applyFont="1" applyFill="1" applyProtection="1"/>
    <xf numFmtId="0" fontId="19" fillId="0" borderId="25" xfId="0" applyFont="1" applyBorder="1" applyAlignment="1" applyProtection="1">
      <alignment horizontal="left" vertical="center" wrapText="1" indent="1"/>
    </xf>
    <xf numFmtId="0" fontId="20" fillId="0" borderId="26" xfId="0" applyFont="1" applyBorder="1" applyAlignment="1" applyProtection="1">
      <alignment horizontal="left" vertical="center" wrapText="1" indent="1"/>
    </xf>
    <xf numFmtId="0" fontId="14" fillId="0" borderId="7" xfId="4" applyFont="1" applyFill="1" applyBorder="1" applyAlignment="1" applyProtection="1">
      <alignment vertical="center" wrapText="1"/>
    </xf>
    <xf numFmtId="165" fontId="8" fillId="0" borderId="0" xfId="0" applyNumberFormat="1" applyFont="1" applyFill="1" applyAlignment="1">
      <alignment vertical="center" wrapText="1"/>
    </xf>
    <xf numFmtId="0" fontId="25" fillId="0" borderId="0" xfId="0" applyFont="1" applyAlignment="1" applyProtection="1">
      <alignment horizontal="right" vertical="top"/>
      <protection locked="0"/>
    </xf>
    <xf numFmtId="0" fontId="10" fillId="0" borderId="29" xfId="0" quotePrefix="1" applyFont="1" applyFill="1" applyBorder="1" applyAlignment="1" applyProtection="1">
      <alignment horizontal="right" vertical="center" indent="1"/>
    </xf>
    <xf numFmtId="0" fontId="11" fillId="0" borderId="0" xfId="0" applyFont="1" applyFill="1" applyAlignment="1">
      <alignment vertical="center"/>
    </xf>
    <xf numFmtId="0" fontId="10" fillId="0" borderId="35" xfId="0" applyFont="1" applyFill="1" applyBorder="1" applyAlignment="1" applyProtection="1">
      <alignment vertical="center"/>
    </xf>
    <xf numFmtId="49" fontId="10" fillId="0" borderId="36" xfId="0" applyNumberFormat="1" applyFont="1" applyFill="1" applyBorder="1" applyAlignment="1" applyProtection="1">
      <alignment horizontal="right" vertical="center" indent="1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165" fontId="10" fillId="0" borderId="34" xfId="0" applyNumberFormat="1" applyFont="1" applyFill="1" applyBorder="1" applyAlignment="1" applyProtection="1">
      <alignment horizontal="right" vertical="center" wrapText="1" indent="1"/>
    </xf>
    <xf numFmtId="0" fontId="26" fillId="0" borderId="13" xfId="0" applyFont="1" applyBorder="1" applyAlignment="1" applyProtection="1">
      <alignment horizontal="left" wrapText="1" indent="1"/>
    </xf>
    <xf numFmtId="0" fontId="26" fillId="0" borderId="11" xfId="0" applyFont="1" applyBorder="1" applyAlignment="1" applyProtection="1">
      <alignment horizontal="left" wrapText="1" indent="1"/>
    </xf>
    <xf numFmtId="0" fontId="26" fillId="0" borderId="11" xfId="0" quotePrefix="1" applyFont="1" applyBorder="1" applyAlignment="1" applyProtection="1">
      <alignment horizontal="left" wrapText="1" indent="1"/>
    </xf>
    <xf numFmtId="0" fontId="26" fillId="0" borderId="23" xfId="0" applyFont="1" applyBorder="1" applyAlignment="1" applyProtection="1">
      <alignment horizontal="left" wrapText="1" indent="1"/>
    </xf>
    <xf numFmtId="0" fontId="18" fillId="0" borderId="0" xfId="4" applyFont="1" applyFill="1"/>
    <xf numFmtId="165" fontId="28" fillId="0" borderId="0" xfId="4" applyNumberFormat="1" applyFont="1" applyFill="1" applyBorder="1" applyAlignment="1" applyProtection="1">
      <alignment horizontal="centerContinuous" vertical="center"/>
    </xf>
    <xf numFmtId="0" fontId="29" fillId="0" borderId="0" xfId="0" applyFont="1" applyFill="1" applyBorder="1" applyAlignment="1" applyProtection="1">
      <alignment horizontal="right"/>
    </xf>
    <xf numFmtId="0" fontId="30" fillId="0" borderId="0" xfId="0" applyFont="1" applyFill="1" applyBorder="1" applyAlignment="1" applyProtection="1"/>
    <xf numFmtId="0" fontId="14" fillId="0" borderId="28" xfId="4" applyFont="1" applyFill="1" applyBorder="1" applyAlignment="1" applyProtection="1">
      <alignment horizontal="center" vertical="center" wrapText="1"/>
    </xf>
    <xf numFmtId="0" fontId="14" fillId="0" borderId="2" xfId="4" applyFont="1" applyFill="1" applyBorder="1" applyAlignment="1" applyProtection="1">
      <alignment horizontal="center" vertical="center" wrapText="1"/>
    </xf>
    <xf numFmtId="0" fontId="14" fillId="0" borderId="29" xfId="4" applyFont="1" applyFill="1" applyBorder="1" applyAlignment="1" applyProtection="1">
      <alignment horizontal="center" vertical="center" wrapText="1"/>
    </xf>
    <xf numFmtId="0" fontId="17" fillId="0" borderId="6" xfId="4" applyFont="1" applyFill="1" applyBorder="1" applyAlignment="1" applyProtection="1">
      <alignment horizontal="center" vertical="center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8" xfId="4" applyFont="1" applyFill="1" applyBorder="1" applyAlignment="1" applyProtection="1">
      <alignment horizontal="center" vertical="center"/>
    </xf>
    <xf numFmtId="0" fontId="17" fillId="0" borderId="28" xfId="4" applyFont="1" applyFill="1" applyBorder="1" applyAlignment="1" applyProtection="1">
      <alignment horizontal="center" vertical="center"/>
    </xf>
    <xf numFmtId="0" fontId="17" fillId="0" borderId="2" xfId="4" applyFont="1" applyFill="1" applyBorder="1" applyProtection="1">
      <protection locked="0"/>
    </xf>
    <xf numFmtId="166" fontId="17" fillId="0" borderId="29" xfId="1" applyNumberFormat="1" applyFont="1" applyFill="1" applyBorder="1" applyProtection="1">
      <protection locked="0"/>
    </xf>
    <xf numFmtId="0" fontId="17" fillId="0" borderId="21" xfId="4" applyFont="1" applyFill="1" applyBorder="1" applyAlignment="1" applyProtection="1">
      <alignment horizontal="center" vertical="center"/>
    </xf>
    <xf numFmtId="0" fontId="17" fillId="0" borderId="11" xfId="4" applyFont="1" applyFill="1" applyBorder="1" applyProtection="1">
      <protection locked="0"/>
    </xf>
    <xf numFmtId="166" fontId="17" fillId="0" borderId="17" xfId="1" applyNumberFormat="1" applyFont="1" applyFill="1" applyBorder="1" applyProtection="1">
      <protection locked="0"/>
    </xf>
    <xf numFmtId="0" fontId="17" fillId="0" borderId="22" xfId="4" applyFont="1" applyFill="1" applyBorder="1" applyAlignment="1" applyProtection="1">
      <alignment horizontal="center" vertical="center"/>
    </xf>
    <xf numFmtId="0" fontId="17" fillId="0" borderId="23" xfId="4" applyFont="1" applyFill="1" applyBorder="1" applyProtection="1">
      <protection locked="0"/>
    </xf>
    <xf numFmtId="166" fontId="17" fillId="0" borderId="24" xfId="1" applyNumberFormat="1" applyFont="1" applyFill="1" applyBorder="1" applyProtection="1">
      <protection locked="0"/>
    </xf>
    <xf numFmtId="0" fontId="14" fillId="0" borderId="6" xfId="4" applyFont="1" applyFill="1" applyBorder="1" applyAlignment="1" applyProtection="1">
      <alignment horizontal="center" vertical="center"/>
    </xf>
    <xf numFmtId="0" fontId="14" fillId="0" borderId="7" xfId="4" applyFont="1" applyFill="1" applyBorder="1" applyAlignment="1" applyProtection="1">
      <alignment horizontal="left" vertical="center" wrapText="1"/>
    </xf>
    <xf numFmtId="166" fontId="14" fillId="0" borderId="8" xfId="1" applyNumberFormat="1" applyFont="1" applyFill="1" applyBorder="1" applyProtection="1"/>
    <xf numFmtId="0" fontId="28" fillId="0" borderId="0" xfId="4" applyFont="1" applyFill="1"/>
    <xf numFmtId="0" fontId="15" fillId="0" borderId="28" xfId="4" applyFont="1" applyFill="1" applyBorder="1" applyAlignment="1" applyProtection="1">
      <alignment horizontal="center" vertical="center" wrapText="1"/>
    </xf>
    <xf numFmtId="0" fontId="15" fillId="0" borderId="2" xfId="4" applyFont="1" applyFill="1" applyBorder="1" applyAlignment="1" applyProtection="1">
      <alignment horizontal="center" vertical="center" wrapText="1"/>
    </xf>
    <xf numFmtId="0" fontId="5" fillId="0" borderId="6" xfId="4" applyFont="1" applyFill="1" applyBorder="1" applyAlignment="1" applyProtection="1">
      <alignment horizontal="center" vertical="center"/>
    </xf>
    <xf numFmtId="0" fontId="5" fillId="0" borderId="7" xfId="4" applyFont="1" applyFill="1" applyBorder="1" applyAlignment="1" applyProtection="1">
      <alignment horizontal="center" vertical="center"/>
    </xf>
    <xf numFmtId="0" fontId="5" fillId="0" borderId="28" xfId="4" applyFont="1" applyFill="1" applyBorder="1" applyAlignment="1" applyProtection="1">
      <alignment horizontal="center" vertical="center"/>
    </xf>
    <xf numFmtId="0" fontId="5" fillId="0" borderId="13" xfId="4" applyFont="1" applyFill="1" applyBorder="1" applyProtection="1"/>
    <xf numFmtId="0" fontId="5" fillId="0" borderId="21" xfId="4" applyFont="1" applyFill="1" applyBorder="1" applyAlignment="1" applyProtection="1">
      <alignment horizontal="center" vertical="center"/>
    </xf>
    <xf numFmtId="0" fontId="9" fillId="0" borderId="11" xfId="0" applyFont="1" applyBorder="1" applyAlignment="1">
      <alignment horizontal="justify" wrapText="1"/>
    </xf>
    <xf numFmtId="0" fontId="9" fillId="0" borderId="11" xfId="0" applyFont="1" applyBorder="1" applyAlignment="1">
      <alignment wrapText="1"/>
    </xf>
    <xf numFmtId="0" fontId="5" fillId="0" borderId="22" xfId="4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23" fillId="0" borderId="6" xfId="4" applyFont="1" applyFill="1" applyBorder="1" applyAlignment="1">
      <alignment horizontal="center" vertical="center"/>
    </xf>
    <xf numFmtId="0" fontId="23" fillId="0" borderId="7" xfId="4" applyFont="1" applyFill="1" applyBorder="1" applyAlignment="1">
      <alignment horizontal="center" vertical="center"/>
    </xf>
    <xf numFmtId="0" fontId="23" fillId="0" borderId="20" xfId="4" applyFont="1" applyFill="1" applyBorder="1" applyAlignment="1">
      <alignment horizontal="center" vertical="center"/>
    </xf>
    <xf numFmtId="0" fontId="23" fillId="0" borderId="13" xfId="4" applyFont="1" applyFill="1" applyBorder="1" applyProtection="1">
      <protection locked="0"/>
    </xf>
    <xf numFmtId="0" fontId="23" fillId="0" borderId="21" xfId="4" applyFont="1" applyFill="1" applyBorder="1" applyAlignment="1">
      <alignment horizontal="center" vertical="center"/>
    </xf>
    <xf numFmtId="0" fontId="23" fillId="0" borderId="11" xfId="4" applyFont="1" applyFill="1" applyBorder="1" applyProtection="1">
      <protection locked="0"/>
    </xf>
    <xf numFmtId="0" fontId="23" fillId="0" borderId="22" xfId="4" applyFont="1" applyFill="1" applyBorder="1" applyAlignment="1">
      <alignment horizontal="center" vertical="center"/>
    </xf>
    <xf numFmtId="0" fontId="23" fillId="0" borderId="23" xfId="4" applyFont="1" applyFill="1" applyBorder="1" applyProtection="1">
      <protection locked="0"/>
    </xf>
    <xf numFmtId="0" fontId="13" fillId="0" borderId="6" xfId="4" applyFont="1" applyFill="1" applyBorder="1" applyAlignment="1">
      <alignment horizontal="center" vertical="center"/>
    </xf>
    <xf numFmtId="0" fontId="13" fillId="0" borderId="7" xfId="4" applyFont="1" applyFill="1" applyBorder="1"/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31" fillId="0" borderId="6" xfId="0" applyNumberFormat="1" applyFont="1" applyFill="1" applyBorder="1" applyAlignment="1" applyProtection="1">
      <alignment horizontal="centerContinuous" vertical="center" wrapText="1"/>
    </xf>
    <xf numFmtId="165" fontId="31" fillId="0" borderId="6" xfId="0" applyNumberFormat="1" applyFont="1" applyFill="1" applyBorder="1" applyAlignment="1" applyProtection="1">
      <alignment horizontal="center" vertical="center" wrapText="1"/>
    </xf>
    <xf numFmtId="165" fontId="34" fillId="0" borderId="0" xfId="0" applyNumberFormat="1" applyFont="1" applyFill="1" applyAlignment="1" applyProtection="1">
      <alignment horizontal="center" vertical="center" wrapText="1"/>
    </xf>
    <xf numFmtId="165" fontId="15" fillId="0" borderId="37" xfId="0" applyNumberFormat="1" applyFont="1" applyFill="1" applyBorder="1" applyAlignment="1" applyProtection="1">
      <alignment horizontal="center" vertical="center" wrapText="1"/>
    </xf>
    <xf numFmtId="165" fontId="15" fillId="0" borderId="6" xfId="0" applyNumberFormat="1" applyFont="1" applyFill="1" applyBorder="1" applyAlignment="1" applyProtection="1">
      <alignment horizontal="center" vertical="center" wrapText="1"/>
    </xf>
    <xf numFmtId="165" fontId="15" fillId="0" borderId="8" xfId="0" applyNumberFormat="1" applyFont="1" applyFill="1" applyBorder="1" applyAlignment="1" applyProtection="1">
      <alignment horizontal="center" vertical="center" wrapText="1"/>
    </xf>
    <xf numFmtId="165" fontId="5" fillId="0" borderId="20" xfId="0" applyNumberFormat="1" applyFont="1" applyFill="1" applyBorder="1" applyAlignment="1" applyProtection="1">
      <alignment horizontal="left" vertical="center" wrapText="1" indent="1"/>
    </xf>
    <xf numFmtId="165" fontId="5" fillId="0" borderId="21" xfId="0" applyNumberFormat="1" applyFont="1" applyFill="1" applyBorder="1" applyAlignment="1" applyProtection="1">
      <alignment horizontal="left" vertical="center" wrapText="1" indent="1"/>
    </xf>
    <xf numFmtId="165" fontId="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31" xfId="0" applyNumberFormat="1" applyFont="1" applyFill="1" applyBorder="1" applyAlignment="1" applyProtection="1">
      <alignment horizontal="left" vertical="center" wrapText="1" indent="1"/>
    </xf>
    <xf numFmtId="165" fontId="34" fillId="0" borderId="37" xfId="0" applyNumberFormat="1" applyFont="1" applyFill="1" applyBorder="1" applyAlignment="1" applyProtection="1">
      <alignment horizontal="left" vertical="center" wrapText="1" indent="1"/>
    </xf>
    <xf numFmtId="165" fontId="15" fillId="0" borderId="6" xfId="0" applyNumberFormat="1" applyFont="1" applyFill="1" applyBorder="1" applyAlignment="1" applyProtection="1">
      <alignment horizontal="left" vertical="center" wrapText="1" indent="1"/>
    </xf>
    <xf numFmtId="165" fontId="34" fillId="0" borderId="6" xfId="0" applyNumberFormat="1" applyFont="1" applyFill="1" applyBorder="1" applyAlignment="1" applyProtection="1">
      <alignment horizontal="left" vertical="center" wrapText="1" indent="1"/>
    </xf>
    <xf numFmtId="165" fontId="15" fillId="0" borderId="0" xfId="0" applyNumberFormat="1" applyFont="1" applyFill="1" applyAlignment="1" applyProtection="1">
      <alignment horizontal="center" vertical="center" wrapText="1"/>
    </xf>
    <xf numFmtId="165" fontId="5" fillId="0" borderId="38" xfId="0" applyNumberFormat="1" applyFont="1" applyFill="1" applyBorder="1" applyAlignment="1" applyProtection="1">
      <alignment horizontal="left" vertical="center" wrapText="1" indent="1"/>
    </xf>
    <xf numFmtId="3" fontId="6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 applyProtection="1">
      <alignment horizontal="center" vertical="center" wrapText="1"/>
    </xf>
    <xf numFmtId="3" fontId="2" fillId="0" borderId="0" xfId="0" applyNumberFormat="1" applyFont="1" applyFill="1" applyAlignment="1" applyProtection="1">
      <alignment vertical="center" wrapText="1"/>
    </xf>
    <xf numFmtId="3" fontId="6" fillId="0" borderId="6" xfId="0" applyNumberFormat="1" applyFont="1" applyFill="1" applyBorder="1" applyAlignment="1" applyProtection="1">
      <alignment horizontal="center" vertical="center" wrapText="1"/>
    </xf>
    <xf numFmtId="3" fontId="6" fillId="0" borderId="18" xfId="0" applyNumberFormat="1" applyFont="1" applyFill="1" applyBorder="1" applyAlignment="1" applyProtection="1">
      <alignment horizontal="center" vertical="center" wrapText="1"/>
    </xf>
    <xf numFmtId="3" fontId="6" fillId="0" borderId="25" xfId="0" applyNumberFormat="1" applyFont="1" applyFill="1" applyBorder="1" applyAlignment="1" applyProtection="1">
      <alignment horizontal="center" vertical="center" wrapText="1"/>
    </xf>
    <xf numFmtId="3" fontId="6" fillId="0" borderId="39" xfId="0" applyNumberFormat="1" applyFont="1" applyFill="1" applyBorder="1" applyAlignment="1" applyProtection="1">
      <alignment horizontal="center" vertical="center" wrapText="1"/>
    </xf>
    <xf numFmtId="3" fontId="6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horizontal="center" vertical="center" wrapText="1"/>
    </xf>
    <xf numFmtId="49" fontId="17" fillId="0" borderId="20" xfId="4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49" fontId="17" fillId="0" borderId="21" xfId="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49" fontId="17" fillId="0" borderId="22" xfId="4" applyNumberFormat="1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wrapText="1"/>
    </xf>
    <xf numFmtId="0" fontId="24" fillId="0" borderId="23" xfId="0" applyFont="1" applyBorder="1" applyAlignment="1" applyProtection="1">
      <alignment wrapText="1"/>
    </xf>
    <xf numFmtId="0" fontId="24" fillId="0" borderId="20" xfId="0" applyFont="1" applyBorder="1" applyAlignment="1" applyProtection="1">
      <alignment horizontal="center" wrapText="1"/>
    </xf>
    <xf numFmtId="0" fontId="24" fillId="0" borderId="21" xfId="0" applyFont="1" applyBorder="1" applyAlignment="1" applyProtection="1">
      <alignment horizontal="center" wrapText="1"/>
    </xf>
    <xf numFmtId="0" fontId="24" fillId="0" borderId="22" xfId="0" applyFont="1" applyBorder="1" applyAlignment="1" applyProtection="1">
      <alignment horizontal="center" wrapText="1"/>
    </xf>
    <xf numFmtId="0" fontId="19" fillId="0" borderId="25" xfId="0" applyFont="1" applyBorder="1" applyAlignment="1" applyProtection="1">
      <alignment horizontal="center" wrapText="1"/>
    </xf>
    <xf numFmtId="0" fontId="21" fillId="0" borderId="0" xfId="0" applyFont="1" applyFill="1" applyAlignment="1">
      <alignment vertical="center" wrapText="1"/>
    </xf>
    <xf numFmtId="49" fontId="17" fillId="0" borderId="28" xfId="4" applyNumberFormat="1" applyFont="1" applyFill="1" applyBorder="1" applyAlignment="1" applyProtection="1">
      <alignment horizontal="center" vertical="center" wrapText="1"/>
    </xf>
    <xf numFmtId="49" fontId="17" fillId="0" borderId="31" xfId="4" applyNumberFormat="1" applyFont="1" applyFill="1" applyBorder="1" applyAlignment="1" applyProtection="1">
      <alignment horizontal="center" vertical="center" wrapText="1"/>
    </xf>
    <xf numFmtId="49" fontId="17" fillId="0" borderId="32" xfId="4" applyNumberFormat="1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left" vertical="center" wrapText="1" indent="6"/>
    </xf>
    <xf numFmtId="49" fontId="15" fillId="0" borderId="6" xfId="4" applyNumberFormat="1" applyFont="1" applyFill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/>
    <xf numFmtId="165" fontId="34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34" fillId="0" borderId="6" xfId="0" applyNumberFormat="1" applyFont="1" applyFill="1" applyBorder="1" applyAlignment="1" applyProtection="1">
      <alignment horizontal="center" vertical="center" wrapText="1"/>
    </xf>
    <xf numFmtId="165" fontId="34" fillId="0" borderId="18" xfId="0" applyNumberFormat="1" applyFont="1" applyFill="1" applyBorder="1" applyAlignment="1" applyProtection="1">
      <alignment horizontal="center" vertical="center" wrapText="1"/>
    </xf>
    <xf numFmtId="165" fontId="34" fillId="0" borderId="25" xfId="0" applyNumberFormat="1" applyFont="1" applyFill="1" applyBorder="1" applyAlignment="1" applyProtection="1">
      <alignment horizontal="center" vertical="center" wrapText="1"/>
    </xf>
    <xf numFmtId="165" fontId="34" fillId="0" borderId="39" xfId="0" applyNumberFormat="1" applyFont="1" applyFill="1" applyBorder="1" applyAlignment="1" applyProtection="1">
      <alignment horizontal="center" vertical="center" wrapText="1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34" fillId="0" borderId="0" xfId="0" applyNumberFormat="1" applyFont="1" applyFill="1" applyAlignment="1">
      <alignment vertical="center" wrapText="1"/>
    </xf>
    <xf numFmtId="0" fontId="13" fillId="0" borderId="6" xfId="4" applyFont="1" applyFill="1" applyBorder="1" applyAlignment="1" applyProtection="1">
      <alignment horizontal="center" vertical="center" wrapText="1"/>
    </xf>
    <xf numFmtId="0" fontId="13" fillId="0" borderId="7" xfId="4" applyFont="1" applyFill="1" applyBorder="1" applyAlignment="1" applyProtection="1">
      <alignment horizontal="center" vertical="center" wrapText="1"/>
    </xf>
    <xf numFmtId="0" fontId="23" fillId="0" borderId="0" xfId="4" applyFont="1" applyFill="1"/>
    <xf numFmtId="0" fontId="13" fillId="0" borderId="6" xfId="4" applyFont="1" applyFill="1" applyBorder="1" applyAlignment="1" applyProtection="1">
      <alignment horizontal="left" vertical="center" wrapText="1" indent="1"/>
    </xf>
    <xf numFmtId="0" fontId="13" fillId="0" borderId="7" xfId="4" applyFont="1" applyFill="1" applyBorder="1" applyAlignment="1" applyProtection="1">
      <alignment horizontal="left" vertical="center" wrapText="1" indent="1"/>
    </xf>
    <xf numFmtId="49" fontId="23" fillId="0" borderId="20" xfId="4" applyNumberFormat="1" applyFont="1" applyFill="1" applyBorder="1" applyAlignment="1" applyProtection="1">
      <alignment horizontal="left" vertical="center" wrapText="1" indent="1"/>
    </xf>
    <xf numFmtId="49" fontId="23" fillId="0" borderId="21" xfId="4" applyNumberFormat="1" applyFont="1" applyFill="1" applyBorder="1" applyAlignment="1" applyProtection="1">
      <alignment horizontal="left" vertical="center" wrapText="1" indent="1"/>
    </xf>
    <xf numFmtId="0" fontId="26" fillId="0" borderId="11" xfId="0" applyFont="1" applyBorder="1" applyAlignment="1" applyProtection="1">
      <alignment horizontal="left" vertical="center" wrapText="1" indent="1"/>
    </xf>
    <xf numFmtId="49" fontId="23" fillId="0" borderId="22" xfId="4" applyNumberFormat="1" applyFont="1" applyFill="1" applyBorder="1" applyAlignment="1" applyProtection="1">
      <alignment horizontal="left" vertical="center" wrapText="1" indent="1"/>
    </xf>
    <xf numFmtId="0" fontId="26" fillId="0" borderId="23" xfId="0" applyFont="1" applyBorder="1" applyAlignment="1" applyProtection="1">
      <alignment horizontal="left" vertical="center" wrapText="1" indent="1"/>
    </xf>
    <xf numFmtId="0" fontId="36" fillId="0" borderId="7" xfId="0" applyFont="1" applyBorder="1" applyAlignment="1" applyProtection="1">
      <alignment horizontal="left" vertical="center" wrapText="1" indent="1"/>
    </xf>
    <xf numFmtId="0" fontId="13" fillId="0" borderId="6" xfId="4" applyFont="1" applyFill="1" applyBorder="1" applyAlignment="1" applyProtection="1">
      <alignment horizontal="left" vertical="center" wrapText="1"/>
    </xf>
    <xf numFmtId="0" fontId="36" fillId="0" borderId="6" xfId="0" applyFont="1" applyBorder="1" applyAlignment="1" applyProtection="1">
      <alignment vertical="center" wrapText="1"/>
    </xf>
    <xf numFmtId="0" fontId="26" fillId="0" borderId="23" xfId="0" applyFont="1" applyBorder="1" applyAlignment="1" applyProtection="1">
      <alignment vertical="center" wrapText="1"/>
    </xf>
    <xf numFmtId="0" fontId="26" fillId="0" borderId="20" xfId="0" applyFont="1" applyBorder="1" applyAlignment="1" applyProtection="1">
      <alignment wrapText="1"/>
    </xf>
    <xf numFmtId="0" fontId="26" fillId="0" borderId="21" xfId="0" applyFont="1" applyBorder="1" applyAlignment="1" applyProtection="1">
      <alignment wrapText="1"/>
    </xf>
    <xf numFmtId="0" fontId="26" fillId="0" borderId="22" xfId="0" applyFont="1" applyBorder="1" applyAlignment="1" applyProtection="1">
      <alignment wrapText="1"/>
    </xf>
    <xf numFmtId="0" fontId="36" fillId="0" borderId="7" xfId="0" applyFont="1" applyBorder="1" applyAlignment="1" applyProtection="1">
      <alignment wrapText="1"/>
    </xf>
    <xf numFmtId="0" fontId="36" fillId="0" borderId="25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wrapText="1"/>
    </xf>
    <xf numFmtId="0" fontId="13" fillId="0" borderId="19" xfId="4" applyFont="1" applyFill="1" applyBorder="1" applyAlignment="1" applyProtection="1">
      <alignment horizontal="left" vertical="center" wrapText="1" indent="1"/>
    </xf>
    <xf numFmtId="0" fontId="13" fillId="0" borderId="5" xfId="4" applyFont="1" applyFill="1" applyBorder="1" applyAlignment="1" applyProtection="1">
      <alignment vertical="center" wrapText="1"/>
    </xf>
    <xf numFmtId="49" fontId="23" fillId="0" borderId="28" xfId="4" applyNumberFormat="1" applyFont="1" applyFill="1" applyBorder="1" applyAlignment="1" applyProtection="1">
      <alignment horizontal="left" vertical="center" wrapText="1" indent="1"/>
    </xf>
    <xf numFmtId="0" fontId="23" fillId="0" borderId="2" xfId="4" applyFont="1" applyFill="1" applyBorder="1" applyAlignment="1" applyProtection="1">
      <alignment horizontal="left" vertical="center" wrapText="1" indent="1"/>
    </xf>
    <xf numFmtId="0" fontId="23" fillId="0" borderId="11" xfId="4" applyFont="1" applyFill="1" applyBorder="1" applyAlignment="1" applyProtection="1">
      <alignment horizontal="left" vertical="center" wrapText="1" indent="1"/>
    </xf>
    <xf numFmtId="0" fontId="23" fillId="0" borderId="30" xfId="4" applyFont="1" applyFill="1" applyBorder="1" applyAlignment="1" applyProtection="1">
      <alignment horizontal="left" vertical="center" wrapText="1" indent="1"/>
    </xf>
    <xf numFmtId="0" fontId="23" fillId="0" borderId="0" xfId="4" applyFont="1" applyFill="1" applyBorder="1" applyAlignment="1" applyProtection="1">
      <alignment horizontal="left" vertical="center" wrapText="1" indent="1"/>
    </xf>
    <xf numFmtId="0" fontId="23" fillId="0" borderId="23" xfId="4" applyFont="1" applyFill="1" applyBorder="1" applyAlignment="1" applyProtection="1">
      <alignment horizontal="left" vertical="center" wrapText="1" indent="6"/>
    </xf>
    <xf numFmtId="0" fontId="23" fillId="0" borderId="11" xfId="4" applyFont="1" applyFill="1" applyBorder="1" applyAlignment="1" applyProtection="1">
      <alignment horizontal="left" indent="6"/>
    </xf>
    <xf numFmtId="0" fontId="23" fillId="0" borderId="11" xfId="4" applyFont="1" applyFill="1" applyBorder="1" applyAlignment="1" applyProtection="1">
      <alignment horizontal="left" vertical="center" wrapText="1" indent="6"/>
    </xf>
    <xf numFmtId="49" fontId="23" fillId="0" borderId="31" xfId="4" applyNumberFormat="1" applyFont="1" applyFill="1" applyBorder="1" applyAlignment="1" applyProtection="1">
      <alignment horizontal="left" vertical="center" wrapText="1" indent="1"/>
    </xf>
    <xf numFmtId="49" fontId="23" fillId="0" borderId="32" xfId="4" applyNumberFormat="1" applyFont="1" applyFill="1" applyBorder="1" applyAlignment="1" applyProtection="1">
      <alignment horizontal="left" vertical="center" wrapText="1" indent="1"/>
    </xf>
    <xf numFmtId="0" fontId="23" fillId="0" borderId="3" xfId="4" applyFont="1" applyFill="1" applyBorder="1" applyAlignment="1" applyProtection="1">
      <alignment horizontal="left" vertical="center" wrapText="1" indent="7"/>
    </xf>
    <xf numFmtId="0" fontId="13" fillId="0" borderId="25" xfId="4" applyFont="1" applyFill="1" applyBorder="1" applyAlignment="1" applyProtection="1">
      <alignment horizontal="left" vertical="center" wrapText="1" indent="1"/>
    </xf>
    <xf numFmtId="0" fontId="13" fillId="0" borderId="26" xfId="4" applyFont="1" applyFill="1" applyBorder="1" applyAlignment="1" applyProtection="1">
      <alignment vertical="center" wrapText="1"/>
    </xf>
    <xf numFmtId="0" fontId="23" fillId="0" borderId="23" xfId="4" applyFont="1" applyFill="1" applyBorder="1" applyAlignment="1" applyProtection="1">
      <alignment horizontal="left" vertical="center" wrapText="1" indent="1"/>
    </xf>
    <xf numFmtId="0" fontId="23" fillId="0" borderId="13" xfId="4" applyFont="1" applyFill="1" applyBorder="1" applyAlignment="1" applyProtection="1">
      <alignment horizontal="left" vertical="center" wrapText="1" indent="6"/>
    </xf>
    <xf numFmtId="0" fontId="34" fillId="0" borderId="7" xfId="4" applyFont="1" applyFill="1" applyBorder="1" applyAlignment="1" applyProtection="1">
      <alignment horizontal="left" vertical="center" wrapText="1" indent="1"/>
    </xf>
    <xf numFmtId="0" fontId="23" fillId="0" borderId="13" xfId="4" applyFont="1" applyFill="1" applyBorder="1" applyAlignment="1" applyProtection="1">
      <alignment horizontal="left" vertical="center" wrapText="1" indent="1"/>
    </xf>
    <xf numFmtId="0" fontId="23" fillId="0" borderId="12" xfId="4" applyFont="1" applyFill="1" applyBorder="1" applyAlignment="1" applyProtection="1">
      <alignment horizontal="left" vertical="center" wrapText="1" indent="1"/>
    </xf>
    <xf numFmtId="0" fontId="34" fillId="0" borderId="26" xfId="4" applyFont="1" applyFill="1" applyBorder="1" applyAlignment="1" applyProtection="1">
      <alignment horizontal="left" vertical="center" wrapText="1" indent="1"/>
    </xf>
    <xf numFmtId="0" fontId="36" fillId="0" borderId="25" xfId="0" applyFont="1" applyBorder="1" applyAlignment="1" applyProtection="1">
      <alignment horizontal="left" vertical="center" wrapText="1" indent="1"/>
    </xf>
    <xf numFmtId="0" fontId="36" fillId="0" borderId="26" xfId="0" applyFont="1" applyBorder="1" applyAlignment="1" applyProtection="1">
      <alignment horizontal="left" vertical="center" wrapText="1" indent="1"/>
    </xf>
    <xf numFmtId="0" fontId="7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37" fillId="0" borderId="0" xfId="0" applyFont="1" applyFill="1" applyProtection="1">
      <protection locked="0"/>
    </xf>
    <xf numFmtId="0" fontId="38" fillId="0" borderId="0" xfId="0" applyFont="1" applyFill="1" applyProtection="1"/>
    <xf numFmtId="0" fontId="38" fillId="0" borderId="0" xfId="0" applyFont="1" applyFill="1"/>
    <xf numFmtId="0" fontId="31" fillId="0" borderId="6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center" vertical="center" wrapText="1"/>
    </xf>
    <xf numFmtId="0" fontId="31" fillId="0" borderId="8" xfId="0" applyFont="1" applyFill="1" applyBorder="1" applyAlignment="1" applyProtection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vertical="center" wrapText="1"/>
    </xf>
    <xf numFmtId="165" fontId="5" fillId="0" borderId="13" xfId="0" applyNumberFormat="1" applyFont="1" applyFill="1" applyBorder="1" applyAlignment="1" applyProtection="1">
      <alignment vertical="center"/>
      <protection locked="0"/>
    </xf>
    <xf numFmtId="165" fontId="15" fillId="0" borderId="14" xfId="0" applyNumberFormat="1" applyFont="1" applyFill="1" applyBorder="1" applyAlignment="1" applyProtection="1">
      <alignment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vertical="center" wrapText="1"/>
    </xf>
    <xf numFmtId="165" fontId="5" fillId="0" borderId="11" xfId="0" applyNumberFormat="1" applyFont="1" applyFill="1" applyBorder="1" applyAlignment="1" applyProtection="1">
      <alignment vertical="center"/>
      <protection locked="0"/>
    </xf>
    <xf numFmtId="165" fontId="15" fillId="0" borderId="17" xfId="0" applyNumberFormat="1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vertical="center" wrapText="1"/>
    </xf>
    <xf numFmtId="165" fontId="5" fillId="0" borderId="23" xfId="0" applyNumberFormat="1" applyFont="1" applyFill="1" applyBorder="1" applyAlignment="1" applyProtection="1">
      <alignment vertical="center"/>
      <protection locked="0"/>
    </xf>
    <xf numFmtId="165" fontId="15" fillId="0" borderId="24" xfId="0" applyNumberFormat="1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horizontal="center" vertical="center"/>
    </xf>
    <xf numFmtId="0" fontId="31" fillId="0" borderId="7" xfId="0" applyFont="1" applyFill="1" applyBorder="1" applyAlignment="1" applyProtection="1">
      <alignment vertical="center" wrapText="1"/>
    </xf>
    <xf numFmtId="165" fontId="15" fillId="0" borderId="7" xfId="0" applyNumberFormat="1" applyFont="1" applyFill="1" applyBorder="1" applyAlignment="1" applyProtection="1">
      <alignment vertical="center"/>
    </xf>
    <xf numFmtId="165" fontId="15" fillId="0" borderId="8" xfId="0" applyNumberFormat="1" applyFont="1" applyFill="1" applyBorder="1" applyAlignment="1" applyProtection="1">
      <alignment vertical="center"/>
    </xf>
    <xf numFmtId="0" fontId="34" fillId="0" borderId="0" xfId="0" applyFont="1" applyFill="1"/>
    <xf numFmtId="0" fontId="0" fillId="0" borderId="40" xfId="0" applyFont="1" applyFill="1" applyBorder="1" applyProtection="1"/>
    <xf numFmtId="0" fontId="33" fillId="0" borderId="40" xfId="0" applyFont="1" applyFill="1" applyBorder="1" applyAlignment="1" applyProtection="1">
      <alignment horizontal="center"/>
    </xf>
    <xf numFmtId="0" fontId="0" fillId="0" borderId="0" xfId="0" applyFont="1" applyFill="1" applyBorder="1"/>
    <xf numFmtId="0" fontId="33" fillId="0" borderId="0" xfId="0" applyFont="1" applyFill="1" applyBorder="1" applyAlignment="1">
      <alignment horizontal="center"/>
    </xf>
    <xf numFmtId="165" fontId="33" fillId="0" borderId="0" xfId="0" applyNumberFormat="1" applyFont="1" applyFill="1" applyAlignment="1" applyProtection="1">
      <alignment horizontal="right"/>
    </xf>
    <xf numFmtId="165" fontId="37" fillId="0" borderId="0" xfId="0" applyNumberFormat="1" applyFont="1" applyFill="1" applyAlignment="1" applyProtection="1">
      <alignment vertical="center"/>
    </xf>
    <xf numFmtId="165" fontId="31" fillId="0" borderId="41" xfId="0" applyNumberFormat="1" applyFont="1" applyFill="1" applyBorder="1" applyAlignment="1" applyProtection="1">
      <alignment horizontal="center" vertical="center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165" fontId="37" fillId="0" borderId="0" xfId="0" applyNumberFormat="1" applyFont="1" applyFill="1" applyAlignment="1" applyProtection="1">
      <alignment horizontal="center" vertical="center"/>
    </xf>
    <xf numFmtId="165" fontId="15" fillId="0" borderId="4" xfId="0" applyNumberFormat="1" applyFont="1" applyFill="1" applyBorder="1" applyAlignment="1" applyProtection="1">
      <alignment horizontal="center" vertical="center" wrapText="1"/>
    </xf>
    <xf numFmtId="165" fontId="15" fillId="0" borderId="42" xfId="0" applyNumberFormat="1" applyFont="1" applyFill="1" applyBorder="1" applyAlignment="1" applyProtection="1">
      <alignment horizontal="center" vertical="center" wrapText="1"/>
    </xf>
    <xf numFmtId="165" fontId="15" fillId="0" borderId="43" xfId="0" applyNumberFormat="1" applyFont="1" applyFill="1" applyBorder="1" applyAlignment="1" applyProtection="1">
      <alignment horizontal="center" vertical="center" wrapText="1"/>
    </xf>
    <xf numFmtId="165" fontId="37" fillId="0" borderId="0" xfId="0" applyNumberFormat="1" applyFont="1" applyFill="1" applyAlignment="1" applyProtection="1">
      <alignment horizontal="center" vertical="center" wrapText="1"/>
    </xf>
    <xf numFmtId="165" fontId="15" fillId="0" borderId="37" xfId="0" applyNumberFormat="1" applyFont="1" applyFill="1" applyBorder="1" applyAlignment="1" applyProtection="1">
      <alignment horizontal="left" vertical="center" wrapText="1" indent="1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37" xfId="0" applyNumberFormat="1" applyFont="1" applyFill="1" applyBorder="1" applyAlignment="1" applyProtection="1">
      <alignment vertical="center" wrapText="1"/>
    </xf>
    <xf numFmtId="165" fontId="5" fillId="0" borderId="6" xfId="0" applyNumberFormat="1" applyFont="1" applyFill="1" applyBorder="1" applyAlignment="1" applyProtection="1">
      <alignment vertical="center" wrapText="1"/>
    </xf>
    <xf numFmtId="165" fontId="5" fillId="0" borderId="7" xfId="0" applyNumberFormat="1" applyFont="1" applyFill="1" applyBorder="1" applyAlignment="1" applyProtection="1">
      <alignment vertical="center" wrapText="1"/>
    </xf>
    <xf numFmtId="165" fontId="5" fillId="0" borderId="8" xfId="0" applyNumberFormat="1" applyFont="1" applyFill="1" applyBorder="1" applyAlignment="1" applyProtection="1">
      <alignment vertical="center" wrapText="1"/>
    </xf>
    <xf numFmtId="165" fontId="15" fillId="0" borderId="21" xfId="0" applyNumberFormat="1" applyFont="1" applyFill="1" applyBorder="1" applyAlignment="1" applyProtection="1">
      <alignment horizontal="center" vertical="center" wrapText="1"/>
    </xf>
    <xf numFmtId="165" fontId="5" fillId="0" borderId="44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44" xfId="0" applyNumberFormat="1" applyFont="1" applyFill="1" applyBorder="1" applyAlignment="1" applyProtection="1">
      <alignment vertical="center" wrapText="1"/>
      <protection locked="0"/>
    </xf>
    <xf numFmtId="165" fontId="5" fillId="0" borderId="21" xfId="0" applyNumberFormat="1" applyFont="1" applyFill="1" applyBorder="1" applyAlignment="1" applyProtection="1">
      <alignment vertical="center" wrapText="1"/>
      <protection locked="0"/>
    </xf>
    <xf numFmtId="165" fontId="5" fillId="0" borderId="11" xfId="0" applyNumberFormat="1" applyFont="1" applyFill="1" applyBorder="1" applyAlignment="1" applyProtection="1">
      <alignment vertical="center" wrapText="1"/>
      <protection locked="0"/>
    </xf>
    <xf numFmtId="165" fontId="5" fillId="0" borderId="17" xfId="0" applyNumberFormat="1" applyFont="1" applyFill="1" applyBorder="1" applyAlignment="1" applyProtection="1">
      <alignment vertical="center" wrapText="1"/>
      <protection locked="0"/>
    </xf>
    <xf numFmtId="165" fontId="5" fillId="0" borderId="44" xfId="0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2" xfId="0" applyNumberFormat="1" applyFont="1" applyFill="1" applyBorder="1" applyAlignment="1" applyProtection="1">
      <alignment horizontal="center" vertical="center" wrapText="1"/>
    </xf>
    <xf numFmtId="165" fontId="5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45" xfId="0" applyNumberFormat="1" applyFont="1" applyFill="1" applyBorder="1" applyAlignment="1" applyProtection="1">
      <alignment vertical="center" wrapText="1"/>
      <protection locked="0"/>
    </xf>
    <xf numFmtId="165" fontId="5" fillId="0" borderId="22" xfId="0" applyNumberFormat="1" applyFont="1" applyFill="1" applyBorder="1" applyAlignment="1" applyProtection="1">
      <alignment vertical="center" wrapText="1"/>
      <protection locked="0"/>
    </xf>
    <xf numFmtId="165" fontId="5" fillId="0" borderId="23" xfId="0" applyNumberFormat="1" applyFont="1" applyFill="1" applyBorder="1" applyAlignment="1" applyProtection="1">
      <alignment vertical="center" wrapText="1"/>
      <protection locked="0"/>
    </xf>
    <xf numFmtId="165" fontId="5" fillId="0" borderId="24" xfId="0" applyNumberFormat="1" applyFont="1" applyFill="1" applyBorder="1" applyAlignment="1" applyProtection="1">
      <alignment vertical="center" wrapText="1"/>
      <protection locked="0"/>
    </xf>
    <xf numFmtId="165" fontId="5" fillId="0" borderId="45" xfId="0" applyNumberFormat="1" applyFont="1" applyFill="1" applyBorder="1" applyAlignment="1" applyProtection="1">
      <alignment vertical="center" wrapText="1"/>
    </xf>
    <xf numFmtId="165" fontId="15" fillId="0" borderId="31" xfId="0" applyNumberFormat="1" applyFont="1" applyFill="1" applyBorder="1" applyAlignment="1" applyProtection="1">
      <alignment horizontal="center" vertical="center" wrapText="1"/>
    </xf>
    <xf numFmtId="165" fontId="5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43" xfId="0" applyNumberFormat="1" applyFont="1" applyFill="1" applyBorder="1" applyAlignment="1" applyProtection="1">
      <alignment vertical="center" wrapText="1"/>
      <protection locked="0"/>
    </xf>
    <xf numFmtId="165" fontId="5" fillId="0" borderId="31" xfId="0" applyNumberFormat="1" applyFont="1" applyFill="1" applyBorder="1" applyAlignment="1" applyProtection="1">
      <alignment vertical="center" wrapText="1"/>
      <protection locked="0"/>
    </xf>
    <xf numFmtId="165" fontId="5" fillId="0" borderId="12" xfId="0" applyNumberFormat="1" applyFont="1" applyFill="1" applyBorder="1" applyAlignment="1" applyProtection="1">
      <alignment vertical="center" wrapText="1"/>
      <protection locked="0"/>
    </xf>
    <xf numFmtId="165" fontId="5" fillId="0" borderId="48" xfId="0" applyNumberFormat="1" applyFont="1" applyFill="1" applyBorder="1" applyAlignment="1" applyProtection="1">
      <alignment vertical="center" wrapText="1"/>
      <protection locked="0"/>
    </xf>
    <xf numFmtId="165" fontId="5" fillId="0" borderId="43" xfId="0" applyNumberFormat="1" applyFont="1" applyFill="1" applyBorder="1" applyAlignment="1" applyProtection="1">
      <alignment vertical="center" wrapText="1"/>
    </xf>
    <xf numFmtId="165" fontId="0" fillId="2" borderId="42" xfId="0" applyNumberFormat="1" applyFont="1" applyFill="1" applyBorder="1" applyAlignment="1" applyProtection="1">
      <alignment horizontal="left" vertical="center" wrapText="1" indent="2"/>
    </xf>
    <xf numFmtId="0" fontId="6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Protection="1"/>
    <xf numFmtId="0" fontId="6" fillId="0" borderId="5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right" vertical="center" indent="1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165" fontId="16" fillId="0" borderId="0" xfId="0" applyNumberFormat="1" applyFont="1" applyFill="1" applyAlignment="1">
      <alignment horizontal="center" vertical="center" wrapText="1"/>
    </xf>
    <xf numFmtId="165" fontId="16" fillId="0" borderId="0" xfId="0" applyNumberFormat="1" applyFont="1" applyFill="1" applyAlignment="1">
      <alignment vertical="center" wrapText="1"/>
    </xf>
    <xf numFmtId="165" fontId="12" fillId="0" borderId="0" xfId="0" applyNumberFormat="1" applyFont="1" applyFill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 applyProtection="1">
      <alignment horizontal="left" vertical="center" wrapText="1" indent="1"/>
    </xf>
    <xf numFmtId="165" fontId="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 applyProtection="1">
      <alignment horizontal="left" vertical="center" wrapText="1" indent="1"/>
    </xf>
    <xf numFmtId="165" fontId="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0" xfId="0" applyFont="1" applyFill="1" applyBorder="1" applyAlignment="1" applyProtection="1">
      <alignment horizontal="left" vertical="center" wrapText="1" indent="8"/>
    </xf>
    <xf numFmtId="0" fontId="5" fillId="0" borderId="13" xfId="0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alignment vertical="center" wrapText="1"/>
      <protection locked="0"/>
    </xf>
    <xf numFmtId="0" fontId="5" fillId="0" borderId="2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vertical="center" wrapText="1"/>
      <protection locked="0"/>
    </xf>
    <xf numFmtId="165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 applyProtection="1">
      <alignment vertical="center" wrapText="1"/>
    </xf>
    <xf numFmtId="165" fontId="15" fillId="0" borderId="26" xfId="0" applyNumberFormat="1" applyFont="1" applyFill="1" applyBorder="1" applyAlignment="1" applyProtection="1">
      <alignment vertical="center" wrapText="1"/>
    </xf>
    <xf numFmtId="165" fontId="15" fillId="0" borderId="50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right" vertical="center" wrapText="1"/>
    </xf>
    <xf numFmtId="0" fontId="11" fillId="0" borderId="51" xfId="4" applyFont="1" applyFill="1" applyBorder="1" applyAlignment="1" applyProtection="1">
      <alignment horizontal="center" vertical="center" wrapText="1"/>
    </xf>
    <xf numFmtId="0" fontId="11" fillId="0" borderId="51" xfId="4" applyFont="1" applyFill="1" applyBorder="1" applyAlignment="1" applyProtection="1">
      <alignment vertical="center" wrapText="1"/>
    </xf>
    <xf numFmtId="0" fontId="23" fillId="0" borderId="0" xfId="4" applyFont="1" applyFill="1" applyBorder="1" applyProtection="1"/>
    <xf numFmtId="0" fontId="15" fillId="0" borderId="26" xfId="4" applyFont="1" applyFill="1" applyBorder="1" applyAlignment="1" applyProtection="1">
      <alignment vertical="center" wrapText="1"/>
    </xf>
    <xf numFmtId="3" fontId="2" fillId="0" borderId="0" xfId="0" applyNumberFormat="1" applyFont="1" applyFill="1" applyAlignment="1">
      <alignment horizontal="left" vertical="center" wrapText="1"/>
    </xf>
    <xf numFmtId="0" fontId="6" fillId="0" borderId="0" xfId="4" applyFont="1" applyFill="1" applyAlignment="1" applyProtection="1">
      <alignment horizontal="center"/>
    </xf>
    <xf numFmtId="49" fontId="32" fillId="0" borderId="0" xfId="0" applyNumberFormat="1" applyFont="1" applyFill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7" fillId="0" borderId="0" xfId="4" applyFont="1" applyFill="1" applyAlignment="1" applyProtection="1">
      <alignment horizontal="center"/>
    </xf>
    <xf numFmtId="0" fontId="23" fillId="0" borderId="11" xfId="4" applyFont="1" applyFill="1" applyBorder="1" applyAlignment="1" applyProtection="1">
      <alignment wrapText="1"/>
      <protection locked="0"/>
    </xf>
    <xf numFmtId="0" fontId="34" fillId="0" borderId="0" xfId="0" applyFont="1" applyFill="1" applyProtection="1"/>
    <xf numFmtId="0" fontId="34" fillId="0" borderId="19" xfId="0" applyFont="1" applyFill="1" applyBorder="1" applyAlignment="1" applyProtection="1">
      <alignment vertical="center"/>
    </xf>
    <xf numFmtId="0" fontId="34" fillId="0" borderId="5" xfId="0" applyFont="1" applyFill="1" applyBorder="1" applyAlignment="1" applyProtection="1">
      <alignment horizontal="center" vertical="center"/>
    </xf>
    <xf numFmtId="0" fontId="34" fillId="0" borderId="27" xfId="0" applyFont="1" applyFill="1" applyBorder="1" applyAlignment="1" applyProtection="1">
      <alignment horizontal="center" vertical="center"/>
    </xf>
    <xf numFmtId="49" fontId="32" fillId="0" borderId="21" xfId="0" quotePrefix="1" applyNumberFormat="1" applyFont="1" applyFill="1" applyBorder="1" applyAlignment="1" applyProtection="1">
      <alignment horizontal="left" vertical="center" indent="1"/>
    </xf>
    <xf numFmtId="3" fontId="32" fillId="0" borderId="11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34" fillId="0" borderId="6" xfId="0" applyNumberFormat="1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horizontal="left" vertical="center" indent="1"/>
      <protection locked="0"/>
    </xf>
    <xf numFmtId="165" fontId="34" fillId="0" borderId="6" xfId="0" applyNumberFormat="1" applyFont="1" applyFill="1" applyBorder="1" applyAlignment="1" applyProtection="1">
      <alignment horizontal="left" vertical="center" wrapText="1"/>
    </xf>
    <xf numFmtId="165" fontId="34" fillId="0" borderId="18" xfId="0" applyNumberFormat="1" applyFont="1" applyFill="1" applyBorder="1" applyAlignment="1" applyProtection="1">
      <alignment horizontal="left" vertical="center" wrapText="1"/>
    </xf>
    <xf numFmtId="3" fontId="2" fillId="0" borderId="21" xfId="0" applyNumberFormat="1" applyFont="1" applyFill="1" applyBorder="1" applyAlignment="1" applyProtection="1">
      <alignment vertical="center" wrapText="1"/>
      <protection locked="0"/>
    </xf>
    <xf numFmtId="3" fontId="2" fillId="0" borderId="30" xfId="0" applyNumberFormat="1" applyFont="1" applyFill="1" applyBorder="1" applyAlignment="1" applyProtection="1">
      <alignment vertical="center" wrapText="1"/>
      <protection locked="0"/>
    </xf>
    <xf numFmtId="3" fontId="7" fillId="0" borderId="21" xfId="0" applyNumberFormat="1" applyFont="1" applyFill="1" applyBorder="1" applyAlignment="1" applyProtection="1">
      <alignment vertical="center" wrapText="1"/>
      <protection locked="0"/>
    </xf>
    <xf numFmtId="3" fontId="7" fillId="0" borderId="30" xfId="0" applyNumberFormat="1" applyFont="1" applyFill="1" applyBorder="1" applyAlignment="1" applyProtection="1">
      <alignment vertical="center" wrapText="1"/>
      <protection locked="0"/>
    </xf>
    <xf numFmtId="3" fontId="7" fillId="0" borderId="0" xfId="0" applyNumberFormat="1" applyFont="1" applyFill="1" applyAlignment="1">
      <alignment vertical="center" wrapText="1"/>
    </xf>
    <xf numFmtId="3" fontId="6" fillId="0" borderId="6" xfId="0" applyNumberFormat="1" applyFont="1" applyFill="1" applyBorder="1" applyAlignment="1" applyProtection="1">
      <alignment horizontal="left" vertical="center" wrapText="1"/>
    </xf>
    <xf numFmtId="3" fontId="6" fillId="0" borderId="18" xfId="0" applyNumberFormat="1" applyFont="1" applyFill="1" applyBorder="1" applyAlignment="1" applyProtection="1">
      <alignment horizontal="left" vertical="center" wrapText="1"/>
    </xf>
    <xf numFmtId="0" fontId="27" fillId="0" borderId="0" xfId="4" applyFont="1" applyFill="1" applyProtection="1"/>
    <xf numFmtId="0" fontId="41" fillId="0" borderId="0" xfId="5" applyFont="1" applyFill="1" applyProtection="1"/>
    <xf numFmtId="0" fontId="41" fillId="0" borderId="0" xfId="5" applyFont="1" applyFill="1" applyProtection="1">
      <protection locked="0"/>
    </xf>
    <xf numFmtId="0" fontId="39" fillId="0" borderId="0" xfId="5" applyFont="1" applyFill="1" applyProtection="1"/>
    <xf numFmtId="165" fontId="0" fillId="0" borderId="37" xfId="0" applyNumberFormat="1" applyFont="1" applyFill="1" applyBorder="1" applyAlignment="1" applyProtection="1">
      <alignment vertical="center" wrapText="1"/>
    </xf>
    <xf numFmtId="165" fontId="8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right" vertical="top"/>
    </xf>
    <xf numFmtId="165" fontId="8" fillId="0" borderId="0" xfId="0" applyNumberFormat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 indent="1"/>
    </xf>
    <xf numFmtId="0" fontId="16" fillId="0" borderId="0" xfId="0" applyFont="1" applyAlignment="1">
      <alignment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0" fontId="17" fillId="0" borderId="2" xfId="4" applyFont="1" applyBorder="1" applyAlignment="1">
      <alignment horizontal="left" vertical="center" wrapText="1" indent="1"/>
    </xf>
    <xf numFmtId="49" fontId="5" fillId="0" borderId="21" xfId="0" applyNumberFormat="1" applyFont="1" applyBorder="1" applyAlignment="1">
      <alignment horizontal="center" vertical="center" wrapText="1"/>
    </xf>
    <xf numFmtId="0" fontId="17" fillId="0" borderId="11" xfId="4" applyFont="1" applyBorder="1" applyAlignment="1">
      <alignment horizontal="left" vertical="center" wrapText="1" indent="1"/>
    </xf>
    <xf numFmtId="0" fontId="17" fillId="0" borderId="12" xfId="4" applyFont="1" applyBorder="1" applyAlignment="1">
      <alignment horizontal="left" vertical="center" wrapText="1" indent="1"/>
    </xf>
    <xf numFmtId="0" fontId="18" fillId="0" borderId="0" xfId="0" applyFont="1" applyAlignment="1">
      <alignment vertical="center" wrapText="1"/>
    </xf>
    <xf numFmtId="0" fontId="17" fillId="0" borderId="13" xfId="4" applyFont="1" applyBorder="1" applyAlignment="1">
      <alignment horizontal="left" vertical="center" wrapText="1" indent="1"/>
    </xf>
    <xf numFmtId="0" fontId="15" fillId="0" borderId="6" xfId="0" applyFont="1" applyBorder="1" applyAlignment="1">
      <alignment horizontal="center" vertical="center" wrapText="1"/>
    </xf>
    <xf numFmtId="0" fontId="15" fillId="0" borderId="7" xfId="4" applyFont="1" applyBorder="1" applyAlignment="1">
      <alignment horizontal="left" vertical="center" wrapText="1" indent="1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 wrapText="1" indent="1"/>
    </xf>
    <xf numFmtId="0" fontId="5" fillId="0" borderId="11" xfId="4" applyFont="1" applyBorder="1" applyAlignment="1">
      <alignment horizontal="left" vertical="center" wrapText="1" indent="1"/>
    </xf>
    <xf numFmtId="0" fontId="5" fillId="0" borderId="26" xfId="4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wrapText="1" inden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0" fillId="0" borderId="7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/>
    </xf>
    <xf numFmtId="0" fontId="13" fillId="0" borderId="18" xfId="0" applyFont="1" applyBorder="1" applyAlignment="1">
      <alignment vertical="center" wrapText="1"/>
    </xf>
    <xf numFmtId="165" fontId="0" fillId="0" borderId="0" xfId="0" applyNumberFormat="1" applyFont="1" applyFill="1" applyAlignment="1">
      <alignment vertical="center" wrapText="1"/>
    </xf>
    <xf numFmtId="165" fontId="0" fillId="0" borderId="30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horizontal="centerContinuous" vertical="center"/>
    </xf>
    <xf numFmtId="165" fontId="0" fillId="0" borderId="46" xfId="0" applyNumberFormat="1" applyFont="1" applyFill="1" applyBorder="1" applyAlignment="1" applyProtection="1">
      <alignment horizontal="left" vertical="center" wrapText="1" indent="1"/>
    </xf>
    <xf numFmtId="165" fontId="0" fillId="0" borderId="44" xfId="0" applyNumberFormat="1" applyFont="1" applyFill="1" applyBorder="1" applyAlignment="1" applyProtection="1">
      <alignment horizontal="left" vertical="center" wrapText="1" indent="1"/>
    </xf>
    <xf numFmtId="165" fontId="0" fillId="0" borderId="43" xfId="0" applyNumberFormat="1" applyFont="1" applyFill="1" applyBorder="1" applyAlignment="1" applyProtection="1">
      <alignment horizontal="left" vertical="center" wrapText="1" indent="1"/>
    </xf>
    <xf numFmtId="0" fontId="41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41" fillId="0" borderId="0" xfId="0" applyFont="1" applyFill="1" applyBorder="1" applyAlignment="1"/>
    <xf numFmtId="0" fontId="42" fillId="0" borderId="0" xfId="0" applyFont="1" applyFill="1" applyBorder="1" applyAlignment="1">
      <alignment vertical="center"/>
    </xf>
    <xf numFmtId="0" fontId="41" fillId="0" borderId="11" xfId="0" applyFont="1" applyFill="1" applyBorder="1" applyAlignment="1" applyProtection="1">
      <alignment horizontal="left" vertical="center" wrapText="1"/>
      <protection locked="0"/>
    </xf>
    <xf numFmtId="0" fontId="41" fillId="0" borderId="11" xfId="0" applyFont="1" applyFill="1" applyBorder="1" applyAlignment="1" applyProtection="1">
      <alignment horizontal="right" vertical="center" wrapText="1"/>
      <protection locked="0"/>
    </xf>
    <xf numFmtId="0" fontId="39" fillId="0" borderId="11" xfId="0" applyFont="1" applyFill="1" applyBorder="1" applyAlignment="1" applyProtection="1">
      <alignment horizontal="center" vertical="center" wrapText="1"/>
      <protection locked="0"/>
    </xf>
    <xf numFmtId="0" fontId="41" fillId="0" borderId="11" xfId="0" applyFont="1" applyFill="1" applyBorder="1" applyAlignment="1" applyProtection="1">
      <alignment vertical="center" wrapText="1"/>
      <protection locked="0"/>
    </xf>
    <xf numFmtId="165" fontId="4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0" xfId="0" applyFont="1" applyFill="1" applyBorder="1" applyAlignment="1" applyProtection="1">
      <alignment vertical="center"/>
    </xf>
    <xf numFmtId="0" fontId="39" fillId="0" borderId="11" xfId="0" applyFont="1" applyFill="1" applyBorder="1" applyAlignment="1" applyProtection="1">
      <alignment vertical="center" wrapText="1"/>
    </xf>
    <xf numFmtId="0" fontId="2" fillId="0" borderId="0" xfId="4" applyFont="1" applyFill="1" applyAlignment="1" applyProtection="1">
      <alignment horizontal="right" vertical="center" indent="1"/>
    </xf>
    <xf numFmtId="165" fontId="14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7" xfId="4" applyNumberFormat="1" applyFont="1" applyFill="1" applyBorder="1" applyAlignment="1" applyProtection="1">
      <alignment horizontal="right" vertical="center" wrapText="1" indent="1"/>
    </xf>
    <xf numFmtId="165" fontId="17" fillId="0" borderId="13" xfId="4" applyNumberFormat="1" applyFont="1" applyFill="1" applyBorder="1" applyAlignment="1" applyProtection="1">
      <alignment horizontal="right" vertical="center" wrapText="1" indent="1"/>
    </xf>
    <xf numFmtId="165" fontId="17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51" xfId="4" applyNumberFormat="1" applyFont="1" applyFill="1" applyBorder="1" applyAlignment="1" applyProtection="1">
      <alignment horizontal="right" vertical="center" wrapText="1" indent="1"/>
    </xf>
    <xf numFmtId="165" fontId="15" fillId="0" borderId="26" xfId="4" applyNumberFormat="1" applyFont="1" applyFill="1" applyBorder="1" applyAlignment="1" applyProtection="1">
      <alignment horizontal="right" vertical="center" wrapText="1" indent="1"/>
    </xf>
    <xf numFmtId="165" fontId="17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7" xfId="4" applyNumberFormat="1" applyFont="1" applyFill="1" applyBorder="1" applyAlignment="1" applyProtection="1">
      <alignment horizontal="right" vertical="center" wrapText="1" indent="1"/>
    </xf>
    <xf numFmtId="165" fontId="20" fillId="0" borderId="7" xfId="0" quotePrefix="1" applyNumberFormat="1" applyFont="1" applyBorder="1" applyAlignment="1" applyProtection="1">
      <alignment horizontal="right" vertical="center" wrapText="1" indent="1"/>
      <protection locked="0"/>
    </xf>
    <xf numFmtId="165" fontId="20" fillId="0" borderId="7" xfId="0" quotePrefix="1" applyNumberFormat="1" applyFont="1" applyBorder="1" applyAlignment="1" applyProtection="1">
      <alignment horizontal="right" vertical="center" wrapText="1" indent="1"/>
    </xf>
    <xf numFmtId="3" fontId="2" fillId="0" borderId="17" xfId="0" applyNumberFormat="1" applyFont="1" applyBorder="1" applyAlignment="1" applyProtection="1">
      <alignment horizontal="right" vertical="center" indent="1"/>
      <protection locked="0"/>
    </xf>
    <xf numFmtId="3" fontId="2" fillId="0" borderId="14" xfId="0" applyNumberFormat="1" applyFont="1" applyBorder="1" applyAlignment="1" applyProtection="1">
      <alignment horizontal="right" vertical="center" indent="1"/>
      <protection locked="0"/>
    </xf>
    <xf numFmtId="0" fontId="6" fillId="0" borderId="27" xfId="0" applyFont="1" applyBorder="1" applyAlignment="1" applyProtection="1">
      <alignment horizontal="center" vertical="center" wrapText="1"/>
    </xf>
    <xf numFmtId="3" fontId="7" fillId="0" borderId="18" xfId="0" applyNumberFormat="1" applyFont="1" applyBorder="1" applyAlignment="1">
      <alignment vertical="center"/>
    </xf>
    <xf numFmtId="0" fontId="40" fillId="0" borderId="0" xfId="0" applyFont="1" applyFill="1" applyBorder="1" applyAlignment="1" applyProtection="1">
      <alignment horizontal="right"/>
    </xf>
    <xf numFmtId="165" fontId="39" fillId="0" borderId="11" xfId="0" applyNumberFormat="1" applyFont="1" applyFill="1" applyBorder="1" applyAlignment="1" applyProtection="1">
      <alignment horizontal="right" vertical="center" wrapText="1"/>
    </xf>
    <xf numFmtId="165" fontId="41" fillId="0" borderId="11" xfId="0" applyNumberFormat="1" applyFont="1" applyFill="1" applyBorder="1" applyAlignment="1" applyProtection="1">
      <alignment horizontal="right" vertical="center" wrapText="1"/>
      <protection locked="0"/>
    </xf>
    <xf numFmtId="165" fontId="42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41" fillId="0" borderId="11" xfId="0" applyNumberFormat="1" applyFont="1" applyFill="1" applyBorder="1" applyAlignment="1" applyProtection="1">
      <alignment horizontal="right" vertical="center" wrapText="1"/>
      <protection locked="0"/>
    </xf>
    <xf numFmtId="165" fontId="39" fillId="0" borderId="11" xfId="0" applyNumberFormat="1" applyFont="1" applyFill="1" applyBorder="1" applyAlignment="1" applyProtection="1">
      <alignment horizontal="right" vertical="center" wrapText="1"/>
      <protection locked="0"/>
    </xf>
    <xf numFmtId="165" fontId="41" fillId="0" borderId="11" xfId="0" applyNumberFormat="1" applyFont="1" applyFill="1" applyBorder="1" applyAlignment="1" applyProtection="1">
      <alignment vertical="center" wrapText="1"/>
      <protection locked="0"/>
    </xf>
    <xf numFmtId="3" fontId="41" fillId="0" borderId="11" xfId="0" applyNumberFormat="1" applyFont="1" applyFill="1" applyBorder="1"/>
    <xf numFmtId="3" fontId="3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5" applyFont="1" applyFill="1" applyAlignment="1" applyProtection="1">
      <alignment horizontal="center" wrapText="1"/>
    </xf>
    <xf numFmtId="0" fontId="40" fillId="0" borderId="0" xfId="0" applyFont="1" applyFill="1" applyAlignment="1">
      <alignment horizontal="right"/>
    </xf>
    <xf numFmtId="0" fontId="39" fillId="0" borderId="19" xfId="5" applyFont="1" applyFill="1" applyBorder="1" applyAlignment="1" applyProtection="1">
      <alignment horizontal="center" vertical="center" wrapText="1"/>
    </xf>
    <xf numFmtId="0" fontId="39" fillId="0" borderId="5" xfId="5" applyFont="1" applyFill="1" applyBorder="1" applyAlignment="1" applyProtection="1">
      <alignment horizontal="center" vertical="center"/>
    </xf>
    <xf numFmtId="0" fontId="39" fillId="0" borderId="27" xfId="5" applyFont="1" applyFill="1" applyBorder="1" applyAlignment="1" applyProtection="1">
      <alignment horizontal="center" vertical="center"/>
    </xf>
    <xf numFmtId="0" fontId="39" fillId="0" borderId="6" xfId="5" applyFont="1" applyFill="1" applyBorder="1" applyAlignment="1" applyProtection="1">
      <alignment horizontal="left" vertical="center" indent="1"/>
    </xf>
    <xf numFmtId="0" fontId="39" fillId="0" borderId="0" xfId="5" applyFont="1" applyFill="1" applyAlignment="1" applyProtection="1">
      <alignment vertical="center"/>
    </xf>
    <xf numFmtId="0" fontId="41" fillId="0" borderId="21" xfId="5" applyFont="1" applyFill="1" applyBorder="1" applyAlignment="1" applyProtection="1">
      <alignment horizontal="left" vertical="center" indent="1"/>
    </xf>
    <xf numFmtId="0" fontId="41" fillId="0" borderId="11" xfId="5" applyFont="1" applyFill="1" applyBorder="1" applyAlignment="1" applyProtection="1">
      <alignment horizontal="left" vertical="center" indent="1"/>
    </xf>
    <xf numFmtId="165" fontId="41" fillId="0" borderId="11" xfId="5" applyNumberFormat="1" applyFont="1" applyFill="1" applyBorder="1" applyAlignment="1" applyProtection="1">
      <alignment vertical="center"/>
      <protection locked="0"/>
    </xf>
    <xf numFmtId="165" fontId="39" fillId="0" borderId="17" xfId="5" applyNumberFormat="1" applyFont="1" applyFill="1" applyBorder="1" applyAlignment="1" applyProtection="1">
      <alignment vertical="center"/>
    </xf>
    <xf numFmtId="0" fontId="41" fillId="0" borderId="0" xfId="5" applyFont="1" applyFill="1" applyAlignment="1" applyProtection="1">
      <alignment vertical="center"/>
      <protection locked="0"/>
    </xf>
    <xf numFmtId="0" fontId="41" fillId="0" borderId="6" xfId="5" applyFont="1" applyFill="1" applyBorder="1" applyAlignment="1" applyProtection="1">
      <alignment horizontal="left" vertical="center" indent="1"/>
    </xf>
    <xf numFmtId="0" fontId="39" fillId="0" borderId="7" xfId="5" applyFont="1" applyFill="1" applyBorder="1" applyAlignment="1" applyProtection="1">
      <alignment horizontal="left" vertical="center" indent="1"/>
    </xf>
    <xf numFmtId="165" fontId="39" fillId="0" borderId="7" xfId="5" applyNumberFormat="1" applyFont="1" applyFill="1" applyBorder="1" applyAlignment="1" applyProtection="1">
      <alignment vertical="center"/>
    </xf>
    <xf numFmtId="165" fontId="39" fillId="0" borderId="8" xfId="5" applyNumberFormat="1" applyFont="1" applyFill="1" applyBorder="1" applyAlignment="1" applyProtection="1">
      <alignment vertical="center"/>
    </xf>
    <xf numFmtId="0" fontId="41" fillId="0" borderId="0" xfId="5" applyFont="1" applyFill="1" applyAlignment="1" applyProtection="1">
      <alignment vertical="center"/>
    </xf>
    <xf numFmtId="0" fontId="41" fillId="0" borderId="51" xfId="5" applyFont="1" applyFill="1" applyBorder="1" applyAlignment="1" applyProtection="1">
      <alignment horizontal="left" vertical="center" indent="1"/>
    </xf>
    <xf numFmtId="0" fontId="39" fillId="0" borderId="51" xfId="5" applyFont="1" applyFill="1" applyBorder="1" applyAlignment="1" applyProtection="1">
      <alignment horizontal="left" vertical="center" indent="1"/>
    </xf>
    <xf numFmtId="165" fontId="39" fillId="0" borderId="51" xfId="5" applyNumberFormat="1" applyFont="1" applyFill="1" applyBorder="1" applyAlignment="1" applyProtection="1">
      <alignment vertical="center"/>
    </xf>
    <xf numFmtId="0" fontId="39" fillId="0" borderId="25" xfId="5" applyFont="1" applyFill="1" applyBorder="1" applyAlignment="1" applyProtection="1">
      <alignment horizontal="left" vertical="center" indent="1"/>
    </xf>
    <xf numFmtId="0" fontId="41" fillId="0" borderId="52" xfId="5" applyFont="1" applyFill="1" applyBorder="1" applyAlignment="1" applyProtection="1">
      <alignment horizontal="left" vertical="center" indent="1"/>
    </xf>
    <xf numFmtId="0" fontId="39" fillId="0" borderId="16" xfId="5" applyFont="1" applyFill="1" applyBorder="1" applyAlignment="1" applyProtection="1">
      <alignment horizontal="left" vertical="center" indent="1"/>
    </xf>
    <xf numFmtId="165" fontId="39" fillId="0" borderId="16" xfId="5" applyNumberFormat="1" applyFont="1" applyFill="1" applyBorder="1" applyAlignment="1" applyProtection="1">
      <alignment vertical="center"/>
    </xf>
    <xf numFmtId="0" fontId="12" fillId="0" borderId="53" xfId="0" applyFont="1" applyFill="1" applyBorder="1" applyAlignment="1" applyProtection="1">
      <alignment horizontal="right" vertical="center"/>
    </xf>
    <xf numFmtId="165" fontId="34" fillId="0" borderId="7" xfId="0" applyNumberFormat="1" applyFont="1" applyFill="1" applyBorder="1" applyAlignment="1" applyProtection="1">
      <alignment horizontal="center" vertical="center" wrapText="1"/>
    </xf>
    <xf numFmtId="0" fontId="13" fillId="0" borderId="54" xfId="4" applyFont="1" applyFill="1" applyBorder="1" applyAlignment="1" applyProtection="1">
      <alignment horizontal="center" vertical="center" wrapText="1"/>
    </xf>
    <xf numFmtId="165" fontId="13" fillId="0" borderId="8" xfId="4" applyNumberFormat="1" applyFont="1" applyFill="1" applyBorder="1" applyAlignment="1" applyProtection="1">
      <alignment horizontal="right" vertical="center" wrapText="1"/>
    </xf>
    <xf numFmtId="165" fontId="23" fillId="0" borderId="14" xfId="4" applyNumberFormat="1" applyFont="1" applyFill="1" applyBorder="1" applyAlignment="1" applyProtection="1">
      <alignment horizontal="right" vertical="center" wrapText="1"/>
      <protection locked="0"/>
    </xf>
    <xf numFmtId="165" fontId="23" fillId="0" borderId="17" xfId="4" applyNumberFormat="1" applyFont="1" applyFill="1" applyBorder="1" applyAlignment="1" applyProtection="1">
      <alignment horizontal="right" vertical="center" wrapText="1"/>
      <protection locked="0"/>
    </xf>
    <xf numFmtId="165" fontId="23" fillId="0" borderId="24" xfId="4" applyNumberFormat="1" applyFont="1" applyFill="1" applyBorder="1" applyAlignment="1" applyProtection="1">
      <alignment horizontal="right" vertical="center" wrapText="1"/>
      <protection locked="0"/>
    </xf>
    <xf numFmtId="165" fontId="23" fillId="0" borderId="14" xfId="4" applyNumberFormat="1" applyFont="1" applyFill="1" applyBorder="1" applyAlignment="1" applyProtection="1">
      <alignment horizontal="right" vertical="center" wrapText="1"/>
    </xf>
    <xf numFmtId="165" fontId="13" fillId="0" borderId="8" xfId="4" applyNumberFormat="1" applyFont="1" applyFill="1" applyBorder="1" applyAlignment="1" applyProtection="1">
      <alignment horizontal="right" vertical="center" wrapText="1"/>
      <protection locked="0"/>
    </xf>
    <xf numFmtId="165" fontId="13" fillId="0" borderId="7" xfId="4" applyNumberFormat="1" applyFont="1" applyFill="1" applyBorder="1" applyAlignment="1" applyProtection="1">
      <alignment horizontal="right" vertical="center" wrapText="1"/>
    </xf>
    <xf numFmtId="165" fontId="13" fillId="0" borderId="27" xfId="4" applyNumberFormat="1" applyFont="1" applyFill="1" applyBorder="1" applyAlignment="1" applyProtection="1">
      <alignment horizontal="right" vertical="center" wrapText="1" indent="1"/>
    </xf>
    <xf numFmtId="165" fontId="23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50" xfId="4" applyNumberFormat="1" applyFont="1" applyFill="1" applyBorder="1" applyAlignment="1" applyProtection="1">
      <alignment horizontal="right" vertical="center" wrapText="1" indent="1"/>
    </xf>
    <xf numFmtId="165" fontId="23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8" xfId="4" applyNumberFormat="1" applyFont="1" applyFill="1" applyBorder="1" applyAlignment="1" applyProtection="1">
      <alignment horizontal="right" vertical="center" wrapText="1" indent="1"/>
    </xf>
    <xf numFmtId="165" fontId="34" fillId="0" borderId="8" xfId="4" applyNumberFormat="1" applyFont="1" applyFill="1" applyBorder="1" applyAlignment="1" applyProtection="1">
      <alignment horizontal="right" vertical="center" wrapText="1" indent="1"/>
    </xf>
    <xf numFmtId="165" fontId="36" fillId="0" borderId="8" xfId="0" applyNumberFormat="1" applyFont="1" applyBorder="1" applyAlignment="1" applyProtection="1">
      <alignment horizontal="right" vertical="center" wrapText="1" indent="1"/>
    </xf>
    <xf numFmtId="165" fontId="36" fillId="0" borderId="8" xfId="0" applyNumberFormat="1" applyFont="1" applyBorder="1" applyAlignment="1" applyProtection="1">
      <alignment horizontal="right" vertical="center" wrapText="1" indent="1"/>
      <protection locked="0"/>
    </xf>
    <xf numFmtId="165" fontId="36" fillId="0" borderId="8" xfId="0" quotePrefix="1" applyNumberFormat="1" applyFont="1" applyBorder="1" applyAlignment="1" applyProtection="1">
      <alignment horizontal="right" vertical="center" wrapText="1" indent="1"/>
    </xf>
    <xf numFmtId="165" fontId="36" fillId="0" borderId="7" xfId="0" quotePrefix="1" applyNumberFormat="1" applyFont="1" applyBorder="1" applyAlignment="1" applyProtection="1">
      <alignment horizontal="right" vertical="center" wrapText="1" indent="1"/>
    </xf>
    <xf numFmtId="49" fontId="10" fillId="0" borderId="29" xfId="0" applyNumberFormat="1" applyFont="1" applyBorder="1" applyAlignment="1">
      <alignment horizontal="right" vertical="center"/>
    </xf>
    <xf numFmtId="49" fontId="10" fillId="0" borderId="36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165" fontId="10" fillId="0" borderId="34" xfId="0" applyNumberFormat="1" applyFont="1" applyBorder="1" applyAlignment="1">
      <alignment horizontal="center" vertical="center" wrapText="1"/>
    </xf>
    <xf numFmtId="165" fontId="15" fillId="0" borderId="8" xfId="0" applyNumberFormat="1" applyFont="1" applyBorder="1" applyAlignment="1">
      <alignment horizontal="right" vertical="center" wrapText="1" indent="1"/>
    </xf>
    <xf numFmtId="165" fontId="17" fillId="0" borderId="29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15" fillId="0" borderId="8" xfId="0" applyNumberFormat="1" applyFont="1" applyBorder="1" applyAlignment="1" applyProtection="1">
      <alignment horizontal="right" vertical="center" wrapText="1" indent="1"/>
      <protection locked="0"/>
    </xf>
    <xf numFmtId="165" fontId="5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5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5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15" fillId="0" borderId="54" xfId="0" applyNumberFormat="1" applyFont="1" applyBorder="1" applyAlignment="1" applyProtection="1">
      <alignment horizontal="right" vertical="center" wrapText="1" indent="1"/>
      <protection locked="0"/>
    </xf>
    <xf numFmtId="165" fontId="15" fillId="0" borderId="54" xfId="0" applyNumberFormat="1" applyFont="1" applyBorder="1" applyAlignment="1">
      <alignment horizontal="right" vertical="center" wrapText="1" indent="1"/>
    </xf>
    <xf numFmtId="165" fontId="14" fillId="0" borderId="54" xfId="0" applyNumberFormat="1" applyFont="1" applyBorder="1" applyAlignment="1">
      <alignment horizontal="right" vertical="center" wrapText="1" indent="1"/>
    </xf>
    <xf numFmtId="165" fontId="14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right" vertical="center" wrapText="1" indent="1"/>
    </xf>
    <xf numFmtId="165" fontId="5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14" fillId="0" borderId="8" xfId="0" applyNumberFormat="1" applyFont="1" applyBorder="1" applyAlignment="1">
      <alignment horizontal="right" vertical="center" wrapText="1" indent="1"/>
    </xf>
    <xf numFmtId="3" fontId="13" fillId="0" borderId="8" xfId="0" applyNumberFormat="1" applyFont="1" applyBorder="1" applyAlignment="1" applyProtection="1">
      <alignment horizontal="right" vertical="center" wrapText="1" indent="1"/>
      <protection locked="0"/>
    </xf>
    <xf numFmtId="0" fontId="12" fillId="0" borderId="53" xfId="0" applyFont="1" applyFill="1" applyBorder="1" applyAlignment="1" applyProtection="1">
      <alignment horizontal="right"/>
    </xf>
    <xf numFmtId="0" fontId="14" fillId="0" borderId="27" xfId="4" applyFont="1" applyFill="1" applyBorder="1" applyAlignment="1" applyProtection="1">
      <alignment horizontal="center" vertical="center" wrapText="1"/>
    </xf>
    <xf numFmtId="165" fontId="11" fillId="0" borderId="0" xfId="4" applyNumberFormat="1" applyFont="1" applyFill="1" applyBorder="1" applyAlignment="1" applyProtection="1">
      <alignment horizontal="right" vertical="center" wrapText="1" indent="1"/>
    </xf>
    <xf numFmtId="0" fontId="14" fillId="0" borderId="8" xfId="4" applyFont="1" applyFill="1" applyBorder="1" applyAlignment="1" applyProtection="1">
      <alignment horizontal="center" vertical="center" wrapText="1"/>
    </xf>
    <xf numFmtId="165" fontId="14" fillId="0" borderId="50" xfId="4" applyNumberFormat="1" applyFont="1" applyFill="1" applyBorder="1" applyAlignment="1" applyProtection="1">
      <alignment horizontal="right" vertical="center" wrapText="1" indent="1"/>
    </xf>
    <xf numFmtId="165" fontId="19" fillId="0" borderId="8" xfId="0" applyNumberFormat="1" applyFont="1" applyBorder="1" applyAlignment="1" applyProtection="1">
      <alignment horizontal="right" vertical="center" wrapText="1" indent="1"/>
      <protection locked="0"/>
    </xf>
    <xf numFmtId="165" fontId="0" fillId="0" borderId="55" xfId="0" applyNumberFormat="1" applyFont="1" applyFill="1" applyBorder="1" applyAlignment="1" applyProtection="1">
      <alignment vertical="center" wrapText="1"/>
      <protection locked="0"/>
    </xf>
    <xf numFmtId="165" fontId="33" fillId="0" borderId="0" xfId="0" applyNumberFormat="1" applyFont="1" applyFill="1" applyAlignment="1" applyProtection="1">
      <alignment horizontal="right" wrapText="1"/>
    </xf>
    <xf numFmtId="165" fontId="33" fillId="0" borderId="0" xfId="0" applyNumberFormat="1" applyFont="1" applyFill="1" applyAlignment="1" applyProtection="1">
      <alignment horizontal="center" vertical="center" wrapText="1"/>
    </xf>
    <xf numFmtId="165" fontId="34" fillId="0" borderId="8" xfId="0" applyNumberFormat="1" applyFont="1" applyFill="1" applyBorder="1" applyAlignment="1" applyProtection="1">
      <alignment horizontal="center" vertical="center" wrapText="1"/>
    </xf>
    <xf numFmtId="165" fontId="34" fillId="0" borderId="42" xfId="0" applyNumberFormat="1" applyFont="1" applyFill="1" applyBorder="1" applyAlignment="1" applyProtection="1">
      <alignment horizontal="center" vertical="center" wrapText="1"/>
    </xf>
    <xf numFmtId="165" fontId="33" fillId="0" borderId="4" xfId="0" applyNumberFormat="1" applyFont="1" applyFill="1" applyBorder="1" applyAlignment="1" applyProtection="1">
      <alignment horizontal="center" vertical="center" wrapText="1"/>
    </xf>
    <xf numFmtId="165" fontId="33" fillId="0" borderId="7" xfId="0" applyNumberFormat="1" applyFont="1" applyFill="1" applyBorder="1" applyAlignment="1" applyProtection="1">
      <alignment horizontal="center" vertical="center" wrapText="1"/>
    </xf>
    <xf numFmtId="165" fontId="34" fillId="0" borderId="26" xfId="0" applyNumberFormat="1" applyFont="1" applyFill="1" applyBorder="1" applyAlignment="1" applyProtection="1">
      <alignment horizontal="center" vertical="center" wrapText="1"/>
    </xf>
    <xf numFmtId="165" fontId="34" fillId="0" borderId="50" xfId="0" applyNumberFormat="1" applyFont="1" applyFill="1" applyBorder="1" applyAlignment="1" applyProtection="1">
      <alignment horizontal="center" vertical="center" wrapText="1"/>
    </xf>
    <xf numFmtId="165" fontId="34" fillId="0" borderId="56" xfId="0" applyNumberFormat="1" applyFont="1" applyFill="1" applyBorder="1" applyAlignment="1" applyProtection="1">
      <alignment horizontal="center" vertical="center" wrapText="1"/>
    </xf>
    <xf numFmtId="165" fontId="34" fillId="0" borderId="57" xfId="0" applyNumberFormat="1" applyFont="1" applyFill="1" applyBorder="1" applyAlignment="1" applyProtection="1">
      <alignment horizontal="center" vertical="center" wrapText="1"/>
    </xf>
    <xf numFmtId="165" fontId="0" fillId="0" borderId="11" xfId="0" applyNumberFormat="1" applyFont="1" applyFill="1" applyBorder="1" applyAlignment="1" applyProtection="1">
      <alignment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34" fillId="0" borderId="7" xfId="0" applyNumberFormat="1" applyFont="1" applyFill="1" applyBorder="1" applyAlignment="1" applyProtection="1">
      <alignment vertical="center" wrapText="1"/>
    </xf>
    <xf numFmtId="167" fontId="13" fillId="0" borderId="23" xfId="4" applyNumberFormat="1" applyFont="1" applyFill="1" applyBorder="1" applyAlignment="1">
      <alignment horizontal="center" vertical="center" wrapText="1"/>
    </xf>
    <xf numFmtId="0" fontId="23" fillId="0" borderId="8" xfId="4" applyFont="1" applyFill="1" applyBorder="1" applyAlignment="1">
      <alignment horizontal="center" vertical="center"/>
    </xf>
    <xf numFmtId="166" fontId="23" fillId="0" borderId="13" xfId="1" applyNumberFormat="1" applyFont="1" applyFill="1" applyBorder="1" applyProtection="1">
      <protection locked="0"/>
    </xf>
    <xf numFmtId="166" fontId="23" fillId="0" borderId="14" xfId="1" applyNumberFormat="1" applyFont="1" applyFill="1" applyBorder="1"/>
    <xf numFmtId="166" fontId="23" fillId="0" borderId="11" xfId="1" applyNumberFormat="1" applyFont="1" applyFill="1" applyBorder="1" applyProtection="1">
      <protection locked="0"/>
    </xf>
    <xf numFmtId="166" fontId="23" fillId="0" borderId="17" xfId="1" applyNumberFormat="1" applyFont="1" applyFill="1" applyBorder="1"/>
    <xf numFmtId="166" fontId="23" fillId="0" borderId="23" xfId="1" applyNumberFormat="1" applyFont="1" applyFill="1" applyBorder="1" applyProtection="1">
      <protection locked="0"/>
    </xf>
    <xf numFmtId="166" fontId="13" fillId="0" borderId="7" xfId="4" applyNumberFormat="1" applyFont="1" applyFill="1" applyBorder="1"/>
    <xf numFmtId="166" fontId="13" fillId="0" borderId="8" xfId="4" applyNumberFormat="1" applyFont="1" applyFill="1" applyBorder="1"/>
    <xf numFmtId="0" fontId="38" fillId="0" borderId="0" xfId="4" applyFont="1" applyFill="1"/>
    <xf numFmtId="0" fontId="44" fillId="0" borderId="0" xfId="0" applyFont="1" applyFill="1" applyBorder="1" applyAlignment="1" applyProtection="1">
      <alignment horizontal="right"/>
    </xf>
    <xf numFmtId="0" fontId="10" fillId="0" borderId="8" xfId="4" applyFont="1" applyFill="1" applyBorder="1" applyAlignment="1" applyProtection="1">
      <alignment horizontal="center" vertical="center" wrapText="1"/>
    </xf>
    <xf numFmtId="0" fontId="5" fillId="0" borderId="8" xfId="4" applyFont="1" applyFill="1" applyBorder="1" applyAlignment="1" applyProtection="1">
      <alignment horizontal="center" vertical="center"/>
    </xf>
    <xf numFmtId="166" fontId="5" fillId="0" borderId="58" xfId="1" applyNumberFormat="1" applyFont="1" applyFill="1" applyBorder="1" applyProtection="1">
      <protection locked="0"/>
    </xf>
    <xf numFmtId="166" fontId="5" fillId="0" borderId="33" xfId="1" applyNumberFormat="1" applyFont="1" applyFill="1" applyBorder="1" applyProtection="1">
      <protection locked="0"/>
    </xf>
    <xf numFmtId="166" fontId="5" fillId="0" borderId="34" xfId="1" applyNumberFormat="1" applyFont="1" applyFill="1" applyBorder="1" applyProtection="1">
      <protection locked="0"/>
    </xf>
    <xf numFmtId="166" fontId="15" fillId="0" borderId="8" xfId="1" applyNumberFormat="1" applyFont="1" applyFill="1" applyBorder="1" applyProtection="1"/>
    <xf numFmtId="3" fontId="2" fillId="0" borderId="11" xfId="0" applyNumberFormat="1" applyFont="1" applyFill="1" applyBorder="1" applyAlignment="1" applyProtection="1">
      <alignment vertical="center" wrapText="1"/>
      <protection locked="0"/>
    </xf>
    <xf numFmtId="3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5" xfId="0" applyNumberFormat="1" applyFont="1" applyFill="1" applyBorder="1" applyAlignment="1" applyProtection="1">
      <alignment vertical="center" wrapText="1"/>
    </xf>
    <xf numFmtId="3" fontId="2" fillId="0" borderId="55" xfId="0" applyNumberFormat="1" applyFont="1" applyFill="1" applyBorder="1" applyAlignment="1" applyProtection="1">
      <alignment vertical="center" wrapText="1"/>
      <protection locked="0"/>
    </xf>
    <xf numFmtId="3" fontId="2" fillId="0" borderId="17" xfId="0" applyNumberFormat="1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vertical="center" wrapText="1"/>
      <protection locked="0"/>
    </xf>
    <xf numFmtId="3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7" xfId="0" applyNumberFormat="1" applyFont="1" applyFill="1" applyBorder="1" applyAlignment="1" applyProtection="1">
      <alignment vertical="center" wrapText="1"/>
    </xf>
    <xf numFmtId="3" fontId="7" fillId="0" borderId="55" xfId="0" applyNumberFormat="1" applyFont="1" applyFill="1" applyBorder="1" applyAlignment="1" applyProtection="1">
      <alignment vertical="center" wrapText="1"/>
      <protection locked="0"/>
    </xf>
    <xf numFmtId="3" fontId="7" fillId="0" borderId="0" xfId="0" applyNumberFormat="1" applyFont="1" applyFill="1" applyAlignment="1" applyProtection="1">
      <alignment horizontal="right" wrapText="1"/>
    </xf>
    <xf numFmtId="3" fontId="6" fillId="0" borderId="7" xfId="0" applyNumberFormat="1" applyFont="1" applyFill="1" applyBorder="1" applyAlignment="1" applyProtection="1">
      <alignment horizontal="center" vertical="center" wrapText="1"/>
    </xf>
    <xf numFmtId="3" fontId="6" fillId="0" borderId="8" xfId="0" applyNumberFormat="1" applyFont="1" applyFill="1" applyBorder="1" applyAlignment="1" applyProtection="1">
      <alignment horizontal="center" vertical="center" wrapText="1"/>
    </xf>
    <xf numFmtId="3" fontId="6" fillId="0" borderId="42" xfId="0" applyNumberFormat="1" applyFont="1" applyFill="1" applyBorder="1" applyAlignment="1" applyProtection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Fill="1" applyBorder="1" applyAlignment="1" applyProtection="1">
      <alignment horizontal="center" vertical="center" wrapText="1"/>
    </xf>
    <xf numFmtId="3" fontId="6" fillId="0" borderId="26" xfId="0" applyNumberFormat="1" applyFont="1" applyFill="1" applyBorder="1" applyAlignment="1" applyProtection="1">
      <alignment horizontal="center" vertical="center" wrapText="1"/>
    </xf>
    <xf numFmtId="3" fontId="6" fillId="0" borderId="50" xfId="0" applyNumberFormat="1" applyFont="1" applyFill="1" applyBorder="1" applyAlignment="1" applyProtection="1">
      <alignment horizontal="center" vertical="center" wrapText="1"/>
    </xf>
    <xf numFmtId="3" fontId="6" fillId="0" borderId="57" xfId="0" applyNumberFormat="1" applyFont="1" applyFill="1" applyBorder="1" applyAlignment="1" applyProtection="1">
      <alignment horizontal="center" vertical="center" wrapText="1"/>
    </xf>
    <xf numFmtId="3" fontId="6" fillId="0" borderId="7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Alignment="1" applyProtection="1">
      <alignment horizontal="right" vertical="center"/>
    </xf>
    <xf numFmtId="165" fontId="31" fillId="0" borderId="7" xfId="0" applyNumberFormat="1" applyFont="1" applyFill="1" applyBorder="1" applyAlignment="1" applyProtection="1">
      <alignment horizontal="centerContinuous" vertical="center" wrapText="1"/>
    </xf>
    <xf numFmtId="165" fontId="31" fillId="0" borderId="8" xfId="0" applyNumberFormat="1" applyFont="1" applyFill="1" applyBorder="1" applyAlignment="1" applyProtection="1">
      <alignment horizontal="centerContinuous" vertical="center" wrapText="1"/>
    </xf>
    <xf numFmtId="0" fontId="31" fillId="0" borderId="8" xfId="4" applyFont="1" applyFill="1" applyBorder="1" applyAlignment="1" applyProtection="1">
      <alignment horizontal="center" vertical="center" wrapText="1"/>
    </xf>
    <xf numFmtId="165" fontId="15" fillId="0" borderId="7" xfId="0" applyNumberFormat="1" applyFont="1" applyFill="1" applyBorder="1" applyAlignment="1" applyProtection="1">
      <alignment horizontal="center" vertical="center" wrapText="1"/>
    </xf>
    <xf numFmtId="165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right" vertical="center" wrapText="1" indent="1"/>
    </xf>
    <xf numFmtId="165" fontId="15" fillId="0" borderId="8" xfId="0" applyNumberFormat="1" applyFont="1" applyFill="1" applyBorder="1" applyAlignment="1" applyProtection="1">
      <alignment horizontal="right" vertical="center" wrapText="1" indent="1"/>
    </xf>
    <xf numFmtId="165" fontId="35" fillId="0" borderId="11" xfId="0" applyNumberFormat="1" applyFont="1" applyFill="1" applyBorder="1" applyAlignment="1" applyProtection="1">
      <alignment horizontal="right" vertical="center" wrapText="1" indent="1"/>
    </xf>
    <xf numFmtId="165" fontId="34" fillId="0" borderId="54" xfId="0" applyNumberFormat="1" applyFont="1" applyFill="1" applyBorder="1" applyAlignment="1" applyProtection="1">
      <alignment horizontal="right" vertical="center" wrapText="1" indent="1"/>
    </xf>
    <xf numFmtId="165" fontId="35" fillId="0" borderId="12" xfId="0" applyNumberFormat="1" applyFont="1" applyFill="1" applyBorder="1" applyAlignment="1" applyProtection="1">
      <alignment horizontal="right" vertical="center" wrapText="1" indent="1"/>
    </xf>
    <xf numFmtId="165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4" applyFont="1" applyFill="1" applyAlignment="1" applyProtection="1">
      <alignment horizontal="right"/>
    </xf>
    <xf numFmtId="165" fontId="33" fillId="0" borderId="53" xfId="4" applyNumberFormat="1" applyFont="1" applyFill="1" applyBorder="1" applyAlignment="1" applyProtection="1">
      <alignment horizontal="left" vertical="center"/>
    </xf>
    <xf numFmtId="0" fontId="27" fillId="0" borderId="0" xfId="4" applyFont="1" applyFill="1" applyAlignment="1" applyProtection="1">
      <alignment horizontal="right" vertical="center" indent="1"/>
    </xf>
    <xf numFmtId="165" fontId="23" fillId="0" borderId="13" xfId="4" applyNumberFormat="1" applyFont="1" applyFill="1" applyBorder="1" applyAlignment="1" applyProtection="1">
      <alignment horizontal="right" vertical="center" wrapText="1"/>
      <protection locked="0"/>
    </xf>
    <xf numFmtId="165" fontId="23" fillId="0" borderId="11" xfId="4" applyNumberFormat="1" applyFont="1" applyFill="1" applyBorder="1" applyAlignment="1" applyProtection="1">
      <alignment horizontal="right" vertical="center" wrapText="1"/>
      <protection locked="0"/>
    </xf>
    <xf numFmtId="165" fontId="23" fillId="0" borderId="23" xfId="4" applyNumberFormat="1" applyFont="1" applyFill="1" applyBorder="1" applyAlignment="1" applyProtection="1">
      <alignment horizontal="right" vertical="center" wrapText="1"/>
      <protection locked="0"/>
    </xf>
    <xf numFmtId="165" fontId="23" fillId="0" borderId="13" xfId="4" applyNumberFormat="1" applyFont="1" applyFill="1" applyBorder="1" applyAlignment="1" applyProtection="1">
      <alignment horizontal="right" vertical="center" wrapText="1"/>
    </xf>
    <xf numFmtId="165" fontId="13" fillId="0" borderId="7" xfId="4" applyNumberFormat="1" applyFont="1" applyFill="1" applyBorder="1" applyAlignment="1" applyProtection="1">
      <alignment horizontal="right" vertical="center" wrapText="1"/>
      <protection locked="0"/>
    </xf>
    <xf numFmtId="165" fontId="13" fillId="0" borderId="5" xfId="4" applyNumberFormat="1" applyFont="1" applyFill="1" applyBorder="1" applyAlignment="1" applyProtection="1">
      <alignment horizontal="right" vertical="center" wrapText="1" indent="1"/>
    </xf>
    <xf numFmtId="165" fontId="23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4" applyNumberFormat="1" applyFont="1" applyFill="1" applyBorder="1" applyAlignment="1" applyProtection="1">
      <alignment horizontal="right" vertical="center" wrapText="1" indent="1"/>
    </xf>
    <xf numFmtId="165" fontId="23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7" xfId="4" applyNumberFormat="1" applyFont="1" applyFill="1" applyBorder="1" applyAlignment="1" applyProtection="1">
      <alignment horizontal="right" vertical="center" wrapText="1" indent="1"/>
    </xf>
    <xf numFmtId="165" fontId="34" fillId="0" borderId="7" xfId="4" applyNumberFormat="1" applyFont="1" applyFill="1" applyBorder="1" applyAlignment="1" applyProtection="1">
      <alignment horizontal="right" vertical="center" wrapText="1" indent="1"/>
    </xf>
    <xf numFmtId="165" fontId="36" fillId="0" borderId="7" xfId="0" applyNumberFormat="1" applyFont="1" applyBorder="1" applyAlignment="1" applyProtection="1">
      <alignment horizontal="right" vertical="center" wrapText="1" indent="1"/>
    </xf>
    <xf numFmtId="165" fontId="36" fillId="0" borderId="7" xfId="0" applyNumberFormat="1" applyFont="1" applyBorder="1" applyAlignment="1" applyProtection="1">
      <alignment horizontal="right" vertical="center" wrapText="1" indent="1"/>
      <protection locked="0"/>
    </xf>
    <xf numFmtId="0" fontId="13" fillId="0" borderId="18" xfId="4" applyFont="1" applyFill="1" applyBorder="1" applyAlignment="1" applyProtection="1">
      <alignment horizontal="center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165" fontId="6" fillId="0" borderId="0" xfId="0" applyNumberFormat="1" applyFont="1" applyFill="1" applyAlignment="1" applyProtection="1">
      <alignment horizontal="center" vertical="center" wrapText="1"/>
    </xf>
    <xf numFmtId="165" fontId="34" fillId="0" borderId="21" xfId="0" applyNumberFormat="1" applyFont="1" applyFill="1" applyBorder="1" applyAlignment="1" applyProtection="1">
      <alignment vertical="center" wrapText="1"/>
      <protection locked="0"/>
    </xf>
    <xf numFmtId="165" fontId="34" fillId="0" borderId="11" xfId="0" applyNumberFormat="1" applyFont="1" applyFill="1" applyBorder="1" applyAlignment="1" applyProtection="1">
      <alignment vertical="center" wrapText="1"/>
      <protection locked="0"/>
    </xf>
    <xf numFmtId="165" fontId="34" fillId="0" borderId="0" xfId="0" applyNumberFormat="1" applyFont="1" applyFill="1" applyAlignment="1" applyProtection="1">
      <alignment vertical="center" wrapText="1"/>
    </xf>
    <xf numFmtId="165" fontId="33" fillId="0" borderId="7" xfId="0" applyNumberFormat="1" applyFont="1" applyFill="1" applyBorder="1" applyAlignment="1" applyProtection="1">
      <alignment vertical="center" wrapText="1"/>
    </xf>
    <xf numFmtId="3" fontId="27" fillId="0" borderId="0" xfId="0" applyNumberFormat="1" applyFont="1" applyFill="1" applyAlignment="1" applyProtection="1">
      <alignment horizontal="center" vertical="center" wrapText="1"/>
    </xf>
    <xf numFmtId="3" fontId="2" fillId="0" borderId="56" xfId="0" applyNumberFormat="1" applyFont="1" applyFill="1" applyBorder="1" applyAlignment="1" applyProtection="1">
      <alignment horizontal="center" vertical="center" wrapText="1"/>
    </xf>
    <xf numFmtId="3" fontId="27" fillId="0" borderId="55" xfId="0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Fill="1" applyAlignment="1" applyProtection="1">
      <alignment vertical="center" wrapText="1"/>
    </xf>
    <xf numFmtId="3" fontId="6" fillId="0" borderId="11" xfId="0" applyNumberFormat="1" applyFont="1" applyFill="1" applyBorder="1" applyAlignment="1" applyProtection="1">
      <alignment vertical="center" wrapText="1"/>
      <protection locked="0"/>
    </xf>
    <xf numFmtId="3" fontId="6" fillId="0" borderId="55" xfId="0" applyNumberFormat="1" applyFont="1" applyFill="1" applyBorder="1" applyAlignment="1" applyProtection="1">
      <alignment vertical="center" wrapText="1"/>
      <protection locked="0"/>
    </xf>
    <xf numFmtId="165" fontId="2" fillId="0" borderId="0" xfId="0" applyNumberFormat="1" applyFont="1" applyFill="1" applyAlignment="1" applyProtection="1">
      <alignment vertical="center" wrapText="1"/>
    </xf>
    <xf numFmtId="49" fontId="27" fillId="0" borderId="0" xfId="0" applyNumberFormat="1" applyFont="1" applyFill="1" applyAlignment="1" applyProtection="1">
      <alignment horizontal="center" vertical="center"/>
    </xf>
    <xf numFmtId="165" fontId="2" fillId="0" borderId="0" xfId="0" applyNumberFormat="1" applyFont="1" applyFill="1" applyAlignment="1" applyProtection="1">
      <alignment horizontal="centerContinuous" vertical="center"/>
    </xf>
    <xf numFmtId="165" fontId="2" fillId="0" borderId="0" xfId="0" applyNumberFormat="1" applyFont="1" applyFill="1" applyAlignment="1" applyProtection="1">
      <alignment horizontal="center" vertical="center" wrapText="1"/>
    </xf>
    <xf numFmtId="165" fontId="7" fillId="0" borderId="0" xfId="0" applyNumberFormat="1" applyFont="1" applyFill="1" applyAlignment="1" applyProtection="1">
      <alignment horizontal="right" vertical="center"/>
    </xf>
    <xf numFmtId="165" fontId="6" fillId="0" borderId="6" xfId="0" applyNumberFormat="1" applyFont="1" applyFill="1" applyBorder="1" applyAlignment="1" applyProtection="1">
      <alignment horizontal="centerContinuous" vertical="center" wrapText="1"/>
    </xf>
    <xf numFmtId="165" fontId="6" fillId="0" borderId="7" xfId="0" applyNumberFormat="1" applyFont="1" applyFill="1" applyBorder="1" applyAlignment="1" applyProtection="1">
      <alignment horizontal="centerContinuous" vertical="center" wrapText="1"/>
    </xf>
    <xf numFmtId="165" fontId="6" fillId="0" borderId="8" xfId="0" applyNumberFormat="1" applyFont="1" applyFill="1" applyBorder="1" applyAlignment="1" applyProtection="1">
      <alignment horizontal="centerContinuous" vertical="center" wrapText="1"/>
    </xf>
    <xf numFmtId="165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8" xfId="4" applyFont="1" applyFill="1" applyBorder="1" applyAlignment="1" applyProtection="1">
      <alignment horizontal="center" vertical="center" wrapText="1"/>
    </xf>
    <xf numFmtId="165" fontId="6" fillId="0" borderId="37" xfId="0" applyNumberFormat="1" applyFont="1" applyFill="1" applyBorder="1" applyAlignment="1" applyProtection="1">
      <alignment horizontal="center" vertical="center" wrapText="1"/>
    </xf>
    <xf numFmtId="165" fontId="6" fillId="0" borderId="7" xfId="0" applyNumberFormat="1" applyFont="1" applyFill="1" applyBorder="1" applyAlignment="1" applyProtection="1">
      <alignment horizontal="center" vertical="center" wrapText="1"/>
    </xf>
    <xf numFmtId="165" fontId="6" fillId="0" borderId="8" xfId="0" applyNumberFormat="1" applyFont="1" applyFill="1" applyBorder="1" applyAlignment="1" applyProtection="1">
      <alignment horizontal="center" vertical="center" wrapText="1"/>
    </xf>
    <xf numFmtId="165" fontId="2" fillId="0" borderId="46" xfId="0" applyNumberFormat="1" applyFont="1" applyFill="1" applyBorder="1" applyAlignment="1" applyProtection="1">
      <alignment horizontal="left" vertical="center" wrapText="1" indent="1"/>
    </xf>
    <xf numFmtId="165" fontId="2" fillId="0" borderId="20" xfId="0" applyNumberFormat="1" applyFont="1" applyFill="1" applyBorder="1" applyAlignment="1" applyProtection="1">
      <alignment horizontal="left" vertical="center" wrapText="1" indent="1"/>
    </xf>
    <xf numFmtId="165" fontId="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44" xfId="0" applyNumberFormat="1" applyFont="1" applyFill="1" applyBorder="1" applyAlignment="1" applyProtection="1">
      <alignment horizontal="left" vertical="center" wrapText="1" indent="1"/>
    </xf>
    <xf numFmtId="165" fontId="2" fillId="0" borderId="21" xfId="0" applyNumberFormat="1" applyFont="1" applyFill="1" applyBorder="1" applyAlignment="1" applyProtection="1">
      <alignment horizontal="left" vertical="center" wrapText="1" indent="1"/>
    </xf>
    <xf numFmtId="165" fontId="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21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5" fontId="2" fillId="0" borderId="21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" fillId="0" borderId="43" xfId="0" applyNumberFormat="1" applyFont="1" applyFill="1" applyBorder="1" applyAlignment="1" applyProtection="1">
      <alignment horizontal="left" vertical="center" wrapText="1" indent="1"/>
    </xf>
    <xf numFmtId="165" fontId="2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5" fontId="2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31" xfId="0" applyNumberFormat="1" applyFont="1" applyFill="1" applyBorder="1" applyAlignment="1" applyProtection="1">
      <alignment horizontal="left" vertical="center" wrapText="1" indent="1"/>
    </xf>
    <xf numFmtId="165" fontId="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37" xfId="0" applyNumberFormat="1" applyFont="1" applyFill="1" applyBorder="1" applyAlignment="1" applyProtection="1">
      <alignment horizontal="left" vertical="center" wrapText="1" indent="1"/>
    </xf>
    <xf numFmtId="165" fontId="6" fillId="0" borderId="6" xfId="0" applyNumberFormat="1" applyFont="1" applyFill="1" applyBorder="1" applyAlignment="1" applyProtection="1">
      <alignment horizontal="left" vertical="center" wrapText="1" indent="1"/>
    </xf>
    <xf numFmtId="165" fontId="6" fillId="0" borderId="7" xfId="0" applyNumberFormat="1" applyFont="1" applyFill="1" applyBorder="1" applyAlignment="1" applyProtection="1">
      <alignment horizontal="right" vertical="center" wrapText="1" indent="1"/>
    </xf>
    <xf numFmtId="165" fontId="6" fillId="0" borderId="8" xfId="0" applyNumberFormat="1" applyFont="1" applyFill="1" applyBorder="1" applyAlignment="1" applyProtection="1">
      <alignment horizontal="right" vertical="center" wrapText="1" indent="1"/>
    </xf>
    <xf numFmtId="165" fontId="27" fillId="0" borderId="31" xfId="0" applyNumberFormat="1" applyFont="1" applyFill="1" applyBorder="1" applyAlignment="1" applyProtection="1">
      <alignment horizontal="left" vertical="center" wrapText="1" indent="1"/>
    </xf>
    <xf numFmtId="165" fontId="27" fillId="0" borderId="13" xfId="0" applyNumberFormat="1" applyFont="1" applyFill="1" applyBorder="1" applyAlignment="1" applyProtection="1">
      <alignment horizontal="right" vertical="center" wrapText="1" indent="1"/>
    </xf>
    <xf numFmtId="165" fontId="2" fillId="0" borderId="21" xfId="0" applyNumberFormat="1" applyFont="1" applyFill="1" applyBorder="1" applyAlignment="1" applyProtection="1">
      <alignment horizontal="left" vertical="center" wrapText="1" indent="2"/>
    </xf>
    <xf numFmtId="165" fontId="2" fillId="0" borderId="11" xfId="0" applyNumberFormat="1" applyFont="1" applyFill="1" applyBorder="1" applyAlignment="1" applyProtection="1">
      <alignment horizontal="left" vertical="center" wrapText="1" indent="2"/>
    </xf>
    <xf numFmtId="165" fontId="27" fillId="0" borderId="11" xfId="0" applyNumberFormat="1" applyFont="1" applyFill="1" applyBorder="1" applyAlignment="1" applyProtection="1">
      <alignment horizontal="left" vertical="center" wrapText="1" indent="1"/>
    </xf>
    <xf numFmtId="165" fontId="27" fillId="0" borderId="11" xfId="0" applyNumberFormat="1" applyFont="1" applyFill="1" applyBorder="1" applyAlignment="1" applyProtection="1">
      <alignment horizontal="right" vertical="center" wrapText="1" indent="1"/>
    </xf>
    <xf numFmtId="165" fontId="2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5" fontId="2" fillId="0" borderId="20" xfId="0" applyNumberFormat="1" applyFont="1" applyFill="1" applyBorder="1" applyAlignment="1" applyProtection="1">
      <alignment horizontal="left" vertical="center" wrapText="1" indent="2"/>
    </xf>
    <xf numFmtId="165" fontId="2" fillId="0" borderId="22" xfId="0" applyNumberFormat="1" applyFont="1" applyFill="1" applyBorder="1" applyAlignment="1" applyProtection="1">
      <alignment horizontal="left" vertical="center" wrapText="1" indent="2"/>
    </xf>
    <xf numFmtId="165" fontId="6" fillId="0" borderId="54" xfId="0" applyNumberFormat="1" applyFont="1" applyFill="1" applyBorder="1" applyAlignment="1" applyProtection="1">
      <alignment horizontal="right" vertical="center" wrapText="1" indent="1"/>
    </xf>
    <xf numFmtId="0" fontId="42" fillId="0" borderId="0" xfId="0" applyFont="1" applyAlignment="1" applyProtection="1">
      <alignment horizontal="right" vertical="top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9" xfId="0" quotePrefix="1" applyFont="1" applyFill="1" applyBorder="1" applyAlignment="1" applyProtection="1">
      <alignment horizontal="right" vertical="center" indent="1"/>
    </xf>
    <xf numFmtId="0" fontId="11" fillId="0" borderId="35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49" fontId="11" fillId="0" borderId="36" xfId="0" applyNumberFormat="1" applyFont="1" applyFill="1" applyBorder="1" applyAlignment="1" applyProtection="1">
      <alignment horizontal="right" vertical="center" indent="1"/>
    </xf>
    <xf numFmtId="0" fontId="11" fillId="0" borderId="0" xfId="0" applyFont="1" applyFill="1" applyAlignment="1" applyProtection="1">
      <alignment vertical="center"/>
    </xf>
    <xf numFmtId="0" fontId="45" fillId="0" borderId="0" xfId="0" applyFont="1" applyFill="1" applyAlignment="1" applyProtection="1">
      <alignment horizontal="right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165" fontId="11" fillId="0" borderId="34" xfId="0" applyNumberFormat="1" applyFont="1" applyFill="1" applyBorder="1" applyAlignment="1" applyProtection="1">
      <alignment horizontal="right" vertical="center" wrapText="1" indent="1"/>
    </xf>
    <xf numFmtId="0" fontId="11" fillId="0" borderId="6" xfId="4" applyFont="1" applyFill="1" applyBorder="1" applyAlignment="1" applyProtection="1">
      <alignment horizontal="left" vertical="center" wrapText="1" indent="1"/>
    </xf>
    <xf numFmtId="0" fontId="11" fillId="0" borderId="7" xfId="4" applyFont="1" applyFill="1" applyBorder="1" applyAlignment="1" applyProtection="1">
      <alignment horizontal="left" vertical="center" wrapText="1" indent="1"/>
    </xf>
    <xf numFmtId="165" fontId="11" fillId="0" borderId="8" xfId="4" applyNumberFormat="1" applyFont="1" applyFill="1" applyBorder="1" applyAlignment="1" applyProtection="1">
      <alignment horizontal="right" vertical="center" wrapText="1" indent="1"/>
    </xf>
    <xf numFmtId="0" fontId="8" fillId="0" borderId="0" xfId="4" applyFont="1" applyFill="1" applyProtection="1"/>
    <xf numFmtId="49" fontId="8" fillId="0" borderId="20" xfId="4" applyNumberFormat="1" applyFont="1" applyFill="1" applyBorder="1" applyAlignment="1" applyProtection="1">
      <alignment horizontal="left" vertical="center" wrapText="1" indent="1"/>
    </xf>
    <xf numFmtId="0" fontId="41" fillId="0" borderId="13" xfId="0" applyFont="1" applyBorder="1" applyAlignment="1" applyProtection="1">
      <alignment horizontal="left" wrapText="1" indent="1"/>
    </xf>
    <xf numFmtId="165" fontId="8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1" xfId="4" applyNumberFormat="1" applyFont="1" applyFill="1" applyBorder="1" applyAlignment="1" applyProtection="1">
      <alignment horizontal="left" vertical="center" wrapText="1" indent="1"/>
    </xf>
    <xf numFmtId="0" fontId="41" fillId="0" borderId="11" xfId="0" applyFont="1" applyBorder="1" applyAlignment="1" applyProtection="1">
      <alignment horizontal="left" wrapText="1" indent="1"/>
    </xf>
    <xf numFmtId="165" fontId="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11" xfId="0" applyFont="1" applyBorder="1" applyAlignment="1" applyProtection="1">
      <alignment horizontal="left" vertical="center" wrapText="1" indent="1"/>
    </xf>
    <xf numFmtId="49" fontId="8" fillId="0" borderId="22" xfId="4" applyNumberFormat="1" applyFont="1" applyFill="1" applyBorder="1" applyAlignment="1" applyProtection="1">
      <alignment horizontal="left" vertical="center" wrapText="1" indent="1"/>
    </xf>
    <xf numFmtId="0" fontId="41" fillId="0" borderId="23" xfId="0" applyFont="1" applyBorder="1" applyAlignment="1" applyProtection="1">
      <alignment horizontal="left" vertical="center" wrapText="1" indent="1"/>
    </xf>
    <xf numFmtId="0" fontId="39" fillId="0" borderId="7" xfId="0" applyFont="1" applyBorder="1" applyAlignment="1" applyProtection="1">
      <alignment horizontal="left" vertical="center" wrapText="1" indent="1"/>
    </xf>
    <xf numFmtId="165" fontId="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23" xfId="0" applyFont="1" applyBorder="1" applyAlignment="1" applyProtection="1">
      <alignment horizontal="left" wrapText="1" indent="1"/>
    </xf>
    <xf numFmtId="165" fontId="6" fillId="0" borderId="8" xfId="4" applyNumberFormat="1" applyFont="1" applyFill="1" applyBorder="1" applyAlignment="1" applyProtection="1">
      <alignment horizontal="right" vertical="center" wrapText="1" indent="1"/>
    </xf>
    <xf numFmtId="165" fontId="8" fillId="0" borderId="14" xfId="4" applyNumberFormat="1" applyFont="1" applyFill="1" applyBorder="1" applyAlignment="1" applyProtection="1">
      <alignment horizontal="right" vertical="center" wrapText="1" indent="1"/>
    </xf>
    <xf numFmtId="0" fontId="41" fillId="0" borderId="11" xfId="0" quotePrefix="1" applyFont="1" applyBorder="1" applyAlignment="1" applyProtection="1">
      <alignment horizontal="left" wrapText="1" indent="1"/>
    </xf>
    <xf numFmtId="165" fontId="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6" xfId="4" applyFont="1" applyFill="1" applyBorder="1" applyAlignment="1" applyProtection="1">
      <alignment horizontal="left" vertical="center" wrapText="1"/>
    </xf>
    <xf numFmtId="0" fontId="39" fillId="0" borderId="6" xfId="0" applyFont="1" applyBorder="1" applyAlignment="1" applyProtection="1">
      <alignment vertical="center" wrapText="1"/>
    </xf>
    <xf numFmtId="0" fontId="41" fillId="0" borderId="23" xfId="0" applyFont="1" applyBorder="1" applyAlignment="1" applyProtection="1">
      <alignment vertical="center" wrapText="1"/>
    </xf>
    <xf numFmtId="0" fontId="41" fillId="0" borderId="20" xfId="0" applyFont="1" applyBorder="1" applyAlignment="1" applyProtection="1">
      <alignment wrapText="1"/>
    </xf>
    <xf numFmtId="0" fontId="41" fillId="0" borderId="21" xfId="0" applyFont="1" applyBorder="1" applyAlignment="1" applyProtection="1">
      <alignment wrapText="1"/>
    </xf>
    <xf numFmtId="0" fontId="41" fillId="0" borderId="22" xfId="0" applyFont="1" applyBorder="1" applyAlignment="1" applyProtection="1">
      <alignment wrapText="1"/>
    </xf>
    <xf numFmtId="165" fontId="11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7" xfId="0" applyFont="1" applyBorder="1" applyAlignment="1" applyProtection="1">
      <alignment wrapText="1"/>
    </xf>
    <xf numFmtId="0" fontId="39" fillId="0" borderId="25" xfId="0" applyFont="1" applyBorder="1" applyAlignment="1" applyProtection="1">
      <alignment vertical="center" wrapText="1"/>
    </xf>
    <xf numFmtId="0" fontId="39" fillId="0" borderId="26" xfId="0" applyFont="1" applyBorder="1" applyAlignment="1" applyProtection="1">
      <alignment wrapText="1"/>
    </xf>
    <xf numFmtId="0" fontId="45" fillId="0" borderId="53" xfId="0" applyFont="1" applyFill="1" applyBorder="1" applyAlignment="1" applyProtection="1">
      <alignment horizontal="right"/>
    </xf>
    <xf numFmtId="0" fontId="11" fillId="0" borderId="6" xfId="4" applyFont="1" applyFill="1" applyBorder="1" applyAlignment="1" applyProtection="1">
      <alignment horizontal="center" vertical="center" wrapText="1"/>
    </xf>
    <xf numFmtId="0" fontId="11" fillId="0" borderId="7" xfId="4" applyFont="1" applyFill="1" applyBorder="1" applyAlignment="1" applyProtection="1">
      <alignment horizontal="center" vertical="center" wrapText="1"/>
    </xf>
    <xf numFmtId="0" fontId="11" fillId="0" borderId="8" xfId="4" applyFont="1" applyFill="1" applyBorder="1" applyAlignment="1" applyProtection="1">
      <alignment horizontal="center" vertical="center" wrapText="1"/>
    </xf>
    <xf numFmtId="0" fontId="11" fillId="0" borderId="19" xfId="4" applyFont="1" applyFill="1" applyBorder="1" applyAlignment="1" applyProtection="1">
      <alignment horizontal="left" vertical="center" wrapText="1" indent="1"/>
    </xf>
    <xf numFmtId="0" fontId="11" fillId="0" borderId="5" xfId="4" applyFont="1" applyFill="1" applyBorder="1" applyAlignment="1" applyProtection="1">
      <alignment vertical="center" wrapText="1"/>
    </xf>
    <xf numFmtId="165" fontId="11" fillId="0" borderId="27" xfId="4" applyNumberFormat="1" applyFont="1" applyFill="1" applyBorder="1" applyAlignment="1" applyProtection="1">
      <alignment horizontal="right" vertical="center" wrapText="1" indent="1"/>
    </xf>
    <xf numFmtId="49" fontId="8" fillId="0" borderId="28" xfId="4" applyNumberFormat="1" applyFont="1" applyFill="1" applyBorder="1" applyAlignment="1" applyProtection="1">
      <alignment horizontal="left" vertical="center" wrapText="1" indent="1"/>
    </xf>
    <xf numFmtId="0" fontId="8" fillId="0" borderId="2" xfId="4" applyFont="1" applyFill="1" applyBorder="1" applyAlignment="1" applyProtection="1">
      <alignment horizontal="left" vertical="center" wrapText="1" indent="1"/>
    </xf>
    <xf numFmtId="165" fontId="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4" applyFont="1" applyFill="1" applyBorder="1" applyAlignment="1" applyProtection="1">
      <alignment horizontal="left" vertical="center" wrapText="1" indent="1"/>
    </xf>
    <xf numFmtId="0" fontId="8" fillId="0" borderId="30" xfId="4" applyFont="1" applyFill="1" applyBorder="1" applyAlignment="1" applyProtection="1">
      <alignment horizontal="left" vertical="center" wrapText="1" indent="1"/>
    </xf>
    <xf numFmtId="0" fontId="8" fillId="0" borderId="0" xfId="4" applyFont="1" applyFill="1" applyBorder="1" applyAlignment="1" applyProtection="1">
      <alignment horizontal="left" vertical="center" wrapText="1" indent="1"/>
    </xf>
    <xf numFmtId="0" fontId="8" fillId="0" borderId="23" xfId="4" applyFont="1" applyFill="1" applyBorder="1" applyAlignment="1" applyProtection="1">
      <alignment horizontal="left" vertical="center" wrapText="1" indent="6"/>
    </xf>
    <xf numFmtId="0" fontId="8" fillId="0" borderId="11" xfId="4" applyFont="1" applyFill="1" applyBorder="1" applyAlignment="1" applyProtection="1">
      <alignment horizontal="left" indent="6"/>
    </xf>
    <xf numFmtId="0" fontId="8" fillId="0" borderId="11" xfId="4" applyFont="1" applyFill="1" applyBorder="1" applyAlignment="1" applyProtection="1">
      <alignment horizontal="left" vertical="center" wrapText="1" indent="6"/>
    </xf>
    <xf numFmtId="49" fontId="8" fillId="0" borderId="31" xfId="4" applyNumberFormat="1" applyFont="1" applyFill="1" applyBorder="1" applyAlignment="1" applyProtection="1">
      <alignment horizontal="left" vertical="center" wrapText="1" indent="1"/>
    </xf>
    <xf numFmtId="0" fontId="8" fillId="0" borderId="11" xfId="4" applyFont="1" applyFill="1" applyBorder="1" applyAlignment="1" applyProtection="1">
      <alignment horizontal="left" vertical="center" wrapText="1" indent="7"/>
    </xf>
    <xf numFmtId="165" fontId="8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4" applyFont="1" applyFill="1" applyBorder="1" applyAlignment="1" applyProtection="1">
      <alignment vertical="center" wrapText="1"/>
    </xf>
    <xf numFmtId="165" fontId="11" fillId="0" borderId="50" xfId="4" applyNumberFormat="1" applyFont="1" applyFill="1" applyBorder="1" applyAlignment="1" applyProtection="1">
      <alignment horizontal="right" vertical="center" wrapText="1" indent="1"/>
    </xf>
    <xf numFmtId="0" fontId="8" fillId="0" borderId="23" xfId="4" applyFont="1" applyFill="1" applyBorder="1" applyAlignment="1" applyProtection="1">
      <alignment horizontal="left" vertical="center" wrapText="1" indent="1"/>
    </xf>
    <xf numFmtId="165" fontId="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4" applyFont="1" applyFill="1" applyBorder="1" applyAlignment="1" applyProtection="1">
      <alignment horizontal="left" vertical="center" wrapText="1" indent="6"/>
    </xf>
    <xf numFmtId="165" fontId="8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7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left" vertical="center" wrapText="1" indent="1"/>
    </xf>
    <xf numFmtId="0" fontId="8" fillId="0" borderId="12" xfId="4" applyFont="1" applyFill="1" applyBorder="1" applyAlignment="1" applyProtection="1">
      <alignment horizontal="left" vertical="center" wrapText="1" indent="1"/>
    </xf>
    <xf numFmtId="165" fontId="39" fillId="0" borderId="8" xfId="0" applyNumberFormat="1" applyFont="1" applyBorder="1" applyAlignment="1" applyProtection="1">
      <alignment horizontal="right" vertical="center" wrapText="1" indent="1"/>
    </xf>
    <xf numFmtId="165" fontId="39" fillId="0" borderId="8" xfId="0" applyNumberFormat="1" applyFont="1" applyBorder="1" applyAlignment="1" applyProtection="1">
      <alignment horizontal="right" vertical="center" wrapText="1" indent="1"/>
      <protection locked="0"/>
    </xf>
    <xf numFmtId="165" fontId="39" fillId="0" borderId="8" xfId="0" quotePrefix="1" applyNumberFormat="1" applyFont="1" applyBorder="1" applyAlignment="1" applyProtection="1">
      <alignment horizontal="right" vertical="center" wrapText="1" indent="1"/>
    </xf>
    <xf numFmtId="0" fontId="39" fillId="0" borderId="25" xfId="0" applyFont="1" applyBorder="1" applyAlignment="1" applyProtection="1">
      <alignment horizontal="left" vertical="center" wrapText="1" indent="1"/>
    </xf>
    <xf numFmtId="0" fontId="39" fillId="0" borderId="26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165" fontId="39" fillId="0" borderId="51" xfId="0" quotePrefix="1" applyNumberFormat="1" applyFont="1" applyBorder="1" applyAlignment="1" applyProtection="1">
      <alignment horizontal="right" vertical="center" wrapText="1" indent="1"/>
    </xf>
    <xf numFmtId="0" fontId="11" fillId="0" borderId="6" xfId="0" applyFont="1" applyFill="1" applyBorder="1" applyAlignment="1" applyProtection="1">
      <alignment horizontal="left" vertical="center"/>
    </xf>
    <xf numFmtId="0" fontId="11" fillId="0" borderId="18" xfId="0" applyFont="1" applyFill="1" applyBorder="1" applyAlignment="1" applyProtection="1">
      <alignment vertical="center" wrapText="1"/>
    </xf>
    <xf numFmtId="3" fontId="1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0" applyFont="1" applyFill="1" applyAlignment="1" applyProtection="1">
      <alignment horizontal="right" vertical="center" wrapText="1" indent="1"/>
    </xf>
    <xf numFmtId="0" fontId="11" fillId="0" borderId="27" xfId="0" applyFont="1" applyFill="1" applyBorder="1" applyAlignment="1" applyProtection="1">
      <alignment horizontal="right" vertical="center" wrapText="1" indent="1"/>
    </xf>
    <xf numFmtId="0" fontId="11" fillId="0" borderId="19" xfId="4" applyFont="1" applyFill="1" applyBorder="1" applyAlignment="1" applyProtection="1">
      <alignment horizontal="center" vertical="center" wrapText="1"/>
    </xf>
    <xf numFmtId="0" fontId="11" fillId="0" borderId="5" xfId="4" applyFont="1" applyFill="1" applyBorder="1" applyAlignment="1" applyProtection="1">
      <alignment horizontal="center" vertical="center" wrapText="1"/>
    </xf>
    <xf numFmtId="0" fontId="11" fillId="0" borderId="27" xfId="4" applyFont="1" applyFill="1" applyBorder="1" applyAlignment="1" applyProtection="1">
      <alignment horizontal="center" vertical="center" wrapText="1"/>
    </xf>
    <xf numFmtId="165" fontId="8" fillId="0" borderId="0" xfId="4" applyNumberFormat="1" applyFont="1" applyFill="1" applyProtection="1"/>
    <xf numFmtId="49" fontId="8" fillId="0" borderId="32" xfId="4" applyNumberFormat="1" applyFont="1" applyFill="1" applyBorder="1" applyAlignment="1" applyProtection="1">
      <alignment horizontal="left" vertical="center" wrapText="1" indent="1"/>
    </xf>
    <xf numFmtId="0" fontId="8" fillId="0" borderId="3" xfId="4" applyFont="1" applyFill="1" applyBorder="1" applyAlignment="1" applyProtection="1">
      <alignment horizontal="left" vertical="center" wrapText="1" indent="7"/>
    </xf>
    <xf numFmtId="0" fontId="11" fillId="0" borderId="25" xfId="4" applyFont="1" applyFill="1" applyBorder="1" applyAlignment="1" applyProtection="1">
      <alignment horizontal="left" vertical="center" wrapText="1" indent="1"/>
    </xf>
    <xf numFmtId="0" fontId="11" fillId="0" borderId="26" xfId="4" applyFont="1" applyFill="1" applyBorder="1" applyAlignment="1" applyProtection="1">
      <alignment vertical="center" wrapText="1"/>
    </xf>
    <xf numFmtId="165" fontId="2" fillId="0" borderId="0" xfId="0" applyNumberFormat="1" applyFont="1" applyFill="1" applyAlignment="1" applyProtection="1">
      <alignment horizontal="right" vertical="center" wrapText="1" indent="1"/>
    </xf>
    <xf numFmtId="3" fontId="2" fillId="0" borderId="0" xfId="0" applyNumberFormat="1" applyFont="1"/>
    <xf numFmtId="165" fontId="2" fillId="0" borderId="0" xfId="4" applyNumberFormat="1" applyFont="1" applyFill="1" applyProtection="1"/>
    <xf numFmtId="0" fontId="31" fillId="0" borderId="8" xfId="4" applyFont="1" applyBorder="1" applyAlignment="1">
      <alignment horizontal="center" vertical="center" wrapText="1"/>
    </xf>
    <xf numFmtId="49" fontId="0" fillId="0" borderId="28" xfId="0" applyNumberFormat="1" applyFont="1" applyFill="1" applyBorder="1" applyAlignment="1" applyProtection="1">
      <alignment vertical="center"/>
    </xf>
    <xf numFmtId="3" fontId="0" fillId="0" borderId="2" xfId="0" applyNumberFormat="1" applyFont="1" applyFill="1" applyBorder="1" applyAlignment="1" applyProtection="1">
      <alignment vertical="center"/>
      <protection locked="0"/>
    </xf>
    <xf numFmtId="3" fontId="0" fillId="0" borderId="29" xfId="0" applyNumberFormat="1" applyFont="1" applyFill="1" applyBorder="1" applyAlignment="1" applyProtection="1">
      <alignment vertical="center"/>
    </xf>
    <xf numFmtId="49" fontId="0" fillId="0" borderId="21" xfId="0" applyNumberFormat="1" applyFont="1" applyFill="1" applyBorder="1" applyAlignment="1" applyProtection="1">
      <alignment vertical="center"/>
    </xf>
    <xf numFmtId="3" fontId="0" fillId="0" borderId="11" xfId="0" applyNumberFormat="1" applyFont="1" applyFill="1" applyBorder="1" applyAlignment="1" applyProtection="1">
      <alignment vertical="center"/>
      <protection locked="0"/>
    </xf>
    <xf numFmtId="3" fontId="0" fillId="0" borderId="17" xfId="0" applyNumberFormat="1" applyFont="1" applyFill="1" applyBorder="1" applyAlignment="1" applyProtection="1">
      <alignment vertical="center"/>
    </xf>
    <xf numFmtId="49" fontId="0" fillId="0" borderId="22" xfId="0" applyNumberFormat="1" applyFont="1" applyFill="1" applyBorder="1" applyAlignment="1" applyProtection="1">
      <alignment vertical="center"/>
      <protection locked="0"/>
    </xf>
    <xf numFmtId="3" fontId="0" fillId="0" borderId="23" xfId="0" applyNumberFormat="1" applyFont="1" applyFill="1" applyBorder="1" applyAlignment="1" applyProtection="1">
      <alignment vertical="center"/>
      <protection locked="0"/>
    </xf>
    <xf numFmtId="3" fontId="0" fillId="0" borderId="7" xfId="0" applyNumberFormat="1" applyFont="1" applyFill="1" applyBorder="1" applyAlignment="1" applyProtection="1">
      <alignment vertical="center"/>
    </xf>
    <xf numFmtId="3" fontId="0" fillId="0" borderId="8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0" fillId="0" borderId="21" xfId="0" applyNumberFormat="1" applyFont="1" applyFill="1" applyBorder="1" applyAlignment="1" applyProtection="1">
      <alignment horizontal="left" vertical="center"/>
    </xf>
    <xf numFmtId="49" fontId="0" fillId="0" borderId="2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/>
    <xf numFmtId="0" fontId="11" fillId="0" borderId="8" xfId="4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 indent="1"/>
    </xf>
    <xf numFmtId="0" fontId="0" fillId="0" borderId="0" xfId="4" applyFont="1" applyFill="1"/>
    <xf numFmtId="0" fontId="0" fillId="0" borderId="0" xfId="4" applyFont="1" applyFill="1" applyAlignment="1">
      <alignment horizontal="right" vertical="center" indent="1"/>
    </xf>
    <xf numFmtId="165" fontId="0" fillId="0" borderId="0" xfId="4" applyNumberFormat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45" fillId="0" borderId="53" xfId="0" applyFont="1" applyFill="1" applyBorder="1" applyAlignment="1" applyProtection="1">
      <alignment horizontal="right" vertical="center"/>
    </xf>
    <xf numFmtId="0" fontId="6" fillId="0" borderId="0" xfId="4" applyFont="1" applyFill="1" applyAlignment="1" applyProtection="1"/>
    <xf numFmtId="0" fontId="41" fillId="0" borderId="0" xfId="0" applyFont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right" vertical="center"/>
    </xf>
    <xf numFmtId="0" fontId="45" fillId="0" borderId="0" xfId="0" applyFont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5" fontId="11" fillId="0" borderId="3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 indent="1"/>
    </xf>
    <xf numFmtId="165" fontId="6" fillId="0" borderId="8" xfId="0" applyNumberFormat="1" applyFont="1" applyBorder="1" applyAlignment="1">
      <alignment horizontal="right" vertical="center" wrapText="1" indent="1"/>
    </xf>
    <xf numFmtId="0" fontId="46" fillId="0" borderId="0" xfId="0" applyFont="1" applyAlignment="1">
      <alignment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8" fillId="0" borderId="2" xfId="4" applyFont="1" applyBorder="1" applyAlignment="1">
      <alignment horizontal="left" vertical="center" wrapText="1" indent="1"/>
    </xf>
    <xf numFmtId="165" fontId="8" fillId="0" borderId="29" xfId="0" applyNumberFormat="1" applyFont="1" applyBorder="1" applyAlignment="1" applyProtection="1">
      <alignment horizontal="right" vertical="center" wrapText="1" indent="1"/>
      <protection locked="0"/>
    </xf>
    <xf numFmtId="49" fontId="2" fillId="0" borderId="21" xfId="0" applyNumberFormat="1" applyFont="1" applyBorder="1" applyAlignment="1">
      <alignment horizontal="center" vertical="center" wrapText="1"/>
    </xf>
    <xf numFmtId="0" fontId="8" fillId="0" borderId="11" xfId="4" applyFont="1" applyBorder="1" applyAlignment="1">
      <alignment horizontal="left" vertical="center" wrapText="1" indent="1"/>
    </xf>
    <xf numFmtId="165" fontId="8" fillId="0" borderId="17" xfId="0" applyNumberFormat="1" applyFont="1" applyBorder="1" applyAlignment="1" applyProtection="1">
      <alignment horizontal="right" vertical="center" wrapText="1" indent="1"/>
      <protection locked="0"/>
    </xf>
    <xf numFmtId="0" fontId="8" fillId="0" borderId="12" xfId="4" applyFont="1" applyBorder="1" applyAlignment="1">
      <alignment horizontal="left" vertical="center" wrapText="1" indent="1"/>
    </xf>
    <xf numFmtId="165" fontId="8" fillId="0" borderId="48" xfId="0" applyNumberFormat="1" applyFont="1" applyBorder="1" applyAlignment="1" applyProtection="1">
      <alignment horizontal="right" vertical="center" wrapText="1" indent="1"/>
      <protection locked="0"/>
    </xf>
    <xf numFmtId="0" fontId="8" fillId="0" borderId="0" xfId="0" applyFont="1" applyAlignment="1">
      <alignment vertical="center" wrapText="1"/>
    </xf>
    <xf numFmtId="165" fontId="8" fillId="0" borderId="24" xfId="0" applyNumberFormat="1" applyFont="1" applyBorder="1" applyAlignment="1" applyProtection="1">
      <alignment horizontal="right" vertical="center" wrapText="1" indent="1"/>
      <protection locked="0"/>
    </xf>
    <xf numFmtId="0" fontId="8" fillId="0" borderId="13" xfId="4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center" vertical="center" wrapText="1"/>
    </xf>
    <xf numFmtId="0" fontId="6" fillId="0" borderId="7" xfId="4" applyFont="1" applyBorder="1" applyAlignment="1">
      <alignment horizontal="left" vertical="center" wrapText="1" indent="1"/>
    </xf>
    <xf numFmtId="165" fontId="6" fillId="0" borderId="8" xfId="0" applyNumberFormat="1" applyFont="1" applyBorder="1" applyAlignment="1" applyProtection="1">
      <alignment horizontal="right" vertical="center" wrapText="1" indent="1"/>
      <protection locked="0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13" xfId="4" applyFont="1" applyBorder="1" applyAlignment="1">
      <alignment horizontal="left" vertical="center" wrapText="1" indent="1"/>
    </xf>
    <xf numFmtId="165" fontId="2" fillId="0" borderId="14" xfId="0" applyNumberFormat="1" applyFont="1" applyBorder="1" applyAlignment="1" applyProtection="1">
      <alignment horizontal="right" vertical="center" wrapText="1" indent="1"/>
      <protection locked="0"/>
    </xf>
    <xf numFmtId="0" fontId="2" fillId="0" borderId="11" xfId="4" applyFont="1" applyBorder="1" applyAlignment="1">
      <alignment horizontal="left" vertical="center" wrapText="1" indent="1"/>
    </xf>
    <xf numFmtId="0" fontId="2" fillId="0" borderId="26" xfId="4" applyFont="1" applyBorder="1" applyAlignment="1">
      <alignment horizontal="left" vertical="center" wrapText="1" indent="1"/>
    </xf>
    <xf numFmtId="165" fontId="2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2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6" fillId="0" borderId="54" xfId="0" applyNumberFormat="1" applyFont="1" applyBorder="1" applyAlignment="1" applyProtection="1">
      <alignment horizontal="right" vertical="center" wrapText="1" indent="1"/>
      <protection locked="0"/>
    </xf>
    <xf numFmtId="165" fontId="6" fillId="0" borderId="54" xfId="0" applyNumberFormat="1" applyFont="1" applyBorder="1" applyAlignment="1">
      <alignment horizontal="right" vertical="center" wrapText="1" indent="1"/>
    </xf>
    <xf numFmtId="0" fontId="39" fillId="0" borderId="6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left" wrapText="1" indent="1"/>
    </xf>
    <xf numFmtId="165" fontId="11" fillId="0" borderId="54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165" fontId="11" fillId="0" borderId="0" xfId="0" applyNumberFormat="1" applyFont="1" applyAlignment="1">
      <alignment horizontal="right" vertical="center" wrapText="1" inden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 indent="1"/>
    </xf>
    <xf numFmtId="0" fontId="11" fillId="0" borderId="16" xfId="0" applyFont="1" applyBorder="1" applyAlignment="1">
      <alignment horizontal="center" vertical="center" wrapText="1"/>
    </xf>
    <xf numFmtId="165" fontId="2" fillId="0" borderId="17" xfId="0" applyNumberFormat="1" applyFont="1" applyBorder="1" applyAlignment="1" applyProtection="1">
      <alignment horizontal="right" vertical="center" wrapText="1" indent="1"/>
      <protection locked="0"/>
    </xf>
    <xf numFmtId="0" fontId="11" fillId="0" borderId="7" xfId="0" applyFont="1" applyBorder="1" applyAlignment="1">
      <alignment horizontal="left" vertical="center" wrapText="1" indent="1"/>
    </xf>
    <xf numFmtId="165" fontId="11" fillId="0" borderId="8" xfId="0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 indent="1"/>
    </xf>
    <xf numFmtId="0" fontId="11" fillId="0" borderId="6" xfId="0" applyFont="1" applyBorder="1" applyAlignment="1">
      <alignment horizontal="left" vertical="center"/>
    </xf>
    <xf numFmtId="0" fontId="11" fillId="0" borderId="18" xfId="0" applyFont="1" applyBorder="1" applyAlignment="1">
      <alignment vertical="center" wrapText="1"/>
    </xf>
    <xf numFmtId="3" fontId="11" fillId="0" borderId="8" xfId="0" applyNumberFormat="1" applyFont="1" applyBorder="1" applyAlignment="1" applyProtection="1">
      <alignment horizontal="right" vertical="center" wrapText="1" indent="1"/>
      <protection locked="0"/>
    </xf>
    <xf numFmtId="165" fontId="7" fillId="0" borderId="53" xfId="4" applyNumberFormat="1" applyFont="1" applyFill="1" applyBorder="1" applyAlignment="1" applyProtection="1">
      <alignment horizontal="left" vertical="center"/>
    </xf>
    <xf numFmtId="165" fontId="11" fillId="0" borderId="0" xfId="4" applyNumberFormat="1" applyFont="1" applyFill="1" applyBorder="1" applyAlignment="1" applyProtection="1">
      <alignment horizontal="center" vertical="center"/>
    </xf>
    <xf numFmtId="165" fontId="7" fillId="0" borderId="53" xfId="4" applyNumberFormat="1" applyFont="1" applyFill="1" applyBorder="1" applyAlignment="1" applyProtection="1">
      <alignment horizontal="left"/>
    </xf>
    <xf numFmtId="165" fontId="22" fillId="0" borderId="53" xfId="4" applyNumberFormat="1" applyFont="1" applyFill="1" applyBorder="1" applyAlignment="1" applyProtection="1">
      <alignment horizontal="left" vertical="center"/>
    </xf>
    <xf numFmtId="165" fontId="22" fillId="0" borderId="53" xfId="4" applyNumberFormat="1" applyFont="1" applyFill="1" applyBorder="1" applyAlignment="1" applyProtection="1">
      <alignment horizontal="left"/>
    </xf>
    <xf numFmtId="165" fontId="31" fillId="0" borderId="59" xfId="0" applyNumberFormat="1" applyFont="1" applyFill="1" applyBorder="1" applyAlignment="1" applyProtection="1">
      <alignment horizontal="center" vertical="center" wrapText="1"/>
    </xf>
    <xf numFmtId="165" fontId="31" fillId="0" borderId="60" xfId="0" applyNumberFormat="1" applyFont="1" applyFill="1" applyBorder="1" applyAlignment="1" applyProtection="1">
      <alignment horizontal="center" vertical="center" wrapText="1"/>
    </xf>
    <xf numFmtId="165" fontId="6" fillId="0" borderId="61" xfId="0" applyNumberFormat="1" applyFont="1" applyFill="1" applyBorder="1" applyAlignment="1" applyProtection="1">
      <alignment horizontal="center" vertical="center" wrapText="1"/>
    </xf>
    <xf numFmtId="165" fontId="6" fillId="0" borderId="62" xfId="0" applyNumberFormat="1" applyFont="1" applyFill="1" applyBorder="1" applyAlignment="1" applyProtection="1">
      <alignment horizontal="center" vertical="center" wrapText="1"/>
    </xf>
    <xf numFmtId="165" fontId="28" fillId="0" borderId="0" xfId="4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right"/>
    </xf>
    <xf numFmtId="0" fontId="13" fillId="0" borderId="29" xfId="4" applyFont="1" applyFill="1" applyBorder="1" applyAlignment="1">
      <alignment horizontal="center" vertical="center" wrapText="1"/>
    </xf>
    <xf numFmtId="0" fontId="13" fillId="0" borderId="24" xfId="4" applyFont="1" applyFill="1" applyBorder="1" applyAlignment="1">
      <alignment horizontal="center" vertical="center" wrapText="1"/>
    </xf>
    <xf numFmtId="0" fontId="13" fillId="0" borderId="28" xfId="4" applyFont="1" applyFill="1" applyBorder="1" applyAlignment="1">
      <alignment horizontal="center" vertical="center" wrapText="1"/>
    </xf>
    <xf numFmtId="0" fontId="13" fillId="0" borderId="22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13" fillId="0" borderId="23" xfId="4" applyFont="1" applyFill="1" applyBorder="1" applyAlignment="1">
      <alignment horizontal="center" vertical="center" wrapText="1"/>
    </xf>
    <xf numFmtId="0" fontId="43" fillId="0" borderId="0" xfId="0" applyFont="1" applyFill="1" applyBorder="1" applyAlignment="1" applyProtection="1">
      <alignment horizontal="right"/>
    </xf>
    <xf numFmtId="0" fontId="31" fillId="0" borderId="6" xfId="4" applyFont="1" applyFill="1" applyBorder="1" applyAlignment="1" applyProtection="1">
      <alignment horizontal="left"/>
    </xf>
    <xf numFmtId="0" fontId="31" fillId="0" borderId="7" xfId="4" applyFont="1" applyFill="1" applyBorder="1" applyAlignment="1" applyProtection="1">
      <alignment horizontal="left"/>
    </xf>
    <xf numFmtId="0" fontId="17" fillId="0" borderId="51" xfId="4" applyFont="1" applyFill="1" applyBorder="1" applyAlignment="1">
      <alignment horizontal="justify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27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5" fontId="34" fillId="0" borderId="0" xfId="0" applyNumberFormat="1" applyFont="1" applyFill="1" applyAlignment="1">
      <alignment horizontal="center" vertical="center" wrapText="1"/>
    </xf>
    <xf numFmtId="0" fontId="34" fillId="0" borderId="63" xfId="0" applyFont="1" applyFill="1" applyBorder="1" applyAlignment="1" applyProtection="1">
      <alignment horizontal="center"/>
    </xf>
    <xf numFmtId="0" fontId="34" fillId="0" borderId="51" xfId="0" applyFont="1" applyFill="1" applyBorder="1" applyAlignment="1" applyProtection="1">
      <alignment horizontal="center"/>
    </xf>
    <xf numFmtId="0" fontId="34" fillId="0" borderId="64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 indent="1"/>
      <protection locked="0"/>
    </xf>
    <xf numFmtId="0" fontId="0" fillId="0" borderId="65" xfId="0" applyFont="1" applyFill="1" applyBorder="1" applyAlignment="1" applyProtection="1">
      <alignment horizontal="left" indent="1"/>
      <protection locked="0"/>
    </xf>
    <xf numFmtId="0" fontId="0" fillId="0" borderId="66" xfId="0" applyFont="1" applyFill="1" applyBorder="1" applyAlignment="1" applyProtection="1">
      <alignment horizontal="left" indent="1"/>
      <protection locked="0"/>
    </xf>
    <xf numFmtId="0" fontId="0" fillId="0" borderId="9" xfId="0" applyFont="1" applyFill="1" applyBorder="1" applyAlignment="1" applyProtection="1">
      <alignment horizontal="left" indent="1"/>
      <protection locked="0"/>
    </xf>
    <xf numFmtId="0" fontId="0" fillId="0" borderId="10" xfId="0" applyFont="1" applyFill="1" applyBorder="1" applyAlignment="1" applyProtection="1">
      <alignment horizontal="left" indent="1"/>
      <protection locked="0"/>
    </xf>
    <xf numFmtId="0" fontId="0" fillId="0" borderId="67" xfId="0" applyFont="1" applyFill="1" applyBorder="1" applyAlignment="1" applyProtection="1">
      <alignment horizontal="left" indent="1"/>
      <protection locked="0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4" fillId="0" borderId="4" xfId="0" applyFont="1" applyFill="1" applyBorder="1" applyAlignment="1" applyProtection="1">
      <alignment horizontal="left" indent="1"/>
    </xf>
    <xf numFmtId="0" fontId="34" fillId="0" borderId="16" xfId="0" applyFont="1" applyFill="1" applyBorder="1" applyAlignment="1" applyProtection="1">
      <alignment horizontal="left" indent="1"/>
    </xf>
    <xf numFmtId="0" fontId="34" fillId="0" borderId="18" xfId="0" applyFont="1" applyFill="1" applyBorder="1" applyAlignment="1" applyProtection="1">
      <alignment horizontal="left" indent="1"/>
    </xf>
    <xf numFmtId="0" fontId="0" fillId="0" borderId="2" xfId="0" applyFont="1" applyFill="1" applyBorder="1" applyAlignment="1" applyProtection="1">
      <alignment horizontal="right" indent="1"/>
      <protection locked="0"/>
    </xf>
    <xf numFmtId="0" fontId="0" fillId="0" borderId="29" xfId="0" applyFont="1" applyFill="1" applyBorder="1" applyAlignment="1" applyProtection="1">
      <alignment horizontal="right" indent="1"/>
      <protection locked="0"/>
    </xf>
    <xf numFmtId="0" fontId="0" fillId="0" borderId="23" xfId="0" applyFont="1" applyFill="1" applyBorder="1" applyAlignment="1" applyProtection="1">
      <alignment horizontal="right" indent="1"/>
      <protection locked="0"/>
    </xf>
    <xf numFmtId="0" fontId="0" fillId="0" borderId="24" xfId="0" applyFont="1" applyFill="1" applyBorder="1" applyAlignment="1" applyProtection="1">
      <alignment horizontal="right" indent="1"/>
      <protection locked="0"/>
    </xf>
    <xf numFmtId="0" fontId="34" fillId="0" borderId="7" xfId="0" applyFont="1" applyFill="1" applyBorder="1" applyAlignment="1" applyProtection="1">
      <alignment horizontal="right" indent="1"/>
    </xf>
    <xf numFmtId="0" fontId="34" fillId="0" borderId="8" xfId="0" applyFont="1" applyFill="1" applyBorder="1" applyAlignment="1" applyProtection="1">
      <alignment horizontal="right" indent="1"/>
    </xf>
    <xf numFmtId="0" fontId="34" fillId="0" borderId="5" xfId="0" applyFont="1" applyFill="1" applyBorder="1" applyAlignment="1" applyProtection="1">
      <alignment horizontal="center"/>
    </xf>
    <xf numFmtId="0" fontId="34" fillId="0" borderId="27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/>
      <protection locked="0"/>
    </xf>
    <xf numFmtId="0" fontId="6" fillId="0" borderId="0" xfId="0" applyFont="1" applyFill="1" applyAlignment="1">
      <alignment horizontal="center" wrapText="1"/>
    </xf>
    <xf numFmtId="0" fontId="37" fillId="0" borderId="0" xfId="0" applyFont="1" applyFill="1" applyAlignment="1" applyProtection="1">
      <alignment horizontal="left"/>
      <protection locked="0"/>
    </xf>
    <xf numFmtId="165" fontId="13" fillId="0" borderId="0" xfId="4" applyNumberFormat="1" applyFont="1" applyFill="1" applyBorder="1" applyAlignment="1" applyProtection="1">
      <alignment horizontal="center" vertical="center"/>
    </xf>
    <xf numFmtId="165" fontId="33" fillId="0" borderId="53" xfId="4" applyNumberFormat="1" applyFont="1" applyFill="1" applyBorder="1" applyAlignment="1" applyProtection="1">
      <alignment horizontal="left"/>
    </xf>
    <xf numFmtId="165" fontId="33" fillId="0" borderId="53" xfId="4" applyNumberFormat="1" applyFont="1" applyFill="1" applyBorder="1" applyAlignment="1" applyProtection="1">
      <alignment horizontal="left" vertical="center"/>
    </xf>
    <xf numFmtId="165" fontId="6" fillId="0" borderId="0" xfId="0" applyNumberFormat="1" applyFont="1" applyFill="1" applyAlignment="1" applyProtection="1">
      <alignment horizontal="center" vertical="center" wrapText="1"/>
    </xf>
    <xf numFmtId="165" fontId="31" fillId="0" borderId="4" xfId="0" applyNumberFormat="1" applyFont="1" applyFill="1" applyBorder="1" applyAlignment="1" applyProtection="1">
      <alignment horizontal="left" vertical="center" wrapText="1" indent="2"/>
    </xf>
    <xf numFmtId="165" fontId="31" fillId="0" borderId="54" xfId="0" applyNumberFormat="1" applyFont="1" applyFill="1" applyBorder="1" applyAlignment="1" applyProtection="1">
      <alignment horizontal="left" vertical="center" wrapText="1" indent="2"/>
    </xf>
    <xf numFmtId="165" fontId="31" fillId="0" borderId="59" xfId="0" applyNumberFormat="1" applyFont="1" applyFill="1" applyBorder="1" applyAlignment="1" applyProtection="1">
      <alignment horizontal="center" vertical="center"/>
    </xf>
    <xf numFmtId="165" fontId="31" fillId="0" borderId="60" xfId="0" applyNumberFormat="1" applyFont="1" applyFill="1" applyBorder="1" applyAlignment="1" applyProtection="1">
      <alignment horizontal="center" vertical="center"/>
    </xf>
    <xf numFmtId="165" fontId="31" fillId="0" borderId="1" xfId="0" applyNumberFormat="1" applyFont="1" applyFill="1" applyBorder="1" applyAlignment="1" applyProtection="1">
      <alignment horizontal="center" vertical="center"/>
    </xf>
    <xf numFmtId="165" fontId="31" fillId="0" borderId="65" xfId="0" applyNumberFormat="1" applyFont="1" applyFill="1" applyBorder="1" applyAlignment="1" applyProtection="1">
      <alignment horizontal="center" vertical="center"/>
    </xf>
    <xf numFmtId="165" fontId="31" fillId="0" borderId="58" xfId="0" applyNumberFormat="1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>
      <alignment horizontal="justify" vertical="center" wrapText="1"/>
    </xf>
    <xf numFmtId="0" fontId="39" fillId="0" borderId="0" xfId="0" applyFont="1" applyAlignment="1">
      <alignment horizontal="center" wrapText="1"/>
    </xf>
    <xf numFmtId="0" fontId="39" fillId="0" borderId="0" xfId="5" applyFont="1" applyFill="1" applyAlignment="1" applyProtection="1">
      <alignment horizontal="center" wrapText="1"/>
    </xf>
    <xf numFmtId="0" fontId="39" fillId="0" borderId="0" xfId="5" applyFont="1" applyFill="1" applyAlignment="1" applyProtection="1">
      <alignment horizontal="center"/>
    </xf>
    <xf numFmtId="0" fontId="40" fillId="0" borderId="42" xfId="5" applyFont="1" applyFill="1" applyBorder="1" applyAlignment="1" applyProtection="1">
      <alignment horizontal="left" vertical="center" indent="1"/>
    </xf>
    <xf numFmtId="0" fontId="40" fillId="0" borderId="16" xfId="5" applyFont="1" applyFill="1" applyBorder="1" applyAlignment="1" applyProtection="1">
      <alignment horizontal="left" vertical="center" indent="1"/>
    </xf>
    <xf numFmtId="0" fontId="40" fillId="0" borderId="54" xfId="5" applyFont="1" applyFill="1" applyBorder="1" applyAlignment="1" applyProtection="1">
      <alignment horizontal="left" vertical="center" indent="1"/>
    </xf>
    <xf numFmtId="0" fontId="40" fillId="0" borderId="56" xfId="5" applyFont="1" applyFill="1" applyBorder="1" applyAlignment="1" applyProtection="1">
      <alignment horizontal="left" vertical="center" indent="1"/>
    </xf>
    <xf numFmtId="0" fontId="40" fillId="0" borderId="53" xfId="5" applyFont="1" applyFill="1" applyBorder="1" applyAlignment="1" applyProtection="1">
      <alignment horizontal="left" vertical="center" indent="1"/>
    </xf>
    <xf numFmtId="0" fontId="40" fillId="0" borderId="36" xfId="5" applyFont="1" applyFill="1" applyBorder="1" applyAlignment="1" applyProtection="1">
      <alignment horizontal="left" vertical="center" indent="1"/>
    </xf>
    <xf numFmtId="0" fontId="42" fillId="0" borderId="0" xfId="5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 applyProtection="1">
      <alignment horizontal="left" vertical="center" indent="2"/>
    </xf>
    <xf numFmtId="0" fontId="6" fillId="0" borderId="18" xfId="0" applyFont="1" applyBorder="1" applyAlignment="1" applyProtection="1">
      <alignment horizontal="left" vertical="center" indent="2"/>
    </xf>
  </cellXfs>
  <cellStyles count="6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  <cellStyle name="Normál_SEGEDLETEK" xfId="5" xr:uid="{00000000-0005-0000-0000-000005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nzugy3\Asztal\K&#246;lts&#233;gvet&#233;s\K&#246;lts&#233;gvet&#233;s-2015\Ktgv-2015-M&#369;v.H&#225;z\Ktgv.2.m&#243;d-2015.09-M&#369;v.H&#225;z\Ktgv.2.m&#243;d-2015.09-M&#369;v.H&#225;z\Ktgv.2.m&#243;d-ervik-M&#369;v.H-2015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 sz. mell (2-1)"/>
      <sheetName val="9.2. sz. mell (2-2)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FFC000"/>
  </sheetPr>
  <dimension ref="A1:E163"/>
  <sheetViews>
    <sheetView tabSelected="1" topLeftCell="A153" zoomScale="98" zoomScaleNormal="98" zoomScaleSheetLayoutView="100" workbookViewId="0">
      <selection activeCell="E160" sqref="E160"/>
    </sheetView>
  </sheetViews>
  <sheetFormatPr defaultColWidth="9.296875" defaultRowHeight="15.5" x14ac:dyDescent="0.35"/>
  <cols>
    <col min="1" max="1" width="9.5" style="33" customWidth="1"/>
    <col min="2" max="2" width="77.5" style="33" customWidth="1"/>
    <col min="3" max="5" width="19" style="466" bestFit="1" customWidth="1"/>
    <col min="6" max="16384" width="9.296875" style="33"/>
  </cols>
  <sheetData>
    <row r="1" spans="1:5" x14ac:dyDescent="0.35">
      <c r="B1" s="376" t="s">
        <v>622</v>
      </c>
    </row>
    <row r="2" spans="1:5" x14ac:dyDescent="0.35">
      <c r="B2" s="376" t="s">
        <v>717</v>
      </c>
    </row>
    <row r="5" spans="1:5" x14ac:dyDescent="0.35">
      <c r="A5" s="900" t="s">
        <v>11</v>
      </c>
      <c r="B5" s="900"/>
      <c r="C5" s="33"/>
      <c r="D5" s="33"/>
      <c r="E5" s="33"/>
    </row>
    <row r="6" spans="1:5" ht="16" thickBot="1" x14ac:dyDescent="0.4">
      <c r="A6" s="899" t="s">
        <v>142</v>
      </c>
      <c r="B6" s="899"/>
      <c r="C6" s="837" t="s">
        <v>579</v>
      </c>
      <c r="D6" s="837" t="s">
        <v>579</v>
      </c>
      <c r="E6" s="837" t="s">
        <v>579</v>
      </c>
    </row>
    <row r="7" spans="1:5" ht="45.5" thickBot="1" x14ac:dyDescent="0.4">
      <c r="A7" s="761" t="s">
        <v>64</v>
      </c>
      <c r="B7" s="762" t="s">
        <v>13</v>
      </c>
      <c r="C7" s="677" t="s">
        <v>640</v>
      </c>
      <c r="D7" s="677" t="s">
        <v>724</v>
      </c>
      <c r="E7" s="827" t="s">
        <v>730</v>
      </c>
    </row>
    <row r="8" spans="1:5" s="731" customFormat="1" ht="16" thickBot="1" x14ac:dyDescent="0.4">
      <c r="A8" s="801" t="s">
        <v>482</v>
      </c>
      <c r="B8" s="802" t="s">
        <v>483</v>
      </c>
      <c r="C8" s="803" t="s">
        <v>484</v>
      </c>
      <c r="D8" s="803" t="s">
        <v>484</v>
      </c>
      <c r="E8" s="803" t="s">
        <v>484</v>
      </c>
    </row>
    <row r="9" spans="1:5" s="731" customFormat="1" ht="16" thickBot="1" x14ac:dyDescent="0.4">
      <c r="A9" s="728" t="s">
        <v>14</v>
      </c>
      <c r="B9" s="729" t="s">
        <v>241</v>
      </c>
      <c r="C9" s="730">
        <f>+C10+C11+C12+C13+C14+C15</f>
        <v>229497311</v>
      </c>
      <c r="D9" s="730">
        <f>+D10+D11+D12+D13+D14+D15</f>
        <v>239534121</v>
      </c>
      <c r="E9" s="730">
        <f>+E10+E11+E12+E13+E14+E15</f>
        <v>217756969</v>
      </c>
    </row>
    <row r="10" spans="1:5" s="731" customFormat="1" x14ac:dyDescent="0.35">
      <c r="A10" s="732" t="s">
        <v>93</v>
      </c>
      <c r="B10" s="733" t="s">
        <v>242</v>
      </c>
      <c r="C10" s="734">
        <v>119931664</v>
      </c>
      <c r="D10" s="734">
        <v>129633164</v>
      </c>
      <c r="E10" s="734">
        <f>108858931</f>
        <v>108858931</v>
      </c>
    </row>
    <row r="11" spans="1:5" s="731" customFormat="1" x14ac:dyDescent="0.35">
      <c r="A11" s="735" t="s">
        <v>94</v>
      </c>
      <c r="B11" s="736" t="s">
        <v>243</v>
      </c>
      <c r="C11" s="737">
        <v>64851900</v>
      </c>
      <c r="D11" s="737">
        <v>64851900</v>
      </c>
      <c r="E11" s="737">
        <f>64822680</f>
        <v>64822680</v>
      </c>
    </row>
    <row r="12" spans="1:5" s="731" customFormat="1" x14ac:dyDescent="0.35">
      <c r="A12" s="735" t="s">
        <v>95</v>
      </c>
      <c r="B12" s="736" t="s">
        <v>244</v>
      </c>
      <c r="C12" s="737">
        <v>41522446</v>
      </c>
      <c r="D12" s="737">
        <v>41522446</v>
      </c>
      <c r="E12" s="737">
        <f>39891006</f>
        <v>39891006</v>
      </c>
    </row>
    <row r="13" spans="1:5" s="731" customFormat="1" x14ac:dyDescent="0.35">
      <c r="A13" s="735" t="s">
        <v>96</v>
      </c>
      <c r="B13" s="736" t="s">
        <v>245</v>
      </c>
      <c r="C13" s="737">
        <v>3191301</v>
      </c>
      <c r="D13" s="737">
        <v>3191301</v>
      </c>
      <c r="E13" s="737">
        <f>4184352</f>
        <v>4184352</v>
      </c>
    </row>
    <row r="14" spans="1:5" s="731" customFormat="1" x14ac:dyDescent="0.35">
      <c r="A14" s="735" t="s">
        <v>139</v>
      </c>
      <c r="B14" s="738" t="s">
        <v>425</v>
      </c>
      <c r="C14" s="737"/>
      <c r="D14" s="737">
        <v>335310</v>
      </c>
      <c r="E14" s="737"/>
    </row>
    <row r="15" spans="1:5" s="731" customFormat="1" ht="16" thickBot="1" x14ac:dyDescent="0.4">
      <c r="A15" s="739" t="s">
        <v>97</v>
      </c>
      <c r="B15" s="740" t="s">
        <v>426</v>
      </c>
      <c r="C15" s="737"/>
      <c r="D15" s="737"/>
      <c r="E15" s="737"/>
    </row>
    <row r="16" spans="1:5" s="731" customFormat="1" ht="16" thickBot="1" x14ac:dyDescent="0.4">
      <c r="A16" s="728" t="s">
        <v>15</v>
      </c>
      <c r="B16" s="741" t="s">
        <v>246</v>
      </c>
      <c r="C16" s="730">
        <f>+C17+C18+C19+C20+C21</f>
        <v>86668865</v>
      </c>
      <c r="D16" s="730">
        <f>+D17+D18+D19+D20+D21</f>
        <v>85553068</v>
      </c>
      <c r="E16" s="730">
        <f>+E17+E18+E19+E20+E21</f>
        <v>92434135</v>
      </c>
    </row>
    <row r="17" spans="1:5" s="731" customFormat="1" x14ac:dyDescent="0.35">
      <c r="A17" s="732" t="s">
        <v>99</v>
      </c>
      <c r="B17" s="733" t="s">
        <v>247</v>
      </c>
      <c r="C17" s="734"/>
      <c r="D17" s="734"/>
      <c r="E17" s="734"/>
    </row>
    <row r="18" spans="1:5" s="731" customFormat="1" x14ac:dyDescent="0.35">
      <c r="A18" s="735" t="s">
        <v>100</v>
      </c>
      <c r="B18" s="736" t="s">
        <v>248</v>
      </c>
      <c r="C18" s="737"/>
      <c r="D18" s="737"/>
      <c r="E18" s="737"/>
    </row>
    <row r="19" spans="1:5" s="731" customFormat="1" x14ac:dyDescent="0.35">
      <c r="A19" s="735" t="s">
        <v>101</v>
      </c>
      <c r="B19" s="736" t="s">
        <v>415</v>
      </c>
      <c r="C19" s="737"/>
      <c r="D19" s="737"/>
      <c r="E19" s="737"/>
    </row>
    <row r="20" spans="1:5" s="731" customFormat="1" x14ac:dyDescent="0.35">
      <c r="A20" s="735" t="s">
        <v>102</v>
      </c>
      <c r="B20" s="736" t="s">
        <v>416</v>
      </c>
      <c r="C20" s="737"/>
      <c r="D20" s="737"/>
      <c r="E20" s="737"/>
    </row>
    <row r="21" spans="1:5" s="731" customFormat="1" x14ac:dyDescent="0.35">
      <c r="A21" s="735" t="s">
        <v>103</v>
      </c>
      <c r="B21" s="736" t="s">
        <v>249</v>
      </c>
      <c r="C21" s="737">
        <f>86368865+300000</f>
        <v>86668865</v>
      </c>
      <c r="D21" s="737">
        <f>85253068+300000</f>
        <v>85553068</v>
      </c>
      <c r="E21" s="737">
        <f>86434135+6000000</f>
        <v>92434135</v>
      </c>
    </row>
    <row r="22" spans="1:5" s="731" customFormat="1" ht="16" thickBot="1" x14ac:dyDescent="0.4">
      <c r="A22" s="739" t="s">
        <v>112</v>
      </c>
      <c r="B22" s="740" t="s">
        <v>250</v>
      </c>
      <c r="C22" s="742"/>
      <c r="D22" s="742"/>
      <c r="E22" s="742"/>
    </row>
    <row r="23" spans="1:5" s="731" customFormat="1" ht="16" thickBot="1" x14ac:dyDescent="0.4">
      <c r="A23" s="728" t="s">
        <v>16</v>
      </c>
      <c r="B23" s="729" t="s">
        <v>251</v>
      </c>
      <c r="C23" s="730">
        <f>+C24+C25+C26+C27+C28</f>
        <v>62734377</v>
      </c>
      <c r="D23" s="730">
        <f>+D24+D25+D26+D27+D28</f>
        <v>62734377</v>
      </c>
      <c r="E23" s="730">
        <f>+E24+E25+E26+E27+E28</f>
        <v>62570704</v>
      </c>
    </row>
    <row r="24" spans="1:5" s="731" customFormat="1" x14ac:dyDescent="0.35">
      <c r="A24" s="732" t="s">
        <v>82</v>
      </c>
      <c r="B24" s="733" t="s">
        <v>252</v>
      </c>
      <c r="C24" s="734"/>
      <c r="D24" s="734"/>
      <c r="E24" s="734"/>
    </row>
    <row r="25" spans="1:5" s="731" customFormat="1" x14ac:dyDescent="0.35">
      <c r="A25" s="735" t="s">
        <v>83</v>
      </c>
      <c r="B25" s="736" t="s">
        <v>253</v>
      </c>
      <c r="C25" s="737"/>
      <c r="D25" s="737"/>
      <c r="E25" s="737"/>
    </row>
    <row r="26" spans="1:5" s="731" customFormat="1" x14ac:dyDescent="0.35">
      <c r="A26" s="735" t="s">
        <v>84</v>
      </c>
      <c r="B26" s="736" t="s">
        <v>417</v>
      </c>
      <c r="C26" s="737"/>
      <c r="D26" s="737"/>
      <c r="E26" s="737"/>
    </row>
    <row r="27" spans="1:5" s="731" customFormat="1" x14ac:dyDescent="0.35">
      <c r="A27" s="735" t="s">
        <v>85</v>
      </c>
      <c r="B27" s="736" t="s">
        <v>418</v>
      </c>
      <c r="C27" s="737"/>
      <c r="D27" s="737"/>
      <c r="E27" s="737"/>
    </row>
    <row r="28" spans="1:5" s="731" customFormat="1" x14ac:dyDescent="0.35">
      <c r="A28" s="735" t="s">
        <v>160</v>
      </c>
      <c r="B28" s="736" t="s">
        <v>254</v>
      </c>
      <c r="C28" s="737">
        <v>62734377</v>
      </c>
      <c r="D28" s="737">
        <v>62734377</v>
      </c>
      <c r="E28" s="737">
        <f>62570704</f>
        <v>62570704</v>
      </c>
    </row>
    <row r="29" spans="1:5" s="731" customFormat="1" ht="16" thickBot="1" x14ac:dyDescent="0.4">
      <c r="A29" s="739" t="s">
        <v>161</v>
      </c>
      <c r="B29" s="743" t="s">
        <v>255</v>
      </c>
      <c r="C29" s="742"/>
      <c r="D29" s="742"/>
      <c r="E29" s="742"/>
    </row>
    <row r="30" spans="1:5" s="731" customFormat="1" ht="16" thickBot="1" x14ac:dyDescent="0.4">
      <c r="A30" s="728" t="s">
        <v>162</v>
      </c>
      <c r="B30" s="729" t="s">
        <v>256</v>
      </c>
      <c r="C30" s="744">
        <f>+C31+C35+C36+C37</f>
        <v>162400000</v>
      </c>
      <c r="D30" s="744">
        <f>+D31+D35+D36+D37</f>
        <v>162400000</v>
      </c>
      <c r="E30" s="744">
        <f>+E31+E35+E36+E37</f>
        <v>116400000</v>
      </c>
    </row>
    <row r="31" spans="1:5" s="731" customFormat="1" x14ac:dyDescent="0.35">
      <c r="A31" s="732" t="s">
        <v>257</v>
      </c>
      <c r="B31" s="733" t="s">
        <v>432</v>
      </c>
      <c r="C31" s="745">
        <f>+C32+C33+C34</f>
        <v>120000000</v>
      </c>
      <c r="D31" s="745">
        <f>+D32+D33+D34</f>
        <v>120000000</v>
      </c>
      <c r="E31" s="745">
        <f>+E32+E33+E34</f>
        <v>105000000</v>
      </c>
    </row>
    <row r="32" spans="1:5" s="731" customFormat="1" x14ac:dyDescent="0.35">
      <c r="A32" s="735" t="s">
        <v>258</v>
      </c>
      <c r="B32" s="736" t="s">
        <v>263</v>
      </c>
      <c r="C32" s="737">
        <f>52982894+22017106</f>
        <v>75000000</v>
      </c>
      <c r="D32" s="737">
        <f>52982894+22017106</f>
        <v>75000000</v>
      </c>
      <c r="E32" s="737">
        <f>75000000</f>
        <v>75000000</v>
      </c>
    </row>
    <row r="33" spans="1:5" s="731" customFormat="1" x14ac:dyDescent="0.35">
      <c r="A33" s="735" t="s">
        <v>259</v>
      </c>
      <c r="B33" s="736" t="s">
        <v>264</v>
      </c>
      <c r="C33" s="737"/>
      <c r="D33" s="737"/>
      <c r="E33" s="737"/>
    </row>
    <row r="34" spans="1:5" s="731" customFormat="1" x14ac:dyDescent="0.35">
      <c r="A34" s="735" t="s">
        <v>430</v>
      </c>
      <c r="B34" s="746" t="s">
        <v>431</v>
      </c>
      <c r="C34" s="737">
        <v>45000000</v>
      </c>
      <c r="D34" s="737">
        <v>45000000</v>
      </c>
      <c r="E34" s="737">
        <f>30000000</f>
        <v>30000000</v>
      </c>
    </row>
    <row r="35" spans="1:5" s="731" customFormat="1" x14ac:dyDescent="0.35">
      <c r="A35" s="735" t="s">
        <v>260</v>
      </c>
      <c r="B35" s="736" t="s">
        <v>265</v>
      </c>
      <c r="C35" s="737">
        <v>9000000</v>
      </c>
      <c r="D35" s="737">
        <v>9000000</v>
      </c>
      <c r="E35" s="737">
        <f>0</f>
        <v>0</v>
      </c>
    </row>
    <row r="36" spans="1:5" s="731" customFormat="1" x14ac:dyDescent="0.35">
      <c r="A36" s="735" t="s">
        <v>261</v>
      </c>
      <c r="B36" s="736" t="s">
        <v>266</v>
      </c>
      <c r="C36" s="737">
        <v>32000000</v>
      </c>
      <c r="D36" s="737">
        <v>32000000</v>
      </c>
      <c r="E36" s="737">
        <f>10000000</f>
        <v>10000000</v>
      </c>
    </row>
    <row r="37" spans="1:5" s="731" customFormat="1" ht="16" thickBot="1" x14ac:dyDescent="0.4">
      <c r="A37" s="739" t="s">
        <v>262</v>
      </c>
      <c r="B37" s="743" t="s">
        <v>267</v>
      </c>
      <c r="C37" s="742">
        <f>200000+1200000</f>
        <v>1400000</v>
      </c>
      <c r="D37" s="742">
        <f>200000+1200000</f>
        <v>1400000</v>
      </c>
      <c r="E37" s="742">
        <f>1400000</f>
        <v>1400000</v>
      </c>
    </row>
    <row r="38" spans="1:5" s="731" customFormat="1" ht="16" thickBot="1" x14ac:dyDescent="0.4">
      <c r="A38" s="728" t="s">
        <v>18</v>
      </c>
      <c r="B38" s="729" t="s">
        <v>427</v>
      </c>
      <c r="C38" s="730">
        <f>SUM(C39:C49)</f>
        <v>151066646</v>
      </c>
      <c r="D38" s="730">
        <f>SUM(D39:D49)</f>
        <v>151066646</v>
      </c>
      <c r="E38" s="730">
        <f>SUM(E39:E49)</f>
        <v>127343748</v>
      </c>
    </row>
    <row r="39" spans="1:5" s="731" customFormat="1" x14ac:dyDescent="0.35">
      <c r="A39" s="732" t="s">
        <v>86</v>
      </c>
      <c r="B39" s="733" t="s">
        <v>270</v>
      </c>
      <c r="C39" s="734"/>
      <c r="D39" s="734"/>
      <c r="E39" s="734"/>
    </row>
    <row r="40" spans="1:5" s="731" customFormat="1" x14ac:dyDescent="0.35">
      <c r="A40" s="735" t="s">
        <v>87</v>
      </c>
      <c r="B40" s="736" t="s">
        <v>271</v>
      </c>
      <c r="C40" s="737">
        <f>13196540+5120000+89660000</f>
        <v>107976540</v>
      </c>
      <c r="D40" s="737">
        <f>13196540+5120000+89660000</f>
        <v>107976540</v>
      </c>
      <c r="E40" s="737">
        <f>17532100+69367740</f>
        <v>86899840</v>
      </c>
    </row>
    <row r="41" spans="1:5" s="731" customFormat="1" x14ac:dyDescent="0.35">
      <c r="A41" s="735" t="s">
        <v>88</v>
      </c>
      <c r="B41" s="736" t="s">
        <v>272</v>
      </c>
      <c r="C41" s="737">
        <f>1600000+600000+100000</f>
        <v>2300000</v>
      </c>
      <c r="D41" s="737">
        <f>1600000+600000+100000</f>
        <v>2300000</v>
      </c>
      <c r="E41" s="737">
        <f>2300000</f>
        <v>2300000</v>
      </c>
    </row>
    <row r="42" spans="1:5" s="731" customFormat="1" x14ac:dyDescent="0.35">
      <c r="A42" s="735" t="s">
        <v>164</v>
      </c>
      <c r="B42" s="736" t="s">
        <v>273</v>
      </c>
      <c r="C42" s="737"/>
      <c r="D42" s="737"/>
      <c r="E42" s="737"/>
    </row>
    <row r="43" spans="1:5" s="731" customFormat="1" x14ac:dyDescent="0.35">
      <c r="A43" s="735" t="s">
        <v>165</v>
      </c>
      <c r="B43" s="736" t="s">
        <v>274</v>
      </c>
      <c r="C43" s="737">
        <v>1500000</v>
      </c>
      <c r="D43" s="737">
        <v>1500000</v>
      </c>
      <c r="E43" s="737">
        <f>1500000</f>
        <v>1500000</v>
      </c>
    </row>
    <row r="44" spans="1:5" s="731" customFormat="1" x14ac:dyDescent="0.35">
      <c r="A44" s="735" t="s">
        <v>166</v>
      </c>
      <c r="B44" s="736" t="s">
        <v>275</v>
      </c>
      <c r="C44" s="737">
        <f>4400066+24208200</f>
        <v>28608266</v>
      </c>
      <c r="D44" s="737">
        <f>4400066+24208200</f>
        <v>28608266</v>
      </c>
      <c r="E44" s="737">
        <f>4379357+20010596</f>
        <v>24389953</v>
      </c>
    </row>
    <row r="45" spans="1:5" s="731" customFormat="1" x14ac:dyDescent="0.35">
      <c r="A45" s="735" t="s">
        <v>167</v>
      </c>
      <c r="B45" s="736" t="s">
        <v>276</v>
      </c>
      <c r="C45" s="737">
        <v>10655820</v>
      </c>
      <c r="D45" s="737">
        <v>10655820</v>
      </c>
      <c r="E45" s="737">
        <f>10655820</f>
        <v>10655820</v>
      </c>
    </row>
    <row r="46" spans="1:5" s="731" customFormat="1" x14ac:dyDescent="0.35">
      <c r="A46" s="735" t="s">
        <v>168</v>
      </c>
      <c r="B46" s="736" t="s">
        <v>277</v>
      </c>
      <c r="C46" s="737">
        <f>1000+10+10</f>
        <v>1020</v>
      </c>
      <c r="D46" s="737">
        <f>1000+10+10</f>
        <v>1020</v>
      </c>
      <c r="E46" s="737">
        <f>1020</f>
        <v>1020</v>
      </c>
    </row>
    <row r="47" spans="1:5" s="731" customFormat="1" x14ac:dyDescent="0.35">
      <c r="A47" s="735" t="s">
        <v>268</v>
      </c>
      <c r="B47" s="736" t="s">
        <v>278</v>
      </c>
      <c r="C47" s="747"/>
      <c r="D47" s="747"/>
      <c r="E47" s="747"/>
    </row>
    <row r="48" spans="1:5" s="731" customFormat="1" x14ac:dyDescent="0.35">
      <c r="A48" s="739" t="s">
        <v>269</v>
      </c>
      <c r="B48" s="743" t="s">
        <v>429</v>
      </c>
      <c r="C48" s="748"/>
      <c r="D48" s="748"/>
      <c r="E48" s="748"/>
    </row>
    <row r="49" spans="1:5" s="731" customFormat="1" ht="16" thickBot="1" x14ac:dyDescent="0.4">
      <c r="A49" s="739" t="s">
        <v>428</v>
      </c>
      <c r="B49" s="740" t="s">
        <v>279</v>
      </c>
      <c r="C49" s="748">
        <f>10000+5000+10000</f>
        <v>25000</v>
      </c>
      <c r="D49" s="748">
        <f>10000+5000+10000</f>
        <v>25000</v>
      </c>
      <c r="E49" s="748">
        <f>143795+1453320</f>
        <v>1597115</v>
      </c>
    </row>
    <row r="50" spans="1:5" s="731" customFormat="1" ht="16" thickBot="1" x14ac:dyDescent="0.4">
      <c r="A50" s="728" t="s">
        <v>19</v>
      </c>
      <c r="B50" s="729" t="s">
        <v>280</v>
      </c>
      <c r="C50" s="730">
        <f>SUM(C51:C55)</f>
        <v>0</v>
      </c>
      <c r="D50" s="730">
        <f>SUM(D51:D55)</f>
        <v>3151165</v>
      </c>
      <c r="E50" s="730">
        <f>SUM(E51:E55)</f>
        <v>3901165</v>
      </c>
    </row>
    <row r="51" spans="1:5" s="731" customFormat="1" x14ac:dyDescent="0.35">
      <c r="A51" s="732" t="s">
        <v>89</v>
      </c>
      <c r="B51" s="733" t="s">
        <v>284</v>
      </c>
      <c r="C51" s="749"/>
      <c r="D51" s="749"/>
      <c r="E51" s="749"/>
    </row>
    <row r="52" spans="1:5" s="731" customFormat="1" x14ac:dyDescent="0.35">
      <c r="A52" s="735" t="s">
        <v>90</v>
      </c>
      <c r="B52" s="736" t="s">
        <v>285</v>
      </c>
      <c r="C52" s="747"/>
      <c r="D52" s="747">
        <v>3151165</v>
      </c>
      <c r="E52" s="747">
        <f>3151165</f>
        <v>3151165</v>
      </c>
    </row>
    <row r="53" spans="1:5" s="731" customFormat="1" x14ac:dyDescent="0.35">
      <c r="A53" s="735" t="s">
        <v>281</v>
      </c>
      <c r="B53" s="736" t="s">
        <v>286</v>
      </c>
      <c r="C53" s="747"/>
      <c r="D53" s="747"/>
      <c r="E53" s="747">
        <f>750000</f>
        <v>750000</v>
      </c>
    </row>
    <row r="54" spans="1:5" s="731" customFormat="1" x14ac:dyDescent="0.35">
      <c r="A54" s="735" t="s">
        <v>282</v>
      </c>
      <c r="B54" s="736" t="s">
        <v>287</v>
      </c>
      <c r="C54" s="747"/>
      <c r="D54" s="747"/>
      <c r="E54" s="747"/>
    </row>
    <row r="55" spans="1:5" s="731" customFormat="1" ht="16" thickBot="1" x14ac:dyDescent="0.4">
      <c r="A55" s="739" t="s">
        <v>283</v>
      </c>
      <c r="B55" s="740" t="s">
        <v>288</v>
      </c>
      <c r="C55" s="748"/>
      <c r="D55" s="748"/>
      <c r="E55" s="748"/>
    </row>
    <row r="56" spans="1:5" s="731" customFormat="1" ht="16" thickBot="1" x14ac:dyDescent="0.4">
      <c r="A56" s="728" t="s">
        <v>169</v>
      </c>
      <c r="B56" s="729" t="s">
        <v>289</v>
      </c>
      <c r="C56" s="730">
        <f>SUM(C57:C59)</f>
        <v>0</v>
      </c>
      <c r="D56" s="730">
        <f>SUM(D57:D59)</f>
        <v>0</v>
      </c>
      <c r="E56" s="730">
        <f>SUM(E57:E59)</f>
        <v>0</v>
      </c>
    </row>
    <row r="57" spans="1:5" s="731" customFormat="1" x14ac:dyDescent="0.35">
      <c r="A57" s="732" t="s">
        <v>91</v>
      </c>
      <c r="B57" s="733" t="s">
        <v>290</v>
      </c>
      <c r="C57" s="734"/>
      <c r="D57" s="734"/>
      <c r="E57" s="734"/>
    </row>
    <row r="58" spans="1:5" s="731" customFormat="1" ht="31" x14ac:dyDescent="0.35">
      <c r="A58" s="735" t="s">
        <v>92</v>
      </c>
      <c r="B58" s="736" t="s">
        <v>419</v>
      </c>
      <c r="C58" s="737"/>
      <c r="D58" s="737"/>
      <c r="E58" s="737"/>
    </row>
    <row r="59" spans="1:5" s="731" customFormat="1" x14ac:dyDescent="0.35">
      <c r="A59" s="735" t="s">
        <v>293</v>
      </c>
      <c r="B59" s="736" t="s">
        <v>291</v>
      </c>
      <c r="C59" s="737"/>
      <c r="D59" s="737"/>
      <c r="E59" s="737"/>
    </row>
    <row r="60" spans="1:5" s="731" customFormat="1" ht="16" thickBot="1" x14ac:dyDescent="0.4">
      <c r="A60" s="739" t="s">
        <v>294</v>
      </c>
      <c r="B60" s="740" t="s">
        <v>292</v>
      </c>
      <c r="C60" s="742"/>
      <c r="D60" s="742"/>
      <c r="E60" s="742"/>
    </row>
    <row r="61" spans="1:5" s="731" customFormat="1" ht="16" thickBot="1" x14ac:dyDescent="0.4">
      <c r="A61" s="728" t="s">
        <v>21</v>
      </c>
      <c r="B61" s="741" t="s">
        <v>295</v>
      </c>
      <c r="C61" s="730">
        <f>SUM(C62:C64)</f>
        <v>500000</v>
      </c>
      <c r="D61" s="730">
        <f>SUM(D62:D64)</f>
        <v>500000</v>
      </c>
      <c r="E61" s="730">
        <f>SUM(E62:E64)</f>
        <v>833248</v>
      </c>
    </row>
    <row r="62" spans="1:5" s="731" customFormat="1" x14ac:dyDescent="0.35">
      <c r="A62" s="732" t="s">
        <v>170</v>
      </c>
      <c r="B62" s="733" t="s">
        <v>297</v>
      </c>
      <c r="C62" s="747"/>
      <c r="D62" s="747"/>
      <c r="E62" s="747"/>
    </row>
    <row r="63" spans="1:5" s="731" customFormat="1" ht="31" x14ac:dyDescent="0.35">
      <c r="A63" s="735" t="s">
        <v>171</v>
      </c>
      <c r="B63" s="736" t="s">
        <v>420</v>
      </c>
      <c r="C63" s="747"/>
      <c r="D63" s="747"/>
      <c r="E63" s="747"/>
    </row>
    <row r="64" spans="1:5" s="731" customFormat="1" x14ac:dyDescent="0.35">
      <c r="A64" s="735" t="s">
        <v>218</v>
      </c>
      <c r="B64" s="736" t="s">
        <v>298</v>
      </c>
      <c r="C64" s="747">
        <v>500000</v>
      </c>
      <c r="D64" s="747">
        <v>500000</v>
      </c>
      <c r="E64" s="747">
        <f>833248</f>
        <v>833248</v>
      </c>
    </row>
    <row r="65" spans="1:5" s="731" customFormat="1" ht="16" thickBot="1" x14ac:dyDescent="0.4">
      <c r="A65" s="739" t="s">
        <v>296</v>
      </c>
      <c r="B65" s="740" t="s">
        <v>299</v>
      </c>
      <c r="C65" s="747"/>
      <c r="D65" s="747"/>
      <c r="E65" s="747"/>
    </row>
    <row r="66" spans="1:5" s="731" customFormat="1" ht="16" thickBot="1" x14ac:dyDescent="0.4">
      <c r="A66" s="750" t="s">
        <v>471</v>
      </c>
      <c r="B66" s="729" t="s">
        <v>300</v>
      </c>
      <c r="C66" s="744">
        <f>+C9+C16+C23+C30+C38+C50+C56+C61</f>
        <v>692867199</v>
      </c>
      <c r="D66" s="744">
        <f>+D9+D16+D23+D30+D38+D50+D56+D61</f>
        <v>704939377</v>
      </c>
      <c r="E66" s="744">
        <f>+E9+E16+E23+E30+E38+E50+E56+E61</f>
        <v>621239969</v>
      </c>
    </row>
    <row r="67" spans="1:5" s="731" customFormat="1" ht="16" thickBot="1" x14ac:dyDescent="0.4">
      <c r="A67" s="751" t="s">
        <v>301</v>
      </c>
      <c r="B67" s="741" t="s">
        <v>302</v>
      </c>
      <c r="C67" s="730">
        <f>SUM(C68:C70)</f>
        <v>0</v>
      </c>
      <c r="D67" s="730">
        <f>SUM(D68:D70)</f>
        <v>0</v>
      </c>
      <c r="E67" s="730">
        <f>SUM(E68:E70)</f>
        <v>0</v>
      </c>
    </row>
    <row r="68" spans="1:5" s="731" customFormat="1" x14ac:dyDescent="0.35">
      <c r="A68" s="732" t="s">
        <v>333</v>
      </c>
      <c r="B68" s="733" t="s">
        <v>303</v>
      </c>
      <c r="C68" s="747"/>
      <c r="D68" s="747"/>
      <c r="E68" s="747"/>
    </row>
    <row r="69" spans="1:5" s="731" customFormat="1" x14ac:dyDescent="0.35">
      <c r="A69" s="735" t="s">
        <v>342</v>
      </c>
      <c r="B69" s="736" t="s">
        <v>304</v>
      </c>
      <c r="C69" s="747"/>
      <c r="D69" s="747"/>
      <c r="E69" s="747"/>
    </row>
    <row r="70" spans="1:5" s="731" customFormat="1" ht="16" thickBot="1" x14ac:dyDescent="0.4">
      <c r="A70" s="739" t="s">
        <v>343</v>
      </c>
      <c r="B70" s="752" t="s">
        <v>456</v>
      </c>
      <c r="C70" s="747"/>
      <c r="D70" s="747"/>
      <c r="E70" s="747"/>
    </row>
    <row r="71" spans="1:5" s="731" customFormat="1" ht="16" thickBot="1" x14ac:dyDescent="0.4">
      <c r="A71" s="751" t="s">
        <v>306</v>
      </c>
      <c r="B71" s="741" t="s">
        <v>307</v>
      </c>
      <c r="C71" s="730">
        <f>SUM(C72:C75)</f>
        <v>0</v>
      </c>
      <c r="D71" s="730">
        <f>SUM(D72:D75)</f>
        <v>0</v>
      </c>
      <c r="E71" s="730">
        <f>SUM(E72:E75)</f>
        <v>0</v>
      </c>
    </row>
    <row r="72" spans="1:5" s="731" customFormat="1" x14ac:dyDescent="0.35">
      <c r="A72" s="732" t="s">
        <v>140</v>
      </c>
      <c r="B72" s="733" t="s">
        <v>308</v>
      </c>
      <c r="C72" s="747"/>
      <c r="D72" s="747"/>
      <c r="E72" s="747"/>
    </row>
    <row r="73" spans="1:5" s="731" customFormat="1" x14ac:dyDescent="0.35">
      <c r="A73" s="735" t="s">
        <v>141</v>
      </c>
      <c r="B73" s="736" t="s">
        <v>309</v>
      </c>
      <c r="C73" s="747"/>
      <c r="D73" s="747"/>
      <c r="E73" s="747"/>
    </row>
    <row r="74" spans="1:5" s="731" customFormat="1" x14ac:dyDescent="0.35">
      <c r="A74" s="735" t="s">
        <v>334</v>
      </c>
      <c r="B74" s="736" t="s">
        <v>310</v>
      </c>
      <c r="C74" s="747"/>
      <c r="D74" s="747"/>
      <c r="E74" s="747"/>
    </row>
    <row r="75" spans="1:5" s="731" customFormat="1" ht="16" thickBot="1" x14ac:dyDescent="0.4">
      <c r="A75" s="739" t="s">
        <v>335</v>
      </c>
      <c r="B75" s="740" t="s">
        <v>311</v>
      </c>
      <c r="C75" s="747"/>
      <c r="D75" s="747"/>
      <c r="E75" s="747"/>
    </row>
    <row r="76" spans="1:5" s="731" customFormat="1" ht="16" thickBot="1" x14ac:dyDescent="0.4">
      <c r="A76" s="751" t="s">
        <v>312</v>
      </c>
      <c r="B76" s="741" t="s">
        <v>313</v>
      </c>
      <c r="C76" s="730">
        <f>SUM(C77:C78)</f>
        <v>700000000</v>
      </c>
      <c r="D76" s="730">
        <f>SUM(D77:D78)</f>
        <v>705316745</v>
      </c>
      <c r="E76" s="730">
        <f>SUM(E77:E78)</f>
        <v>705316745</v>
      </c>
    </row>
    <row r="77" spans="1:5" s="731" customFormat="1" x14ac:dyDescent="0.35">
      <c r="A77" s="732" t="s">
        <v>336</v>
      </c>
      <c r="B77" s="733" t="s">
        <v>314</v>
      </c>
      <c r="C77" s="747">
        <f>700000000</f>
        <v>700000000</v>
      </c>
      <c r="D77" s="747">
        <v>705316745</v>
      </c>
      <c r="E77" s="747">
        <f>705316745</f>
        <v>705316745</v>
      </c>
    </row>
    <row r="78" spans="1:5" s="731" customFormat="1" ht="16" thickBot="1" x14ac:dyDescent="0.4">
      <c r="A78" s="739" t="s">
        <v>337</v>
      </c>
      <c r="B78" s="740" t="s">
        <v>315</v>
      </c>
      <c r="C78" s="747"/>
      <c r="D78" s="747"/>
      <c r="E78" s="747"/>
    </row>
    <row r="79" spans="1:5" s="731" customFormat="1" ht="16" thickBot="1" x14ac:dyDescent="0.4">
      <c r="A79" s="751" t="s">
        <v>316</v>
      </c>
      <c r="B79" s="741" t="s">
        <v>317</v>
      </c>
      <c r="C79" s="730">
        <f>SUM(C80:C82)</f>
        <v>429499</v>
      </c>
      <c r="D79" s="730">
        <f>SUM(D80:D82)</f>
        <v>429499</v>
      </c>
      <c r="E79" s="730">
        <f>SUM(E80:E82)</f>
        <v>206682</v>
      </c>
    </row>
    <row r="80" spans="1:5" s="731" customFormat="1" x14ac:dyDescent="0.35">
      <c r="A80" s="732" t="s">
        <v>338</v>
      </c>
      <c r="B80" s="733" t="s">
        <v>318</v>
      </c>
      <c r="C80" s="747">
        <f>429499</f>
        <v>429499</v>
      </c>
      <c r="D80" s="747">
        <f>429499</f>
        <v>429499</v>
      </c>
      <c r="E80" s="747">
        <f>206682</f>
        <v>206682</v>
      </c>
    </row>
    <row r="81" spans="1:5" s="731" customFormat="1" x14ac:dyDescent="0.35">
      <c r="A81" s="735" t="s">
        <v>339</v>
      </c>
      <c r="B81" s="736" t="s">
        <v>319</v>
      </c>
      <c r="C81" s="747"/>
      <c r="D81" s="747"/>
      <c r="E81" s="747"/>
    </row>
    <row r="82" spans="1:5" s="731" customFormat="1" ht="16" thickBot="1" x14ac:dyDescent="0.4">
      <c r="A82" s="739" t="s">
        <v>340</v>
      </c>
      <c r="B82" s="740" t="s">
        <v>320</v>
      </c>
      <c r="C82" s="747"/>
      <c r="D82" s="747"/>
      <c r="E82" s="747"/>
    </row>
    <row r="83" spans="1:5" s="731" customFormat="1" ht="16" thickBot="1" x14ac:dyDescent="0.4">
      <c r="A83" s="751" t="s">
        <v>321</v>
      </c>
      <c r="B83" s="741" t="s">
        <v>341</v>
      </c>
      <c r="C83" s="730">
        <f>SUM(C84:C87)</f>
        <v>0</v>
      </c>
      <c r="D83" s="730">
        <f>SUM(D84:D87)</f>
        <v>0</v>
      </c>
      <c r="E83" s="730">
        <f>SUM(E84:E87)</f>
        <v>0</v>
      </c>
    </row>
    <row r="84" spans="1:5" s="731" customFormat="1" x14ac:dyDescent="0.35">
      <c r="A84" s="753" t="s">
        <v>322</v>
      </c>
      <c r="B84" s="733" t="s">
        <v>323</v>
      </c>
      <c r="C84" s="747"/>
      <c r="D84" s="747"/>
      <c r="E84" s="747"/>
    </row>
    <row r="85" spans="1:5" s="731" customFormat="1" x14ac:dyDescent="0.35">
      <c r="A85" s="754" t="s">
        <v>324</v>
      </c>
      <c r="B85" s="736" t="s">
        <v>325</v>
      </c>
      <c r="C85" s="747"/>
      <c r="D85" s="747"/>
      <c r="E85" s="747"/>
    </row>
    <row r="86" spans="1:5" s="731" customFormat="1" x14ac:dyDescent="0.35">
      <c r="A86" s="754" t="s">
        <v>326</v>
      </c>
      <c r="B86" s="736" t="s">
        <v>327</v>
      </c>
      <c r="C86" s="747"/>
      <c r="D86" s="747"/>
      <c r="E86" s="747"/>
    </row>
    <row r="87" spans="1:5" s="731" customFormat="1" ht="16" thickBot="1" x14ac:dyDescent="0.4">
      <c r="A87" s="755" t="s">
        <v>328</v>
      </c>
      <c r="B87" s="740" t="s">
        <v>329</v>
      </c>
      <c r="C87" s="747"/>
      <c r="D87" s="747"/>
      <c r="E87" s="747"/>
    </row>
    <row r="88" spans="1:5" s="731" customFormat="1" ht="16" thickBot="1" x14ac:dyDescent="0.4">
      <c r="A88" s="751" t="s">
        <v>330</v>
      </c>
      <c r="B88" s="741" t="s">
        <v>470</v>
      </c>
      <c r="C88" s="756"/>
      <c r="D88" s="756"/>
      <c r="E88" s="756"/>
    </row>
    <row r="89" spans="1:5" s="731" customFormat="1" ht="16" thickBot="1" x14ac:dyDescent="0.4">
      <c r="A89" s="751" t="s">
        <v>332</v>
      </c>
      <c r="B89" s="741" t="s">
        <v>331</v>
      </c>
      <c r="C89" s="756"/>
      <c r="D89" s="756"/>
      <c r="E89" s="756"/>
    </row>
    <row r="90" spans="1:5" s="731" customFormat="1" ht="16" thickBot="1" x14ac:dyDescent="0.4">
      <c r="A90" s="751" t="s">
        <v>344</v>
      </c>
      <c r="B90" s="757" t="s">
        <v>473</v>
      </c>
      <c r="C90" s="744">
        <f>+C67+C71+C76+C79+C83+C89+C88</f>
        <v>700429499</v>
      </c>
      <c r="D90" s="744">
        <f>+D67+D71+D76+D79+D83+D89+D88</f>
        <v>705746244</v>
      </c>
      <c r="E90" s="744">
        <f>+E67+E71+E76+E79+E83+E89+E88</f>
        <v>705523427</v>
      </c>
    </row>
    <row r="91" spans="1:5" s="731" customFormat="1" ht="31" thickBot="1" x14ac:dyDescent="0.4">
      <c r="A91" s="758" t="s">
        <v>472</v>
      </c>
      <c r="B91" s="759" t="s">
        <v>474</v>
      </c>
      <c r="C91" s="744">
        <f>+C66+C90</f>
        <v>1393296698</v>
      </c>
      <c r="D91" s="744">
        <f>+D66+D90</f>
        <v>1410685621</v>
      </c>
      <c r="E91" s="744">
        <f>+E66+E90</f>
        <v>1326763396</v>
      </c>
    </row>
    <row r="92" spans="1:5" s="731" customFormat="1" x14ac:dyDescent="0.35">
      <c r="A92" s="71"/>
      <c r="B92" s="72"/>
      <c r="C92" s="566"/>
      <c r="D92" s="566"/>
      <c r="E92" s="566"/>
    </row>
    <row r="93" spans="1:5" x14ac:dyDescent="0.35">
      <c r="A93" s="900" t="s">
        <v>42</v>
      </c>
      <c r="B93" s="900"/>
      <c r="C93" s="33"/>
      <c r="D93" s="33"/>
      <c r="E93" s="33"/>
    </row>
    <row r="94" spans="1:5" s="73" customFormat="1" ht="16" thickBot="1" x14ac:dyDescent="0.4">
      <c r="A94" s="901" t="s">
        <v>143</v>
      </c>
      <c r="B94" s="901"/>
      <c r="C94" s="760"/>
      <c r="D94" s="760"/>
      <c r="E94" s="760"/>
    </row>
    <row r="95" spans="1:5" ht="45.5" thickBot="1" x14ac:dyDescent="0.4">
      <c r="A95" s="761" t="s">
        <v>64</v>
      </c>
      <c r="B95" s="762" t="s">
        <v>43</v>
      </c>
      <c r="C95" s="677" t="s">
        <v>640</v>
      </c>
      <c r="D95" s="677" t="s">
        <v>724</v>
      </c>
      <c r="E95" s="827" t="s">
        <v>730</v>
      </c>
    </row>
    <row r="96" spans="1:5" s="731" customFormat="1" ht="16" thickBot="1" x14ac:dyDescent="0.4">
      <c r="A96" s="761" t="s">
        <v>482</v>
      </c>
      <c r="B96" s="762" t="s">
        <v>483</v>
      </c>
      <c r="C96" s="763" t="s">
        <v>484</v>
      </c>
      <c r="D96" s="763" t="s">
        <v>484</v>
      </c>
      <c r="E96" s="763" t="s">
        <v>484</v>
      </c>
    </row>
    <row r="97" spans="1:5" ht="16" thickBot="1" x14ac:dyDescent="0.4">
      <c r="A97" s="764" t="s">
        <v>14</v>
      </c>
      <c r="B97" s="765" t="s">
        <v>736</v>
      </c>
      <c r="C97" s="766">
        <f>C98+C99+C100+C101+C102+C115</f>
        <v>998856715</v>
      </c>
      <c r="D97" s="766">
        <f>D98+D99+D100+D101+D102+D115</f>
        <v>1016245638</v>
      </c>
      <c r="E97" s="766">
        <f>E98+E99+E100+E101+E102+E115</f>
        <v>952739182</v>
      </c>
    </row>
    <row r="98" spans="1:5" x14ac:dyDescent="0.35">
      <c r="A98" s="767" t="s">
        <v>93</v>
      </c>
      <c r="B98" s="768" t="s">
        <v>44</v>
      </c>
      <c r="C98" s="769">
        <f>71538418+93062711+14985780+17094400</f>
        <v>196681309</v>
      </c>
      <c r="D98" s="769">
        <f>73821258+93535207+14985780+17094400</f>
        <v>199436645</v>
      </c>
      <c r="E98" s="769">
        <f>176320932+14443400</f>
        <v>190764332</v>
      </c>
    </row>
    <row r="99" spans="1:5" x14ac:dyDescent="0.35">
      <c r="A99" s="735" t="s">
        <v>94</v>
      </c>
      <c r="B99" s="770" t="s">
        <v>172</v>
      </c>
      <c r="C99" s="737">
        <f>13972182+17002243+2973609+3142995</f>
        <v>37091029</v>
      </c>
      <c r="D99" s="737">
        <f>14171931+17155805+2973609+3142995</f>
        <v>37444340</v>
      </c>
      <c r="E99" s="737">
        <f>31919283+2621945</f>
        <v>34541228</v>
      </c>
    </row>
    <row r="100" spans="1:5" x14ac:dyDescent="0.35">
      <c r="A100" s="735" t="s">
        <v>95</v>
      </c>
      <c r="B100" s="770" t="s">
        <v>131</v>
      </c>
      <c r="C100" s="742">
        <f>164118610+27723661+39510750+94083311</f>
        <v>325436332</v>
      </c>
      <c r="D100" s="742">
        <f>164118610+27723661+39510750+94083311</f>
        <v>325436332</v>
      </c>
      <c r="E100" s="742">
        <f>215778021+61447311+6000000</f>
        <v>283225332</v>
      </c>
    </row>
    <row r="101" spans="1:5" x14ac:dyDescent="0.35">
      <c r="A101" s="735" t="s">
        <v>96</v>
      </c>
      <c r="B101" s="771" t="s">
        <v>173</v>
      </c>
      <c r="C101" s="742">
        <v>12600000</v>
      </c>
      <c r="D101" s="742">
        <v>12600000</v>
      </c>
      <c r="E101" s="742">
        <f>9425000</f>
        <v>9425000</v>
      </c>
    </row>
    <row r="102" spans="1:5" x14ac:dyDescent="0.35">
      <c r="A102" s="735" t="s">
        <v>107</v>
      </c>
      <c r="B102" s="772" t="s">
        <v>174</v>
      </c>
      <c r="C102" s="742">
        <f>C103+C104+C105+C106+C107+C108+C109+C110+C111+C112+C113+C114</f>
        <v>175177509</v>
      </c>
      <c r="D102" s="742">
        <f>D103+D104+D105+D106+D107+D108+D109+D110+D111+D112+D113+D114</f>
        <v>173671996</v>
      </c>
      <c r="E102" s="742">
        <f>E103+E104+E105+E106+E107+E108+E109+E110+E111+E112+E113+E114</f>
        <v>161982830</v>
      </c>
    </row>
    <row r="103" spans="1:5" x14ac:dyDescent="0.35">
      <c r="A103" s="735" t="s">
        <v>97</v>
      </c>
      <c r="B103" s="770" t="s">
        <v>437</v>
      </c>
      <c r="C103" s="742"/>
      <c r="D103" s="742"/>
      <c r="E103" s="742"/>
    </row>
    <row r="104" spans="1:5" x14ac:dyDescent="0.35">
      <c r="A104" s="735" t="s">
        <v>98</v>
      </c>
      <c r="B104" s="773" t="s">
        <v>436</v>
      </c>
      <c r="C104" s="742"/>
      <c r="D104" s="742"/>
      <c r="E104" s="742"/>
    </row>
    <row r="105" spans="1:5" x14ac:dyDescent="0.35">
      <c r="A105" s="735" t="s">
        <v>108</v>
      </c>
      <c r="B105" s="773" t="s">
        <v>435</v>
      </c>
      <c r="C105" s="742">
        <v>1100000</v>
      </c>
      <c r="D105" s="742">
        <v>2000000</v>
      </c>
      <c r="E105" s="742">
        <f>2000000</f>
        <v>2000000</v>
      </c>
    </row>
    <row r="106" spans="1:5" x14ac:dyDescent="0.35">
      <c r="A106" s="735" t="s">
        <v>109</v>
      </c>
      <c r="B106" s="774" t="s">
        <v>347</v>
      </c>
      <c r="C106" s="742"/>
      <c r="D106" s="742"/>
      <c r="E106" s="742"/>
    </row>
    <row r="107" spans="1:5" x14ac:dyDescent="0.35">
      <c r="A107" s="735" t="s">
        <v>110</v>
      </c>
      <c r="B107" s="775" t="s">
        <v>348</v>
      </c>
      <c r="C107" s="742"/>
      <c r="D107" s="742"/>
      <c r="E107" s="742"/>
    </row>
    <row r="108" spans="1:5" x14ac:dyDescent="0.35">
      <c r="A108" s="735" t="s">
        <v>111</v>
      </c>
      <c r="B108" s="775" t="s">
        <v>349</v>
      </c>
      <c r="C108" s="742"/>
      <c r="D108" s="742"/>
      <c r="E108" s="742"/>
    </row>
    <row r="109" spans="1:5" x14ac:dyDescent="0.35">
      <c r="A109" s="735" t="s">
        <v>113</v>
      </c>
      <c r="B109" s="774" t="s">
        <v>350</v>
      </c>
      <c r="C109" s="742">
        <v>132997509</v>
      </c>
      <c r="D109" s="742">
        <v>130591996</v>
      </c>
      <c r="E109" s="742">
        <f>123802830</f>
        <v>123802830</v>
      </c>
    </row>
    <row r="110" spans="1:5" x14ac:dyDescent="0.35">
      <c r="A110" s="735" t="s">
        <v>175</v>
      </c>
      <c r="B110" s="774" t="s">
        <v>351</v>
      </c>
      <c r="C110" s="742"/>
      <c r="D110" s="742"/>
      <c r="E110" s="742"/>
    </row>
    <row r="111" spans="1:5" x14ac:dyDescent="0.35">
      <c r="A111" s="735" t="s">
        <v>345</v>
      </c>
      <c r="B111" s="775" t="s">
        <v>352</v>
      </c>
      <c r="C111" s="742"/>
      <c r="D111" s="742"/>
      <c r="E111" s="742"/>
    </row>
    <row r="112" spans="1:5" x14ac:dyDescent="0.35">
      <c r="A112" s="776" t="s">
        <v>346</v>
      </c>
      <c r="B112" s="773" t="s">
        <v>353</v>
      </c>
      <c r="C112" s="742"/>
      <c r="D112" s="742"/>
      <c r="E112" s="742"/>
    </row>
    <row r="113" spans="1:5" x14ac:dyDescent="0.35">
      <c r="A113" s="735" t="s">
        <v>433</v>
      </c>
      <c r="B113" s="773" t="s">
        <v>354</v>
      </c>
      <c r="C113" s="742"/>
      <c r="D113" s="742"/>
      <c r="E113" s="742"/>
    </row>
    <row r="114" spans="1:5" x14ac:dyDescent="0.35">
      <c r="A114" s="739" t="s">
        <v>434</v>
      </c>
      <c r="B114" s="773" t="s">
        <v>355</v>
      </c>
      <c r="C114" s="742">
        <v>41080000</v>
      </c>
      <c r="D114" s="742">
        <v>41080000</v>
      </c>
      <c r="E114" s="742">
        <f>36180000</f>
        <v>36180000</v>
      </c>
    </row>
    <row r="115" spans="1:5" x14ac:dyDescent="0.35">
      <c r="A115" s="735" t="s">
        <v>438</v>
      </c>
      <c r="B115" s="771" t="s">
        <v>45</v>
      </c>
      <c r="C115" s="737">
        <f>C116+C117</f>
        <v>251870536</v>
      </c>
      <c r="D115" s="737">
        <f>D116+D117</f>
        <v>267656325</v>
      </c>
      <c r="E115" s="737">
        <f>E116+E117</f>
        <v>272800460</v>
      </c>
    </row>
    <row r="116" spans="1:5" x14ac:dyDescent="0.35">
      <c r="A116" s="735" t="s">
        <v>439</v>
      </c>
      <c r="B116" s="770" t="s">
        <v>441</v>
      </c>
      <c r="C116" s="737">
        <v>8834856</v>
      </c>
      <c r="D116" s="737">
        <v>21469480</v>
      </c>
      <c r="E116" s="737">
        <f>22201615</f>
        <v>22201615</v>
      </c>
    </row>
    <row r="117" spans="1:5" ht="16" thickBot="1" x14ac:dyDescent="0.4">
      <c r="A117" s="805" t="s">
        <v>440</v>
      </c>
      <c r="B117" s="806" t="s">
        <v>442</v>
      </c>
      <c r="C117" s="778">
        <v>243035680</v>
      </c>
      <c r="D117" s="778">
        <v>246186845</v>
      </c>
      <c r="E117" s="778">
        <f>250598845</f>
        <v>250598845</v>
      </c>
    </row>
    <row r="118" spans="1:5" ht="16" thickBot="1" x14ac:dyDescent="0.4">
      <c r="A118" s="807" t="s">
        <v>15</v>
      </c>
      <c r="B118" s="808" t="s">
        <v>737</v>
      </c>
      <c r="C118" s="780">
        <f>+C119+C121+C123</f>
        <v>384830592</v>
      </c>
      <c r="D118" s="780">
        <f>+D119+D121+D123</f>
        <v>384830592</v>
      </c>
      <c r="E118" s="780">
        <f>+E119+E121+E123</f>
        <v>364637640</v>
      </c>
    </row>
    <row r="119" spans="1:5" x14ac:dyDescent="0.35">
      <c r="A119" s="732" t="s">
        <v>99</v>
      </c>
      <c r="B119" s="770" t="s">
        <v>217</v>
      </c>
      <c r="C119" s="734">
        <f>345433128+444500+3748564+21564600</f>
        <v>371190792</v>
      </c>
      <c r="D119" s="734">
        <f>345433128+444500+3748564+21564600</f>
        <v>371190792</v>
      </c>
      <c r="E119" s="734">
        <f>344000140+12319000</f>
        <v>356319140</v>
      </c>
    </row>
    <row r="120" spans="1:5" x14ac:dyDescent="0.35">
      <c r="A120" s="732" t="s">
        <v>100</v>
      </c>
      <c r="B120" s="781" t="s">
        <v>359</v>
      </c>
      <c r="C120" s="734"/>
      <c r="D120" s="734"/>
      <c r="E120" s="734"/>
    </row>
    <row r="121" spans="1:5" x14ac:dyDescent="0.35">
      <c r="A121" s="732" t="s">
        <v>101</v>
      </c>
      <c r="B121" s="781" t="s">
        <v>176</v>
      </c>
      <c r="C121" s="737">
        <v>13639800</v>
      </c>
      <c r="D121" s="737">
        <v>13639800</v>
      </c>
      <c r="E121" s="737">
        <f>8318500</f>
        <v>8318500</v>
      </c>
    </row>
    <row r="122" spans="1:5" x14ac:dyDescent="0.35">
      <c r="A122" s="732" t="s">
        <v>102</v>
      </c>
      <c r="B122" s="781" t="s">
        <v>360</v>
      </c>
      <c r="C122" s="782"/>
      <c r="D122" s="782"/>
      <c r="E122" s="782"/>
    </row>
    <row r="123" spans="1:5" x14ac:dyDescent="0.35">
      <c r="A123" s="732" t="s">
        <v>103</v>
      </c>
      <c r="B123" s="740" t="s">
        <v>219</v>
      </c>
      <c r="C123" s="782">
        <f>C124+C125+C126+C127+C128+C129+C130+C131</f>
        <v>0</v>
      </c>
      <c r="D123" s="782">
        <f>D124+D125+D126+D127+D128+D129+D130+D131</f>
        <v>0</v>
      </c>
      <c r="E123" s="782">
        <f>E124+E125+E126+E127+E128+E129+E130+E131</f>
        <v>0</v>
      </c>
    </row>
    <row r="124" spans="1:5" x14ac:dyDescent="0.35">
      <c r="A124" s="732" t="s">
        <v>112</v>
      </c>
      <c r="B124" s="738" t="s">
        <v>421</v>
      </c>
      <c r="C124" s="782"/>
      <c r="D124" s="782"/>
      <c r="E124" s="782"/>
    </row>
    <row r="125" spans="1:5" x14ac:dyDescent="0.35">
      <c r="A125" s="732" t="s">
        <v>114</v>
      </c>
      <c r="B125" s="783" t="s">
        <v>365</v>
      </c>
      <c r="C125" s="782"/>
      <c r="D125" s="782"/>
      <c r="E125" s="782"/>
    </row>
    <row r="126" spans="1:5" x14ac:dyDescent="0.35">
      <c r="A126" s="732" t="s">
        <v>177</v>
      </c>
      <c r="B126" s="775" t="s">
        <v>349</v>
      </c>
      <c r="C126" s="782"/>
      <c r="D126" s="782"/>
      <c r="E126" s="782"/>
    </row>
    <row r="127" spans="1:5" x14ac:dyDescent="0.35">
      <c r="A127" s="732" t="s">
        <v>178</v>
      </c>
      <c r="B127" s="775" t="s">
        <v>364</v>
      </c>
      <c r="C127" s="782"/>
      <c r="D127" s="782"/>
      <c r="E127" s="782"/>
    </row>
    <row r="128" spans="1:5" x14ac:dyDescent="0.35">
      <c r="A128" s="732" t="s">
        <v>179</v>
      </c>
      <c r="B128" s="775" t="s">
        <v>363</v>
      </c>
      <c r="C128" s="782"/>
      <c r="D128" s="782"/>
      <c r="E128" s="782"/>
    </row>
    <row r="129" spans="1:5" x14ac:dyDescent="0.35">
      <c r="A129" s="732" t="s">
        <v>356</v>
      </c>
      <c r="B129" s="775" t="s">
        <v>352</v>
      </c>
      <c r="C129" s="782"/>
      <c r="D129" s="782"/>
      <c r="E129" s="782"/>
    </row>
    <row r="130" spans="1:5" x14ac:dyDescent="0.35">
      <c r="A130" s="732" t="s">
        <v>357</v>
      </c>
      <c r="B130" s="775" t="s">
        <v>362</v>
      </c>
      <c r="C130" s="782"/>
      <c r="D130" s="782"/>
      <c r="E130" s="782"/>
    </row>
    <row r="131" spans="1:5" ht="16" thickBot="1" x14ac:dyDescent="0.4">
      <c r="A131" s="776" t="s">
        <v>358</v>
      </c>
      <c r="B131" s="775" t="s">
        <v>361</v>
      </c>
      <c r="C131" s="784"/>
      <c r="D131" s="784"/>
      <c r="E131" s="784"/>
    </row>
    <row r="132" spans="1:5" ht="16" thickBot="1" x14ac:dyDescent="0.4">
      <c r="A132" s="728" t="s">
        <v>16</v>
      </c>
      <c r="B132" s="785" t="s">
        <v>443</v>
      </c>
      <c r="C132" s="730">
        <f>+C97+C118</f>
        <v>1383687307</v>
      </c>
      <c r="D132" s="730">
        <f>+D97+D118</f>
        <v>1401076230</v>
      </c>
      <c r="E132" s="730">
        <f>+E97+E118</f>
        <v>1317376822</v>
      </c>
    </row>
    <row r="133" spans="1:5" ht="16" thickBot="1" x14ac:dyDescent="0.4">
      <c r="A133" s="728" t="s">
        <v>17</v>
      </c>
      <c r="B133" s="785" t="s">
        <v>444</v>
      </c>
      <c r="C133" s="730">
        <f>+C134+C135+C136</f>
        <v>0</v>
      </c>
      <c r="D133" s="730">
        <f>+D134+D135+D136</f>
        <v>0</v>
      </c>
      <c r="E133" s="730">
        <f>+E134+E135+E136</f>
        <v>0</v>
      </c>
    </row>
    <row r="134" spans="1:5" x14ac:dyDescent="0.35">
      <c r="A134" s="732" t="s">
        <v>257</v>
      </c>
      <c r="B134" s="781" t="s">
        <v>451</v>
      </c>
      <c r="C134" s="782"/>
      <c r="D134" s="782"/>
      <c r="E134" s="782"/>
    </row>
    <row r="135" spans="1:5" x14ac:dyDescent="0.35">
      <c r="A135" s="732" t="s">
        <v>260</v>
      </c>
      <c r="B135" s="781" t="s">
        <v>452</v>
      </c>
      <c r="C135" s="782"/>
      <c r="D135" s="782"/>
      <c r="E135" s="782"/>
    </row>
    <row r="136" spans="1:5" ht="16" thickBot="1" x14ac:dyDescent="0.4">
      <c r="A136" s="776" t="s">
        <v>261</v>
      </c>
      <c r="B136" s="781" t="s">
        <v>453</v>
      </c>
      <c r="C136" s="782"/>
      <c r="D136" s="782"/>
      <c r="E136" s="782"/>
    </row>
    <row r="137" spans="1:5" ht="16" thickBot="1" x14ac:dyDescent="0.4">
      <c r="A137" s="728" t="s">
        <v>18</v>
      </c>
      <c r="B137" s="785" t="s">
        <v>445</v>
      </c>
      <c r="C137" s="730">
        <f>SUM(C138:C143)</f>
        <v>0</v>
      </c>
      <c r="D137" s="730">
        <f>SUM(D138:D143)</f>
        <v>0</v>
      </c>
      <c r="E137" s="730">
        <f>SUM(E138:E143)</f>
        <v>0</v>
      </c>
    </row>
    <row r="138" spans="1:5" x14ac:dyDescent="0.35">
      <c r="A138" s="732" t="s">
        <v>86</v>
      </c>
      <c r="B138" s="786" t="s">
        <v>454</v>
      </c>
      <c r="C138" s="782"/>
      <c r="D138" s="782"/>
      <c r="E138" s="782"/>
    </row>
    <row r="139" spans="1:5" x14ac:dyDescent="0.35">
      <c r="A139" s="732" t="s">
        <v>87</v>
      </c>
      <c r="B139" s="786" t="s">
        <v>446</v>
      </c>
      <c r="C139" s="782"/>
      <c r="D139" s="782"/>
      <c r="E139" s="782"/>
    </row>
    <row r="140" spans="1:5" x14ac:dyDescent="0.35">
      <c r="A140" s="732" t="s">
        <v>88</v>
      </c>
      <c r="B140" s="786" t="s">
        <v>447</v>
      </c>
      <c r="C140" s="782"/>
      <c r="D140" s="782"/>
      <c r="E140" s="782"/>
    </row>
    <row r="141" spans="1:5" x14ac:dyDescent="0.35">
      <c r="A141" s="732" t="s">
        <v>164</v>
      </c>
      <c r="B141" s="786" t="s">
        <v>448</v>
      </c>
      <c r="C141" s="782"/>
      <c r="D141" s="782"/>
      <c r="E141" s="782"/>
    </row>
    <row r="142" spans="1:5" x14ac:dyDescent="0.35">
      <c r="A142" s="732" t="s">
        <v>165</v>
      </c>
      <c r="B142" s="786" t="s">
        <v>449</v>
      </c>
      <c r="C142" s="782"/>
      <c r="D142" s="782"/>
      <c r="E142" s="782"/>
    </row>
    <row r="143" spans="1:5" ht="16" thickBot="1" x14ac:dyDescent="0.4">
      <c r="A143" s="776" t="s">
        <v>166</v>
      </c>
      <c r="B143" s="786" t="s">
        <v>450</v>
      </c>
      <c r="C143" s="782"/>
      <c r="D143" s="782"/>
      <c r="E143" s="782"/>
    </row>
    <row r="144" spans="1:5" ht="16" thickBot="1" x14ac:dyDescent="0.4">
      <c r="A144" s="728" t="s">
        <v>19</v>
      </c>
      <c r="B144" s="785" t="s">
        <v>458</v>
      </c>
      <c r="C144" s="744">
        <f>+C145+C146+C147+C148</f>
        <v>9609391</v>
      </c>
      <c r="D144" s="744">
        <f>+D145+D146+D147+D148</f>
        <v>9609391</v>
      </c>
      <c r="E144" s="744">
        <f>+E145+E146+E147+E148</f>
        <v>9386574</v>
      </c>
    </row>
    <row r="145" spans="1:5" x14ac:dyDescent="0.35">
      <c r="A145" s="732" t="s">
        <v>89</v>
      </c>
      <c r="B145" s="786" t="s">
        <v>366</v>
      </c>
      <c r="C145" s="782"/>
      <c r="D145" s="782"/>
      <c r="E145" s="782"/>
    </row>
    <row r="146" spans="1:5" x14ac:dyDescent="0.35">
      <c r="A146" s="732" t="s">
        <v>90</v>
      </c>
      <c r="B146" s="786" t="s">
        <v>367</v>
      </c>
      <c r="C146" s="782">
        <v>9609391</v>
      </c>
      <c r="D146" s="782">
        <v>9609391</v>
      </c>
      <c r="E146" s="782">
        <f>9386574</f>
        <v>9386574</v>
      </c>
    </row>
    <row r="147" spans="1:5" x14ac:dyDescent="0.35">
      <c r="A147" s="732" t="s">
        <v>281</v>
      </c>
      <c r="B147" s="786" t="s">
        <v>459</v>
      </c>
      <c r="C147" s="782"/>
      <c r="D147" s="782"/>
      <c r="E147" s="782"/>
    </row>
    <row r="148" spans="1:5" ht="16" thickBot="1" x14ac:dyDescent="0.4">
      <c r="A148" s="776" t="s">
        <v>282</v>
      </c>
      <c r="B148" s="787" t="s">
        <v>385</v>
      </c>
      <c r="C148" s="782"/>
      <c r="D148" s="782"/>
      <c r="E148" s="782"/>
    </row>
    <row r="149" spans="1:5" ht="16" thickBot="1" x14ac:dyDescent="0.4">
      <c r="A149" s="728" t="s">
        <v>20</v>
      </c>
      <c r="B149" s="785" t="s">
        <v>460</v>
      </c>
      <c r="C149" s="788">
        <f>SUM(C150:C154)</f>
        <v>0</v>
      </c>
      <c r="D149" s="788">
        <f>SUM(D150:D154)</f>
        <v>0</v>
      </c>
      <c r="E149" s="788">
        <f>SUM(E150:E154)</f>
        <v>0</v>
      </c>
    </row>
    <row r="150" spans="1:5" x14ac:dyDescent="0.35">
      <c r="A150" s="732" t="s">
        <v>91</v>
      </c>
      <c r="B150" s="786" t="s">
        <v>455</v>
      </c>
      <c r="C150" s="782"/>
      <c r="D150" s="782"/>
      <c r="E150" s="782"/>
    </row>
    <row r="151" spans="1:5" x14ac:dyDescent="0.35">
      <c r="A151" s="732" t="s">
        <v>92</v>
      </c>
      <c r="B151" s="786" t="s">
        <v>462</v>
      </c>
      <c r="C151" s="782"/>
      <c r="D151" s="782"/>
      <c r="E151" s="782"/>
    </row>
    <row r="152" spans="1:5" x14ac:dyDescent="0.35">
      <c r="A152" s="732" t="s">
        <v>293</v>
      </c>
      <c r="B152" s="786" t="s">
        <v>457</v>
      </c>
      <c r="C152" s="782"/>
      <c r="D152" s="782"/>
      <c r="E152" s="782"/>
    </row>
    <row r="153" spans="1:5" ht="31" x14ac:dyDescent="0.35">
      <c r="A153" s="732" t="s">
        <v>294</v>
      </c>
      <c r="B153" s="786" t="s">
        <v>463</v>
      </c>
      <c r="C153" s="782"/>
      <c r="D153" s="782"/>
      <c r="E153" s="782"/>
    </row>
    <row r="154" spans="1:5" ht="16" thickBot="1" x14ac:dyDescent="0.4">
      <c r="A154" s="732" t="s">
        <v>461</v>
      </c>
      <c r="B154" s="786" t="s">
        <v>464</v>
      </c>
      <c r="C154" s="782"/>
      <c r="D154" s="782"/>
      <c r="E154" s="782"/>
    </row>
    <row r="155" spans="1:5" ht="16" thickBot="1" x14ac:dyDescent="0.4">
      <c r="A155" s="728" t="s">
        <v>21</v>
      </c>
      <c r="B155" s="785" t="s">
        <v>465</v>
      </c>
      <c r="C155" s="789"/>
      <c r="D155" s="789"/>
      <c r="E155" s="789"/>
    </row>
    <row r="156" spans="1:5" ht="16" thickBot="1" x14ac:dyDescent="0.4">
      <c r="A156" s="728" t="s">
        <v>22</v>
      </c>
      <c r="B156" s="785" t="s">
        <v>540</v>
      </c>
      <c r="C156" s="789"/>
      <c r="D156" s="789"/>
      <c r="E156" s="789"/>
    </row>
    <row r="157" spans="1:5" ht="16" thickBot="1" x14ac:dyDescent="0.4">
      <c r="A157" s="728" t="s">
        <v>23</v>
      </c>
      <c r="B157" s="785" t="s">
        <v>468</v>
      </c>
      <c r="C157" s="790">
        <f>+C133+C137+C144+C149+C155+C156</f>
        <v>9609391</v>
      </c>
      <c r="D157" s="790">
        <f>+D133+D137+D144+D149+D155+D156</f>
        <v>9609391</v>
      </c>
      <c r="E157" s="790">
        <f>+E133+E137+E144+E149+E155+E156</f>
        <v>9386574</v>
      </c>
    </row>
    <row r="158" spans="1:5" s="731" customFormat="1" ht="16" thickBot="1" x14ac:dyDescent="0.4">
      <c r="A158" s="791" t="s">
        <v>24</v>
      </c>
      <c r="B158" s="792" t="s">
        <v>467</v>
      </c>
      <c r="C158" s="790">
        <f>+C132+C157</f>
        <v>1393296698</v>
      </c>
      <c r="D158" s="790">
        <f>+D132+D157</f>
        <v>1410685621</v>
      </c>
      <c r="E158" s="790">
        <f>+E132+E157</f>
        <v>1326763396</v>
      </c>
    </row>
    <row r="160" spans="1:5" x14ac:dyDescent="0.35">
      <c r="A160" s="838" t="s">
        <v>368</v>
      </c>
      <c r="B160" s="838"/>
      <c r="C160" s="33"/>
      <c r="D160" s="33"/>
      <c r="E160" s="33"/>
    </row>
    <row r="161" spans="1:5" ht="16" thickBot="1" x14ac:dyDescent="0.4">
      <c r="A161" s="899" t="s">
        <v>144</v>
      </c>
      <c r="B161" s="899"/>
      <c r="C161" s="837" t="s">
        <v>632</v>
      </c>
      <c r="D161" s="837" t="s">
        <v>632</v>
      </c>
      <c r="E161" s="837" t="s">
        <v>632</v>
      </c>
    </row>
    <row r="162" spans="1:5" ht="30.5" thickBot="1" x14ac:dyDescent="0.4">
      <c r="A162" s="728">
        <v>1</v>
      </c>
      <c r="B162" s="779" t="s">
        <v>469</v>
      </c>
      <c r="C162" s="730">
        <f>+C66-C132</f>
        <v>-690820108</v>
      </c>
      <c r="D162" s="730">
        <f>+D66-D132</f>
        <v>-696136853</v>
      </c>
      <c r="E162" s="730">
        <f>+E66-E132</f>
        <v>-696136853</v>
      </c>
    </row>
    <row r="163" spans="1:5" ht="45.5" thickBot="1" x14ac:dyDescent="0.4">
      <c r="A163" s="728" t="s">
        <v>15</v>
      </c>
      <c r="B163" s="779" t="s">
        <v>475</v>
      </c>
      <c r="C163" s="730">
        <f>+C90-C157</f>
        <v>690820108</v>
      </c>
      <c r="D163" s="730">
        <f>+D90-D157</f>
        <v>696136853</v>
      </c>
      <c r="E163" s="730">
        <f>+E90-E157</f>
        <v>696136853</v>
      </c>
    </row>
  </sheetData>
  <mergeCells count="5">
    <mergeCell ref="A161:B161"/>
    <mergeCell ref="A93:B93"/>
    <mergeCell ref="A5:B5"/>
    <mergeCell ref="A6:B6"/>
    <mergeCell ref="A94:B94"/>
  </mergeCells>
  <phoneticPr fontId="0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7" fitToHeight="2" orientation="portrait" r:id="rId1"/>
  <headerFooter alignWithMargins="0">
    <oddHeader>&amp;R&amp;"Times New Roman CE,Félkövér dőlt"&amp;11 1.1. melléklet a 11/2020. (VI.26.) önkormányzati rendelethez</oddHeader>
    <oddFooter>&amp;P. oldal, összesen: &amp;N</oddFooter>
  </headerFooter>
  <rowBreaks count="3" manualBreakCount="3">
    <brk id="66" max="4" man="1"/>
    <brk id="91" max="4" man="1"/>
    <brk id="13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0">
    <tabColor rgb="FFFFFF00"/>
  </sheetPr>
  <dimension ref="A1:N66"/>
  <sheetViews>
    <sheetView view="pageLayout" topLeftCell="A7" zoomScaleNormal="100" workbookViewId="0">
      <selection activeCell="F1" sqref="F1:M1"/>
    </sheetView>
  </sheetViews>
  <sheetFormatPr defaultColWidth="9.296875" defaultRowHeight="15.5" x14ac:dyDescent="0.3"/>
  <cols>
    <col min="1" max="1" width="44.5" style="187" bestFit="1" customWidth="1"/>
    <col min="2" max="2" width="19.69921875" style="187" bestFit="1" customWidth="1"/>
    <col min="3" max="3" width="14.796875" style="179" bestFit="1" customWidth="1"/>
    <col min="4" max="4" width="22.69921875" style="179" bestFit="1" customWidth="1"/>
    <col min="5" max="5" width="14.5" style="179" bestFit="1" customWidth="1"/>
    <col min="6" max="8" width="20.796875" style="186" bestFit="1" customWidth="1"/>
    <col min="9" max="9" width="15.19921875" style="181" bestFit="1" customWidth="1"/>
    <col min="10" max="10" width="15.69921875" style="179" bestFit="1" customWidth="1"/>
    <col min="11" max="11" width="12.5" style="179" bestFit="1" customWidth="1"/>
    <col min="12" max="12" width="10.796875" style="179" bestFit="1" customWidth="1"/>
    <col min="13" max="13" width="13.796875" style="179" bestFit="1" customWidth="1"/>
    <col min="14" max="14" width="2.796875" style="179" bestFit="1" customWidth="1"/>
    <col min="15" max="15" width="12.796875" style="179" customWidth="1"/>
    <col min="16" max="16" width="13.796875" style="179" customWidth="1"/>
    <col min="17" max="16384" width="9.296875" style="179"/>
  </cols>
  <sheetData>
    <row r="1" spans="1:13" ht="19.5" customHeight="1" x14ac:dyDescent="0.3">
      <c r="A1" s="922" t="s">
        <v>535</v>
      </c>
      <c r="B1" s="922"/>
      <c r="F1" s="921" t="s">
        <v>741</v>
      </c>
      <c r="G1" s="921"/>
      <c r="H1" s="921"/>
      <c r="I1" s="921"/>
      <c r="J1" s="921"/>
      <c r="K1" s="921"/>
      <c r="L1" s="921"/>
      <c r="M1" s="921"/>
    </row>
    <row r="5" spans="1:13" ht="25.5" customHeight="1" x14ac:dyDescent="0.3">
      <c r="A5" s="920" t="s">
        <v>638</v>
      </c>
      <c r="B5" s="920"/>
      <c r="C5" s="920"/>
      <c r="D5" s="920"/>
      <c r="E5" s="920"/>
      <c r="F5" s="920"/>
      <c r="G5" s="920"/>
      <c r="H5" s="920"/>
      <c r="I5" s="920"/>
      <c r="J5" s="920"/>
      <c r="K5" s="920"/>
      <c r="L5" s="920"/>
      <c r="M5" s="920"/>
    </row>
    <row r="6" spans="1:13" ht="22.5" customHeight="1" thickBot="1" x14ac:dyDescent="0.4">
      <c r="A6" s="180"/>
      <c r="B6" s="180"/>
      <c r="C6" s="181"/>
      <c r="D6" s="181"/>
      <c r="E6" s="181"/>
      <c r="F6" s="663"/>
      <c r="G6" s="663"/>
      <c r="H6" s="663"/>
      <c r="I6" s="610" t="s">
        <v>579</v>
      </c>
      <c r="J6" s="660" t="s">
        <v>579</v>
      </c>
      <c r="K6" s="181"/>
      <c r="L6" s="181"/>
      <c r="M6" s="181"/>
    </row>
    <row r="7" spans="1:13" s="178" customFormat="1" ht="44.25" customHeight="1" thickBot="1" x14ac:dyDescent="0.35">
      <c r="A7" s="182" t="s">
        <v>59</v>
      </c>
      <c r="B7" s="183" t="s">
        <v>606</v>
      </c>
      <c r="C7" s="611" t="s">
        <v>60</v>
      </c>
      <c r="D7" s="611" t="s">
        <v>61</v>
      </c>
      <c r="E7" s="611" t="s">
        <v>657</v>
      </c>
      <c r="F7" s="611" t="s">
        <v>640</v>
      </c>
      <c r="G7" s="611" t="s">
        <v>724</v>
      </c>
      <c r="H7" s="812" t="s">
        <v>730</v>
      </c>
      <c r="I7" s="612" t="s">
        <v>658</v>
      </c>
      <c r="J7" s="613" t="s">
        <v>601</v>
      </c>
      <c r="K7" s="614" t="s">
        <v>602</v>
      </c>
      <c r="L7" s="614" t="s">
        <v>603</v>
      </c>
      <c r="M7" s="615" t="s">
        <v>600</v>
      </c>
    </row>
    <row r="8" spans="1:13" s="181" customFormat="1" ht="16" thickBot="1" x14ac:dyDescent="0.35">
      <c r="A8" s="184" t="s">
        <v>482</v>
      </c>
      <c r="B8" s="185"/>
      <c r="C8" s="616" t="s">
        <v>483</v>
      </c>
      <c r="D8" s="616" t="s">
        <v>484</v>
      </c>
      <c r="E8" s="616" t="s">
        <v>486</v>
      </c>
      <c r="F8" s="616" t="s">
        <v>485</v>
      </c>
      <c r="G8" s="616" t="s">
        <v>485</v>
      </c>
      <c r="H8" s="616" t="s">
        <v>485</v>
      </c>
      <c r="I8" s="617" t="s">
        <v>488</v>
      </c>
      <c r="J8" s="661"/>
      <c r="K8" s="618"/>
      <c r="L8" s="618"/>
      <c r="M8" s="616"/>
    </row>
    <row r="9" spans="1:13" ht="24.75" customHeight="1" x14ac:dyDescent="0.3">
      <c r="A9" s="392" t="s">
        <v>673</v>
      </c>
      <c r="B9" s="393" t="s">
        <v>671</v>
      </c>
      <c r="C9" s="601">
        <f>100000*1.27</f>
        <v>127000</v>
      </c>
      <c r="D9" s="602" t="s">
        <v>661</v>
      </c>
      <c r="E9" s="601"/>
      <c r="F9" s="664">
        <f>100000*1.27</f>
        <v>127000</v>
      </c>
      <c r="G9" s="664">
        <f>100000*1.27</f>
        <v>127000</v>
      </c>
      <c r="H9" s="664">
        <f>100000*1.27</f>
        <v>127000</v>
      </c>
      <c r="I9" s="603"/>
      <c r="J9" s="604">
        <f>K9+L9+M9</f>
        <v>127000</v>
      </c>
      <c r="K9" s="601">
        <f>100000*1.27</f>
        <v>127000</v>
      </c>
      <c r="L9" s="604"/>
      <c r="M9" s="601"/>
    </row>
    <row r="10" spans="1:13" ht="31" x14ac:dyDescent="0.3">
      <c r="A10" s="392" t="s">
        <v>677</v>
      </c>
      <c r="B10" s="393" t="s">
        <v>678</v>
      </c>
      <c r="C10" s="601">
        <f>200000*1.27</f>
        <v>254000</v>
      </c>
      <c r="D10" s="602" t="s">
        <v>661</v>
      </c>
      <c r="E10" s="601"/>
      <c r="F10" s="664">
        <f>200000*1.27</f>
        <v>254000</v>
      </c>
      <c r="G10" s="664">
        <f>200000*1.27</f>
        <v>254000</v>
      </c>
      <c r="H10" s="664">
        <f>200000*1.27</f>
        <v>254000</v>
      </c>
      <c r="I10" s="603"/>
      <c r="J10" s="604">
        <f>K10+L10+M10</f>
        <v>254000</v>
      </c>
      <c r="K10" s="601">
        <f>200000*1.27</f>
        <v>254000</v>
      </c>
      <c r="L10" s="604"/>
      <c r="M10" s="601"/>
    </row>
    <row r="11" spans="1:13" ht="24.75" customHeight="1" x14ac:dyDescent="0.3">
      <c r="A11" s="392" t="s">
        <v>679</v>
      </c>
      <c r="B11" s="393" t="s">
        <v>678</v>
      </c>
      <c r="C11" s="601">
        <f>255000*1.27</f>
        <v>323850</v>
      </c>
      <c r="D11" s="602" t="s">
        <v>661</v>
      </c>
      <c r="E11" s="601"/>
      <c r="F11" s="664">
        <f>255000*1.27</f>
        <v>323850</v>
      </c>
      <c r="G11" s="664">
        <f>255000*1.27</f>
        <v>323850</v>
      </c>
      <c r="H11" s="664">
        <f>255000*1.27</f>
        <v>323850</v>
      </c>
      <c r="I11" s="603"/>
      <c r="J11" s="604">
        <f>K11+L11+M11</f>
        <v>323850</v>
      </c>
      <c r="K11" s="601">
        <f>255000*1.27</f>
        <v>323850</v>
      </c>
      <c r="L11" s="604"/>
      <c r="M11" s="601"/>
    </row>
    <row r="12" spans="1:13" s="396" customFormat="1" ht="24.75" customHeight="1" x14ac:dyDescent="0.3">
      <c r="A12" s="394" t="s">
        <v>595</v>
      </c>
      <c r="B12" s="395"/>
      <c r="C12" s="606">
        <f>SUM(C9:C11)</f>
        <v>704850</v>
      </c>
      <c r="D12" s="606"/>
      <c r="E12" s="606"/>
      <c r="F12" s="606">
        <f t="shared" ref="F12:M12" si="0">SUM(F9:F11)</f>
        <v>704850</v>
      </c>
      <c r="G12" s="606">
        <f>SUM(G9:G11)</f>
        <v>704850</v>
      </c>
      <c r="H12" s="606">
        <f>SUM(H9:H11)</f>
        <v>704850</v>
      </c>
      <c r="I12" s="606"/>
      <c r="J12" s="606">
        <f t="shared" si="0"/>
        <v>704850</v>
      </c>
      <c r="K12" s="606">
        <f t="shared" si="0"/>
        <v>704850</v>
      </c>
      <c r="L12" s="606">
        <f t="shared" si="0"/>
        <v>0</v>
      </c>
      <c r="M12" s="606">
        <f t="shared" si="0"/>
        <v>0</v>
      </c>
    </row>
    <row r="13" spans="1:13" s="396" customFormat="1" ht="24.75" customHeight="1" x14ac:dyDescent="0.3">
      <c r="A13" s="394"/>
      <c r="B13" s="395"/>
      <c r="C13" s="606"/>
      <c r="D13" s="607"/>
      <c r="E13" s="606"/>
      <c r="F13" s="606"/>
      <c r="G13" s="606"/>
      <c r="H13" s="606"/>
      <c r="I13" s="608"/>
      <c r="J13" s="662"/>
      <c r="K13" s="609"/>
      <c r="L13" s="609"/>
      <c r="M13" s="606"/>
    </row>
    <row r="14" spans="1:13" ht="31" x14ac:dyDescent="0.3">
      <c r="A14" s="392" t="s">
        <v>667</v>
      </c>
      <c r="B14" s="393" t="s">
        <v>668</v>
      </c>
      <c r="C14" s="601">
        <f>360000*1.27-360000*1.27</f>
        <v>0</v>
      </c>
      <c r="D14" s="602" t="s">
        <v>661</v>
      </c>
      <c r="E14" s="601"/>
      <c r="F14" s="664">
        <f>360000*1.27</f>
        <v>457200</v>
      </c>
      <c r="G14" s="664">
        <f>360000*1.27</f>
        <v>457200</v>
      </c>
      <c r="H14" s="601">
        <f>360000*1.27-360000*1.27</f>
        <v>0</v>
      </c>
      <c r="I14" s="605"/>
      <c r="J14" s="604">
        <f t="shared" ref="J14:J20" si="1">K14+L14+M14</f>
        <v>0</v>
      </c>
      <c r="K14" s="601">
        <f>360000*1.27-360000*1.27</f>
        <v>0</v>
      </c>
      <c r="L14" s="604"/>
      <c r="M14" s="601"/>
    </row>
    <row r="15" spans="1:13" ht="31" x14ac:dyDescent="0.3">
      <c r="A15" s="392" t="s">
        <v>669</v>
      </c>
      <c r="B15" s="393" t="s">
        <v>670</v>
      </c>
      <c r="C15" s="601">
        <f>400000*1.27</f>
        <v>508000</v>
      </c>
      <c r="D15" s="602" t="s">
        <v>661</v>
      </c>
      <c r="E15" s="601"/>
      <c r="F15" s="664">
        <f>400000*1.27</f>
        <v>508000</v>
      </c>
      <c r="G15" s="664">
        <f>400000*1.27</f>
        <v>508000</v>
      </c>
      <c r="H15" s="664">
        <f>400000*1.27</f>
        <v>508000</v>
      </c>
      <c r="I15" s="605"/>
      <c r="J15" s="604">
        <f t="shared" si="1"/>
        <v>508000</v>
      </c>
      <c r="K15" s="601">
        <f>400000*1.27</f>
        <v>508000</v>
      </c>
      <c r="L15" s="604"/>
      <c r="M15" s="601"/>
    </row>
    <row r="16" spans="1:13" x14ac:dyDescent="0.3">
      <c r="A16" s="392" t="s">
        <v>680</v>
      </c>
      <c r="B16" s="393" t="s">
        <v>678</v>
      </c>
      <c r="C16" s="601">
        <f>300000*1.27-300000*1.27</f>
        <v>0</v>
      </c>
      <c r="D16" s="602" t="s">
        <v>661</v>
      </c>
      <c r="E16" s="601"/>
      <c r="F16" s="664">
        <f>300000*1.27</f>
        <v>381000</v>
      </c>
      <c r="G16" s="664">
        <f>300000*1.27</f>
        <v>381000</v>
      </c>
      <c r="H16" s="601">
        <f>300000*1.27-300000*1.27</f>
        <v>0</v>
      </c>
      <c r="I16" s="605"/>
      <c r="J16" s="604">
        <f t="shared" si="1"/>
        <v>0</v>
      </c>
      <c r="K16" s="601">
        <f>300000*1.27-300000*1.27</f>
        <v>0</v>
      </c>
      <c r="L16" s="604"/>
      <c r="M16" s="601"/>
    </row>
    <row r="17" spans="1:14" x14ac:dyDescent="0.3">
      <c r="A17" s="392" t="s">
        <v>692</v>
      </c>
      <c r="B17" s="393" t="s">
        <v>678</v>
      </c>
      <c r="C17" s="601">
        <f>500000</f>
        <v>500000</v>
      </c>
      <c r="D17" s="602" t="s">
        <v>661</v>
      </c>
      <c r="E17" s="601"/>
      <c r="F17" s="664">
        <f t="shared" ref="F17:H18" si="2">500000</f>
        <v>500000</v>
      </c>
      <c r="G17" s="664">
        <f t="shared" si="2"/>
        <v>500000</v>
      </c>
      <c r="H17" s="664">
        <f t="shared" si="2"/>
        <v>500000</v>
      </c>
      <c r="I17" s="605"/>
      <c r="J17" s="604">
        <f t="shared" si="1"/>
        <v>500000</v>
      </c>
      <c r="K17" s="601">
        <f>500000</f>
        <v>500000</v>
      </c>
      <c r="L17" s="604"/>
      <c r="M17" s="604"/>
    </row>
    <row r="18" spans="1:14" ht="31" x14ac:dyDescent="0.3">
      <c r="A18" s="392" t="s">
        <v>681</v>
      </c>
      <c r="B18" s="393" t="s">
        <v>678</v>
      </c>
      <c r="C18" s="601">
        <f>500000</f>
        <v>500000</v>
      </c>
      <c r="D18" s="602" t="s">
        <v>661</v>
      </c>
      <c r="E18" s="601"/>
      <c r="F18" s="664">
        <f t="shared" si="2"/>
        <v>500000</v>
      </c>
      <c r="G18" s="664">
        <f t="shared" si="2"/>
        <v>500000</v>
      </c>
      <c r="H18" s="664">
        <f t="shared" si="2"/>
        <v>500000</v>
      </c>
      <c r="I18" s="603"/>
      <c r="J18" s="604">
        <f t="shared" si="1"/>
        <v>500000</v>
      </c>
      <c r="K18" s="601">
        <f>500000</f>
        <v>500000</v>
      </c>
      <c r="L18" s="604"/>
      <c r="M18" s="601"/>
      <c r="N18" s="653"/>
    </row>
    <row r="19" spans="1:14" x14ac:dyDescent="0.3">
      <c r="A19" s="392" t="s">
        <v>685</v>
      </c>
      <c r="B19" s="393" t="s">
        <v>686</v>
      </c>
      <c r="C19" s="601">
        <f>5100000*1.27</f>
        <v>6477000</v>
      </c>
      <c r="D19" s="602" t="s">
        <v>661</v>
      </c>
      <c r="E19" s="601"/>
      <c r="F19" s="664">
        <f>5100000*1.27</f>
        <v>6477000</v>
      </c>
      <c r="G19" s="664">
        <f>5100000*1.27</f>
        <v>6477000</v>
      </c>
      <c r="H19" s="664">
        <f>5100000*1.27</f>
        <v>6477000</v>
      </c>
      <c r="I19" s="603"/>
      <c r="J19" s="604">
        <f t="shared" si="1"/>
        <v>6477000</v>
      </c>
      <c r="K19" s="601"/>
      <c r="L19" s="604"/>
      <c r="M19" s="601">
        <f>5100000*1.27</f>
        <v>6477000</v>
      </c>
    </row>
    <row r="20" spans="1:14" ht="24.75" customHeight="1" x14ac:dyDescent="0.3">
      <c r="A20" s="392" t="s">
        <v>687</v>
      </c>
      <c r="B20" s="393" t="s">
        <v>688</v>
      </c>
      <c r="C20" s="601">
        <f>42667728+2000000+1921833</f>
        <v>46589561</v>
      </c>
      <c r="D20" s="602" t="s">
        <v>661</v>
      </c>
      <c r="E20" s="601"/>
      <c r="F20" s="664">
        <f>42667728+2000000+1921833</f>
        <v>46589561</v>
      </c>
      <c r="G20" s="664">
        <f>42667728+2000000+1921833</f>
        <v>46589561</v>
      </c>
      <c r="H20" s="664">
        <f>42667728+2000000+1921833</f>
        <v>46589561</v>
      </c>
      <c r="I20" s="605"/>
      <c r="J20" s="604">
        <f t="shared" si="1"/>
        <v>46589561</v>
      </c>
      <c r="K20" s="601">
        <v>2000000</v>
      </c>
      <c r="L20" s="604"/>
      <c r="M20" s="601">
        <f>42667728+1921833</f>
        <v>44589561</v>
      </c>
    </row>
    <row r="21" spans="1:14" ht="24.75" customHeight="1" x14ac:dyDescent="0.3">
      <c r="A21" s="392" t="s">
        <v>690</v>
      </c>
      <c r="B21" s="393" t="s">
        <v>691</v>
      </c>
      <c r="C21" s="601">
        <f>1400000*1.27</f>
        <v>1778000</v>
      </c>
      <c r="D21" s="602" t="s">
        <v>661</v>
      </c>
      <c r="E21" s="601"/>
      <c r="F21" s="664">
        <f>1400000*1.27</f>
        <v>1778000</v>
      </c>
      <c r="G21" s="664">
        <f>1400000*1.27</f>
        <v>1778000</v>
      </c>
      <c r="H21" s="664">
        <f>1400000*1.27</f>
        <v>1778000</v>
      </c>
      <c r="I21" s="603"/>
      <c r="J21" s="604">
        <f t="shared" ref="J21:J29" si="3">K21+L21+M21</f>
        <v>1778000</v>
      </c>
      <c r="K21" s="601">
        <f>1400000*1.27</f>
        <v>1778000</v>
      </c>
      <c r="L21" s="604"/>
      <c r="M21" s="601"/>
    </row>
    <row r="22" spans="1:14" ht="24.75" customHeight="1" x14ac:dyDescent="0.3">
      <c r="A22" s="392" t="s">
        <v>709</v>
      </c>
      <c r="B22" s="393" t="s">
        <v>693</v>
      </c>
      <c r="C22" s="601">
        <f>173580801+45933426</f>
        <v>219514227</v>
      </c>
      <c r="D22" s="602" t="s">
        <v>661</v>
      </c>
      <c r="E22" s="601"/>
      <c r="F22" s="664">
        <f>173580801+45933426</f>
        <v>219514227</v>
      </c>
      <c r="G22" s="664">
        <f>173580801+45933426</f>
        <v>219514227</v>
      </c>
      <c r="H22" s="664">
        <f>173580801+45933426</f>
        <v>219514227</v>
      </c>
      <c r="I22" s="603"/>
      <c r="J22" s="604">
        <f t="shared" si="3"/>
        <v>219514227</v>
      </c>
      <c r="K22" s="601"/>
      <c r="L22" s="604"/>
      <c r="M22" s="601">
        <f>173580801+45933426</f>
        <v>219514227</v>
      </c>
    </row>
    <row r="23" spans="1:14" ht="24.75" customHeight="1" x14ac:dyDescent="0.3">
      <c r="A23" s="392" t="s">
        <v>694</v>
      </c>
      <c r="B23" s="393" t="s">
        <v>695</v>
      </c>
      <c r="C23" s="601">
        <f>6500000*1.27-(3600000*1.27)</f>
        <v>3683000</v>
      </c>
      <c r="D23" s="602" t="s">
        <v>661</v>
      </c>
      <c r="E23" s="601"/>
      <c r="F23" s="664">
        <f>6500000*1.27</f>
        <v>8255000</v>
      </c>
      <c r="G23" s="664">
        <f>6500000*1.27</f>
        <v>8255000</v>
      </c>
      <c r="H23" s="601">
        <f>6500000*1.27-(3600000*1.27)</f>
        <v>3683000</v>
      </c>
      <c r="I23" s="603"/>
      <c r="J23" s="604">
        <f t="shared" si="3"/>
        <v>3683000</v>
      </c>
      <c r="K23" s="601">
        <f>(6500000-2856800)*1.27-(3600000*1.27)</f>
        <v>54864</v>
      </c>
      <c r="L23" s="604"/>
      <c r="M23" s="601">
        <f>2856800*1.27</f>
        <v>3628136</v>
      </c>
    </row>
    <row r="24" spans="1:14" ht="31" x14ac:dyDescent="0.3">
      <c r="A24" s="392" t="s">
        <v>734</v>
      </c>
      <c r="B24" s="393" t="s">
        <v>735</v>
      </c>
      <c r="C24" s="601">
        <f>(1200000*1.27)+(600000*1.27)</f>
        <v>2286000</v>
      </c>
      <c r="D24" s="602" t="s">
        <v>661</v>
      </c>
      <c r="E24" s="601"/>
      <c r="F24" s="664"/>
      <c r="G24" s="664"/>
      <c r="H24" s="601">
        <f>(1200000*1.27)+(600000*1.27)</f>
        <v>2286000</v>
      </c>
      <c r="I24" s="603"/>
      <c r="J24" s="604">
        <f t="shared" si="3"/>
        <v>2286000</v>
      </c>
      <c r="K24" s="601">
        <f>(1200000*1.27)+(600000*1.27)</f>
        <v>2286000</v>
      </c>
      <c r="L24" s="604"/>
      <c r="M24" s="601"/>
    </row>
    <row r="25" spans="1:14" ht="24.75" customHeight="1" x14ac:dyDescent="0.3">
      <c r="A25" s="392" t="s">
        <v>705</v>
      </c>
      <c r="B25" s="393" t="s">
        <v>706</v>
      </c>
      <c r="C25" s="601">
        <f>1780000*1.27-(1780000*1.27)</f>
        <v>0</v>
      </c>
      <c r="D25" s="602" t="s">
        <v>661</v>
      </c>
      <c r="E25" s="601"/>
      <c r="F25" s="664">
        <f>1780000*1.27</f>
        <v>2260600</v>
      </c>
      <c r="G25" s="664">
        <f>1780000*1.27</f>
        <v>2260600</v>
      </c>
      <c r="H25" s="664">
        <f>1780000*1.27-(1780000*1.27)</f>
        <v>0</v>
      </c>
      <c r="I25" s="603"/>
      <c r="J25" s="604">
        <f t="shared" si="3"/>
        <v>0</v>
      </c>
      <c r="K25" s="601">
        <f>1780000*1.27-(1780000*1.27)</f>
        <v>0</v>
      </c>
      <c r="L25" s="604"/>
      <c r="M25" s="601"/>
    </row>
    <row r="26" spans="1:14" ht="24.75" customHeight="1" x14ac:dyDescent="0.3">
      <c r="A26" s="392" t="s">
        <v>707</v>
      </c>
      <c r="B26" s="393" t="s">
        <v>706</v>
      </c>
      <c r="C26" s="601">
        <f>5000000*1.27</f>
        <v>6350000</v>
      </c>
      <c r="D26" s="602" t="s">
        <v>661</v>
      </c>
      <c r="E26" s="601"/>
      <c r="F26" s="664">
        <f>5000000*1.27</f>
        <v>6350000</v>
      </c>
      <c r="G26" s="664">
        <f>5000000*1.27</f>
        <v>6350000</v>
      </c>
      <c r="H26" s="664">
        <f>5000000*1.27</f>
        <v>6350000</v>
      </c>
      <c r="I26" s="603"/>
      <c r="J26" s="604">
        <f t="shared" si="3"/>
        <v>6350000</v>
      </c>
      <c r="K26" s="601">
        <f>5000000*1.27</f>
        <v>6350000</v>
      </c>
      <c r="L26" s="604"/>
      <c r="M26" s="601"/>
    </row>
    <row r="27" spans="1:14" ht="24.75" customHeight="1" x14ac:dyDescent="0.3">
      <c r="A27" s="392" t="s">
        <v>710</v>
      </c>
      <c r="B27" s="393" t="s">
        <v>711</v>
      </c>
      <c r="C27" s="601">
        <f>21686000</f>
        <v>21686000</v>
      </c>
      <c r="D27" s="602" t="s">
        <v>661</v>
      </c>
      <c r="E27" s="601"/>
      <c r="F27" s="664">
        <f>21686000</f>
        <v>21686000</v>
      </c>
      <c r="G27" s="664">
        <f>21686000</f>
        <v>21686000</v>
      </c>
      <c r="H27" s="664">
        <f>21686000</f>
        <v>21686000</v>
      </c>
      <c r="I27" s="603"/>
      <c r="J27" s="604">
        <f t="shared" si="3"/>
        <v>21686000</v>
      </c>
      <c r="K27" s="601"/>
      <c r="L27" s="604"/>
      <c r="M27" s="601">
        <f>21686000</f>
        <v>21686000</v>
      </c>
    </row>
    <row r="28" spans="1:14" ht="24.75" customHeight="1" x14ac:dyDescent="0.3">
      <c r="A28" s="392" t="s">
        <v>713</v>
      </c>
      <c r="B28" s="393" t="s">
        <v>605</v>
      </c>
      <c r="C28" s="601">
        <f>(1500000*1.27)-(1000000*1.27)</f>
        <v>635000</v>
      </c>
      <c r="D28" s="602" t="s">
        <v>661</v>
      </c>
      <c r="E28" s="601"/>
      <c r="F28" s="664">
        <f>1500000*1.27</f>
        <v>1905000</v>
      </c>
      <c r="G28" s="664">
        <f>1500000*1.27</f>
        <v>1905000</v>
      </c>
      <c r="H28" s="664">
        <f>(1500000*1.27)-(1000000*1.27)</f>
        <v>635000</v>
      </c>
      <c r="I28" s="603"/>
      <c r="J28" s="604">
        <f t="shared" si="3"/>
        <v>635000</v>
      </c>
      <c r="K28" s="601">
        <f>(1500000*1.27)-(1000000*1.27)</f>
        <v>635000</v>
      </c>
      <c r="L28" s="604"/>
      <c r="M28" s="601"/>
    </row>
    <row r="29" spans="1:14" ht="31" x14ac:dyDescent="0.3">
      <c r="A29" s="392" t="s">
        <v>739</v>
      </c>
      <c r="B29" s="393" t="s">
        <v>740</v>
      </c>
      <c r="C29" s="601">
        <f>(262400*1.27)</f>
        <v>333248</v>
      </c>
      <c r="D29" s="602" t="s">
        <v>661</v>
      </c>
      <c r="E29" s="601"/>
      <c r="F29" s="664"/>
      <c r="G29" s="664"/>
      <c r="H29" s="664">
        <f>(262400*1.27)</f>
        <v>333248</v>
      </c>
      <c r="I29" s="603"/>
      <c r="J29" s="604">
        <f t="shared" si="3"/>
        <v>333248</v>
      </c>
      <c r="K29" s="601">
        <f>(262400*1.27)</f>
        <v>333248</v>
      </c>
      <c r="L29" s="604"/>
      <c r="M29" s="601"/>
    </row>
    <row r="30" spans="1:14" s="396" customFormat="1" ht="24.75" customHeight="1" x14ac:dyDescent="0.3">
      <c r="A30" s="394" t="s">
        <v>596</v>
      </c>
      <c r="B30" s="395"/>
      <c r="C30" s="606">
        <f>SUM(C14:C29)</f>
        <v>310840036</v>
      </c>
      <c r="D30" s="606"/>
      <c r="E30" s="606"/>
      <c r="F30" s="606">
        <f t="shared" ref="F30:M30" si="4">SUM(F14:F29)</f>
        <v>317161588</v>
      </c>
      <c r="G30" s="606">
        <f t="shared" si="4"/>
        <v>317161588</v>
      </c>
      <c r="H30" s="606">
        <f t="shared" si="4"/>
        <v>310840036</v>
      </c>
      <c r="I30" s="606"/>
      <c r="J30" s="606">
        <f t="shared" si="4"/>
        <v>310840036</v>
      </c>
      <c r="K30" s="606">
        <f t="shared" si="4"/>
        <v>14945112</v>
      </c>
      <c r="L30" s="606">
        <f t="shared" si="4"/>
        <v>0</v>
      </c>
      <c r="M30" s="606">
        <f t="shared" si="4"/>
        <v>295894924</v>
      </c>
      <c r="N30" s="606"/>
    </row>
    <row r="31" spans="1:14" ht="24.75" customHeight="1" x14ac:dyDescent="0.3">
      <c r="A31" s="392"/>
      <c r="B31" s="393"/>
      <c r="C31" s="601"/>
      <c r="D31" s="602"/>
      <c r="E31" s="601"/>
      <c r="F31" s="664"/>
      <c r="G31" s="664"/>
      <c r="H31" s="664"/>
      <c r="I31" s="605"/>
      <c r="J31" s="604"/>
      <c r="K31" s="604"/>
      <c r="L31" s="604"/>
      <c r="M31" s="601"/>
    </row>
    <row r="32" spans="1:14" ht="24.75" customHeight="1" x14ac:dyDescent="0.3">
      <c r="A32" s="392" t="s">
        <v>672</v>
      </c>
      <c r="B32" s="393" t="s">
        <v>671</v>
      </c>
      <c r="C32" s="601">
        <f>600000*1.27</f>
        <v>762000</v>
      </c>
      <c r="D32" s="602" t="s">
        <v>661</v>
      </c>
      <c r="E32" s="601"/>
      <c r="F32" s="664">
        <f>600000*1.27</f>
        <v>762000</v>
      </c>
      <c r="G32" s="664">
        <f>600000*1.27</f>
        <v>762000</v>
      </c>
      <c r="H32" s="664">
        <f>600000*1.27</f>
        <v>762000</v>
      </c>
      <c r="I32" s="605"/>
      <c r="J32" s="604">
        <f>K32+L32+M32</f>
        <v>762000</v>
      </c>
      <c r="K32" s="601">
        <f>600000*1.27</f>
        <v>762000</v>
      </c>
      <c r="L32" s="604"/>
      <c r="M32" s="601"/>
    </row>
    <row r="33" spans="1:13" ht="24.75" customHeight="1" x14ac:dyDescent="0.3">
      <c r="A33" s="392" t="s">
        <v>696</v>
      </c>
      <c r="B33" s="393" t="s">
        <v>697</v>
      </c>
      <c r="C33" s="601">
        <f>100000*1.27</f>
        <v>127000</v>
      </c>
      <c r="D33" s="602" t="s">
        <v>661</v>
      </c>
      <c r="E33" s="601"/>
      <c r="F33" s="664">
        <f>100000*1.27</f>
        <v>127000</v>
      </c>
      <c r="G33" s="664">
        <f>100000*1.27</f>
        <v>127000</v>
      </c>
      <c r="H33" s="664">
        <f>100000*1.27</f>
        <v>127000</v>
      </c>
      <c r="I33" s="605"/>
      <c r="J33" s="604">
        <f>K33+L33+M33</f>
        <v>127000</v>
      </c>
      <c r="K33" s="601">
        <f>100000*1.27</f>
        <v>127000</v>
      </c>
      <c r="L33" s="604"/>
      <c r="M33" s="601"/>
    </row>
    <row r="34" spans="1:13" ht="24.75" customHeight="1" x14ac:dyDescent="0.3">
      <c r="A34" s="392" t="s">
        <v>698</v>
      </c>
      <c r="B34" s="393" t="s">
        <v>699</v>
      </c>
      <c r="C34" s="601">
        <f>50000*1.27</f>
        <v>63500</v>
      </c>
      <c r="D34" s="602" t="s">
        <v>661</v>
      </c>
      <c r="E34" s="601"/>
      <c r="F34" s="664">
        <f>50000*1.27</f>
        <v>63500</v>
      </c>
      <c r="G34" s="664">
        <f>50000*1.27</f>
        <v>63500</v>
      </c>
      <c r="H34" s="664">
        <f>50000*1.27</f>
        <v>63500</v>
      </c>
      <c r="I34" s="603"/>
      <c r="J34" s="604">
        <f>K34+L34+M34</f>
        <v>63500</v>
      </c>
      <c r="K34" s="601">
        <f>50000*1.27</f>
        <v>63500</v>
      </c>
      <c r="L34" s="604"/>
      <c r="M34" s="601"/>
    </row>
    <row r="35" spans="1:13" s="396" customFormat="1" ht="24.75" customHeight="1" x14ac:dyDescent="0.3">
      <c r="A35" s="394" t="s">
        <v>597</v>
      </c>
      <c r="B35" s="395"/>
      <c r="C35" s="606">
        <f>SUM(C32:C34)</f>
        <v>952500</v>
      </c>
      <c r="D35" s="606"/>
      <c r="E35" s="606"/>
      <c r="F35" s="606">
        <f t="shared" ref="F35:M35" si="5">SUM(F32:F34)</f>
        <v>952500</v>
      </c>
      <c r="G35" s="606">
        <f>SUM(G32:G34)</f>
        <v>952500</v>
      </c>
      <c r="H35" s="606">
        <f>SUM(H32:H34)</f>
        <v>952500</v>
      </c>
      <c r="I35" s="606"/>
      <c r="J35" s="606">
        <f t="shared" si="5"/>
        <v>952500</v>
      </c>
      <c r="K35" s="606">
        <f t="shared" si="5"/>
        <v>952500</v>
      </c>
      <c r="L35" s="606">
        <f t="shared" si="5"/>
        <v>0</v>
      </c>
      <c r="M35" s="606">
        <f t="shared" si="5"/>
        <v>0</v>
      </c>
    </row>
    <row r="36" spans="1:13" ht="24.75" customHeight="1" x14ac:dyDescent="0.3">
      <c r="A36" s="392"/>
      <c r="B36" s="393"/>
      <c r="C36" s="601"/>
      <c r="D36" s="602"/>
      <c r="E36" s="601"/>
      <c r="F36" s="664"/>
      <c r="G36" s="664"/>
      <c r="H36" s="664"/>
      <c r="I36" s="605"/>
      <c r="J36" s="604"/>
      <c r="K36" s="604"/>
      <c r="L36" s="604"/>
      <c r="M36" s="601"/>
    </row>
    <row r="37" spans="1:13" x14ac:dyDescent="0.3">
      <c r="A37" s="392" t="s">
        <v>674</v>
      </c>
      <c r="B37" s="393" t="s">
        <v>671</v>
      </c>
      <c r="C37" s="601">
        <f>300000*1.27-300000*1.27</f>
        <v>0</v>
      </c>
      <c r="D37" s="602" t="s">
        <v>661</v>
      </c>
      <c r="E37" s="601"/>
      <c r="F37" s="664">
        <f>300000*1.27</f>
        <v>381000</v>
      </c>
      <c r="G37" s="664">
        <f>300000*1.27</f>
        <v>381000</v>
      </c>
      <c r="H37" s="601">
        <f>300000*1.27-300000*1.27</f>
        <v>0</v>
      </c>
      <c r="I37" s="605"/>
      <c r="J37" s="604">
        <f>K37+L37+M37</f>
        <v>0</v>
      </c>
      <c r="K37" s="601">
        <f>300000*1.27-300000*1.27</f>
        <v>0</v>
      </c>
      <c r="L37" s="604"/>
      <c r="M37" s="601"/>
    </row>
    <row r="38" spans="1:13" ht="24.75" customHeight="1" x14ac:dyDescent="0.3">
      <c r="A38" s="392" t="s">
        <v>675</v>
      </c>
      <c r="B38" s="393" t="s">
        <v>676</v>
      </c>
      <c r="C38" s="601">
        <f>2500000*1.27-1500000*1.27</f>
        <v>1270000</v>
      </c>
      <c r="D38" s="602" t="s">
        <v>661</v>
      </c>
      <c r="E38" s="601"/>
      <c r="F38" s="664">
        <f>2500000*1.27</f>
        <v>3175000</v>
      </c>
      <c r="G38" s="664">
        <f>2500000*1.27</f>
        <v>3175000</v>
      </c>
      <c r="H38" s="601">
        <f>2500000*1.27-1500000*1.27</f>
        <v>1270000</v>
      </c>
      <c r="I38" s="605"/>
      <c r="J38" s="604">
        <f t="shared" ref="J38:J47" si="6">K38+L38+M38</f>
        <v>1270000</v>
      </c>
      <c r="K38" s="601">
        <f>2500000*1.27-1500000*1.27</f>
        <v>1270000</v>
      </c>
      <c r="L38" s="604"/>
      <c r="M38" s="601"/>
    </row>
    <row r="39" spans="1:13" ht="24.75" customHeight="1" x14ac:dyDescent="0.3">
      <c r="A39" s="392" t="s">
        <v>682</v>
      </c>
      <c r="B39" s="393" t="s">
        <v>683</v>
      </c>
      <c r="C39" s="601">
        <f>2000000*1.27</f>
        <v>2540000</v>
      </c>
      <c r="D39" s="602" t="s">
        <v>661</v>
      </c>
      <c r="E39" s="601"/>
      <c r="F39" s="664">
        <f>2000000*1.27</f>
        <v>2540000</v>
      </c>
      <c r="G39" s="664">
        <f>2000000*1.27</f>
        <v>2540000</v>
      </c>
      <c r="H39" s="664">
        <f>2000000*1.27</f>
        <v>2540000</v>
      </c>
      <c r="I39" s="601"/>
      <c r="J39" s="604">
        <f t="shared" si="6"/>
        <v>2540000</v>
      </c>
      <c r="K39" s="601">
        <f>2000000*1.27</f>
        <v>2540000</v>
      </c>
      <c r="L39" s="604"/>
      <c r="M39" s="601"/>
    </row>
    <row r="40" spans="1:13" ht="24.75" customHeight="1" x14ac:dyDescent="0.3">
      <c r="A40" s="392" t="s">
        <v>684</v>
      </c>
      <c r="B40" s="393" t="s">
        <v>683</v>
      </c>
      <c r="C40" s="601">
        <f>1105000*1.27+70000+18900+298350-298350</f>
        <v>1492250</v>
      </c>
      <c r="D40" s="602" t="s">
        <v>661</v>
      </c>
      <c r="E40" s="601"/>
      <c r="F40" s="664">
        <f>1105000*1.27</f>
        <v>1403350</v>
      </c>
      <c r="G40" s="664">
        <f>1105000*1.27</f>
        <v>1403350</v>
      </c>
      <c r="H40" s="601">
        <f>1105000*1.27+70000+18900+298350-298350</f>
        <v>1492250</v>
      </c>
      <c r="I40" s="601"/>
      <c r="J40" s="604">
        <f t="shared" si="6"/>
        <v>1492250</v>
      </c>
      <c r="K40" s="601">
        <f>1105000*1.27+70000+18900+298350-298350</f>
        <v>1492250</v>
      </c>
      <c r="L40" s="604"/>
      <c r="M40" s="601"/>
    </row>
    <row r="41" spans="1:13" ht="31" customHeight="1" x14ac:dyDescent="0.3">
      <c r="A41" s="392" t="s">
        <v>689</v>
      </c>
      <c r="B41" s="393" t="s">
        <v>688</v>
      </c>
      <c r="C41" s="601">
        <f>2103040*1.27</f>
        <v>2670860.7999999998</v>
      </c>
      <c r="D41" s="602" t="s">
        <v>661</v>
      </c>
      <c r="E41" s="601"/>
      <c r="F41" s="664">
        <f>2103040*1.27</f>
        <v>2670860.7999999998</v>
      </c>
      <c r="G41" s="664">
        <f>2103040*1.27</f>
        <v>2670860.7999999998</v>
      </c>
      <c r="H41" s="664">
        <f>2103040*1.27</f>
        <v>2670860.7999999998</v>
      </c>
      <c r="I41" s="601"/>
      <c r="J41" s="604">
        <f>K41+L41+M41</f>
        <v>2670860.7999999998</v>
      </c>
      <c r="K41" s="604"/>
      <c r="L41" s="604"/>
      <c r="M41" s="601">
        <f>2103040*1.27</f>
        <v>2670860.7999999998</v>
      </c>
    </row>
    <row r="42" spans="1:13" ht="31" customHeight="1" x14ac:dyDescent="0.3">
      <c r="A42" s="392" t="s">
        <v>714</v>
      </c>
      <c r="B42" s="393" t="s">
        <v>715</v>
      </c>
      <c r="C42" s="601">
        <f>1428016*1.27-1</f>
        <v>1813579.32</v>
      </c>
      <c r="D42" s="602" t="s">
        <v>661</v>
      </c>
      <c r="E42" s="601"/>
      <c r="F42" s="664">
        <f>1428016*1.27-1</f>
        <v>1813579.32</v>
      </c>
      <c r="G42" s="664">
        <f>1428016*1.27-1</f>
        <v>1813579.32</v>
      </c>
      <c r="H42" s="664">
        <f>1428016*1.27-1</f>
        <v>1813579.32</v>
      </c>
      <c r="I42" s="601"/>
      <c r="J42" s="604">
        <f>K42+L42+M42-1</f>
        <v>1813579.32</v>
      </c>
      <c r="K42" s="604"/>
      <c r="L42" s="604"/>
      <c r="M42" s="601">
        <f>1428016*1.27</f>
        <v>1813580.32</v>
      </c>
    </row>
    <row r="43" spans="1:13" ht="32.5" customHeight="1" x14ac:dyDescent="0.3">
      <c r="A43" s="392" t="s">
        <v>700</v>
      </c>
      <c r="B43" s="393" t="s">
        <v>699</v>
      </c>
      <c r="C43" s="601">
        <f>300000*1.27</f>
        <v>381000</v>
      </c>
      <c r="D43" s="602" t="s">
        <v>661</v>
      </c>
      <c r="E43" s="601"/>
      <c r="F43" s="664">
        <f>300000*1.27</f>
        <v>381000</v>
      </c>
      <c r="G43" s="664">
        <f>300000*1.27</f>
        <v>381000</v>
      </c>
      <c r="H43" s="664">
        <f>300000*1.27</f>
        <v>381000</v>
      </c>
      <c r="I43" s="601"/>
      <c r="J43" s="604">
        <f>K43+L43+M43</f>
        <v>381000</v>
      </c>
      <c r="K43" s="601">
        <f>300000*1.27</f>
        <v>381000</v>
      </c>
      <c r="L43" s="604"/>
      <c r="M43" s="601"/>
    </row>
    <row r="44" spans="1:13" ht="24.75" customHeight="1" x14ac:dyDescent="0.3">
      <c r="A44" s="392" t="s">
        <v>701</v>
      </c>
      <c r="B44" s="393" t="s">
        <v>702</v>
      </c>
      <c r="C44" s="601">
        <f>180000*1.27</f>
        <v>228600</v>
      </c>
      <c r="D44" s="602" t="s">
        <v>661</v>
      </c>
      <c r="E44" s="601"/>
      <c r="F44" s="664">
        <f>180000*1.27</f>
        <v>228600</v>
      </c>
      <c r="G44" s="664">
        <f>180000*1.27</f>
        <v>228600</v>
      </c>
      <c r="H44" s="664">
        <f>180000*1.27</f>
        <v>228600</v>
      </c>
      <c r="I44" s="601"/>
      <c r="J44" s="604">
        <f>K44+L44+M44</f>
        <v>228600</v>
      </c>
      <c r="K44" s="601">
        <f>180000*1.27</f>
        <v>228600</v>
      </c>
      <c r="L44" s="604"/>
      <c r="M44" s="601"/>
    </row>
    <row r="45" spans="1:13" ht="24.75" customHeight="1" x14ac:dyDescent="0.3">
      <c r="A45" s="392" t="s">
        <v>703</v>
      </c>
      <c r="B45" s="393" t="s">
        <v>704</v>
      </c>
      <c r="C45" s="601">
        <f>40000*1.27</f>
        <v>50800</v>
      </c>
      <c r="D45" s="602" t="s">
        <v>661</v>
      </c>
      <c r="E45" s="601"/>
      <c r="F45" s="664">
        <f>40000*1.27</f>
        <v>50800</v>
      </c>
      <c r="G45" s="664">
        <f>40000*1.27</f>
        <v>50800</v>
      </c>
      <c r="H45" s="664">
        <f>40000*1.27</f>
        <v>50800</v>
      </c>
      <c r="I45" s="605"/>
      <c r="J45" s="604">
        <f t="shared" si="6"/>
        <v>50800</v>
      </c>
      <c r="K45" s="601">
        <f>40000*1.27</f>
        <v>50800</v>
      </c>
      <c r="L45" s="604"/>
      <c r="M45" s="601"/>
    </row>
    <row r="46" spans="1:13" ht="31" x14ac:dyDescent="0.3">
      <c r="A46" s="392" t="s">
        <v>708</v>
      </c>
      <c r="B46" s="393" t="s">
        <v>706</v>
      </c>
      <c r="C46" s="601">
        <f>10200000*1.27-(5500000*1.27)</f>
        <v>5969000</v>
      </c>
      <c r="D46" s="602" t="s">
        <v>661</v>
      </c>
      <c r="E46" s="601"/>
      <c r="F46" s="664">
        <f>10200000*1.27</f>
        <v>12954000</v>
      </c>
      <c r="G46" s="664">
        <f>10200000*1.27</f>
        <v>12954000</v>
      </c>
      <c r="H46" s="664">
        <f>10200000*1.27-(5500000*1.27)</f>
        <v>5969000</v>
      </c>
      <c r="I46" s="605"/>
      <c r="J46" s="604">
        <f t="shared" si="6"/>
        <v>5969000</v>
      </c>
      <c r="K46" s="601">
        <f>10200000*1.27-(5500000*1.27)</f>
        <v>5969000</v>
      </c>
      <c r="L46" s="604"/>
      <c r="M46" s="601"/>
    </row>
    <row r="47" spans="1:13" ht="24.75" customHeight="1" x14ac:dyDescent="0.3">
      <c r="A47" s="392" t="s">
        <v>712</v>
      </c>
      <c r="B47" s="393" t="s">
        <v>706</v>
      </c>
      <c r="C47" s="601">
        <f>17780000*1.27</f>
        <v>22580600</v>
      </c>
      <c r="D47" s="602" t="s">
        <v>661</v>
      </c>
      <c r="E47" s="601"/>
      <c r="F47" s="664">
        <f>17780000*1.27</f>
        <v>22580600</v>
      </c>
      <c r="G47" s="664">
        <f>17780000*1.27</f>
        <v>22580600</v>
      </c>
      <c r="H47" s="664">
        <f>17780000*1.27</f>
        <v>22580600</v>
      </c>
      <c r="I47" s="605"/>
      <c r="J47" s="665">
        <f t="shared" si="6"/>
        <v>22580600</v>
      </c>
      <c r="K47" s="601"/>
      <c r="L47" s="604"/>
      <c r="M47" s="601">
        <f>17780000*1.27</f>
        <v>22580600</v>
      </c>
    </row>
    <row r="48" spans="1:13" s="396" customFormat="1" ht="24.75" customHeight="1" x14ac:dyDescent="0.3">
      <c r="A48" s="394" t="s">
        <v>598</v>
      </c>
      <c r="B48" s="395"/>
      <c r="C48" s="606">
        <f>SUM(C37:C47)</f>
        <v>38996690.119999997</v>
      </c>
      <c r="D48" s="606"/>
      <c r="E48" s="606"/>
      <c r="F48" s="606">
        <f t="shared" ref="F48:M48" si="7">SUM(F37:F47)</f>
        <v>48178790.120000005</v>
      </c>
      <c r="G48" s="606">
        <f>SUM(G37:G47)</f>
        <v>48178790.120000005</v>
      </c>
      <c r="H48" s="606">
        <f>SUM(H37:H47)</f>
        <v>38996690.119999997</v>
      </c>
      <c r="I48" s="606">
        <f t="shared" si="7"/>
        <v>0</v>
      </c>
      <c r="J48" s="606">
        <f t="shared" si="7"/>
        <v>38996690.119999997</v>
      </c>
      <c r="K48" s="606">
        <f t="shared" si="7"/>
        <v>11931650</v>
      </c>
      <c r="L48" s="606">
        <f t="shared" si="7"/>
        <v>0</v>
      </c>
      <c r="M48" s="606">
        <f t="shared" si="7"/>
        <v>27065041.120000001</v>
      </c>
    </row>
    <row r="49" spans="1:13" ht="16" customHeight="1" x14ac:dyDescent="0.3">
      <c r="A49" s="392"/>
      <c r="B49" s="393"/>
      <c r="C49" s="601"/>
      <c r="D49" s="602"/>
      <c r="E49" s="601"/>
      <c r="F49" s="664"/>
      <c r="G49" s="664"/>
      <c r="H49" s="664"/>
      <c r="I49" s="605"/>
      <c r="J49" s="604"/>
      <c r="K49" s="604"/>
      <c r="L49" s="604"/>
      <c r="M49" s="601"/>
    </row>
    <row r="50" spans="1:13" ht="16" customHeight="1" x14ac:dyDescent="0.3">
      <c r="A50" s="392" t="s">
        <v>637</v>
      </c>
      <c r="B50" s="393"/>
      <c r="C50" s="601"/>
      <c r="D50" s="602"/>
      <c r="E50" s="601"/>
      <c r="F50" s="664"/>
      <c r="G50" s="664"/>
      <c r="H50" s="664"/>
      <c r="I50" s="605"/>
      <c r="J50" s="604">
        <f>K50+L50+M50</f>
        <v>0</v>
      </c>
      <c r="K50" s="604"/>
      <c r="L50" s="604"/>
      <c r="M50" s="601"/>
    </row>
    <row r="51" spans="1:13" s="396" customFormat="1" ht="16" customHeight="1" x14ac:dyDescent="0.3">
      <c r="A51" s="394" t="s">
        <v>611</v>
      </c>
      <c r="B51" s="395"/>
      <c r="C51" s="606">
        <f>SUM(C50)</f>
        <v>0</v>
      </c>
      <c r="D51" s="606"/>
      <c r="E51" s="606"/>
      <c r="F51" s="606">
        <f t="shared" ref="F51:M51" si="8">SUM(F50)</f>
        <v>0</v>
      </c>
      <c r="G51" s="606">
        <f>SUM(G50)</f>
        <v>0</v>
      </c>
      <c r="H51" s="606">
        <f>SUM(H50)</f>
        <v>0</v>
      </c>
      <c r="I51" s="606"/>
      <c r="J51" s="606">
        <f t="shared" si="8"/>
        <v>0</v>
      </c>
      <c r="K51" s="606">
        <f t="shared" si="8"/>
        <v>0</v>
      </c>
      <c r="L51" s="606">
        <f t="shared" si="8"/>
        <v>0</v>
      </c>
      <c r="M51" s="606">
        <f t="shared" si="8"/>
        <v>0</v>
      </c>
    </row>
    <row r="52" spans="1:13" ht="16" customHeight="1" x14ac:dyDescent="0.3">
      <c r="A52" s="392"/>
      <c r="B52" s="393"/>
      <c r="C52" s="601"/>
      <c r="D52" s="602"/>
      <c r="E52" s="601"/>
      <c r="F52" s="664"/>
      <c r="G52" s="664"/>
      <c r="H52" s="664"/>
      <c r="I52" s="605"/>
      <c r="J52" s="604"/>
      <c r="K52" s="604"/>
      <c r="L52" s="604"/>
      <c r="M52" s="601"/>
    </row>
    <row r="53" spans="1:13" ht="16" customHeight="1" x14ac:dyDescent="0.3">
      <c r="A53" s="392"/>
      <c r="B53" s="393"/>
      <c r="C53" s="601"/>
      <c r="D53" s="602"/>
      <c r="E53" s="601"/>
      <c r="F53" s="664"/>
      <c r="G53" s="664"/>
      <c r="H53" s="664"/>
      <c r="I53" s="605"/>
      <c r="J53" s="604"/>
      <c r="K53" s="604"/>
      <c r="L53" s="604"/>
      <c r="M53" s="601"/>
    </row>
    <row r="54" spans="1:13" ht="16" customHeight="1" x14ac:dyDescent="0.3">
      <c r="A54" s="392"/>
      <c r="B54" s="393"/>
      <c r="C54" s="601"/>
      <c r="D54" s="602"/>
      <c r="E54" s="601"/>
      <c r="F54" s="664"/>
      <c r="G54" s="664"/>
      <c r="H54" s="664"/>
      <c r="I54" s="605"/>
      <c r="J54" s="604"/>
      <c r="K54" s="604"/>
      <c r="L54" s="604"/>
      <c r="M54" s="601"/>
    </row>
    <row r="55" spans="1:13" ht="16" customHeight="1" x14ac:dyDescent="0.3">
      <c r="A55" s="392"/>
      <c r="B55" s="393"/>
      <c r="C55" s="601"/>
      <c r="D55" s="602"/>
      <c r="E55" s="601"/>
      <c r="F55" s="664"/>
      <c r="G55" s="664"/>
      <c r="H55" s="664"/>
      <c r="I55" s="605"/>
      <c r="J55" s="604"/>
      <c r="K55" s="604"/>
      <c r="L55" s="604"/>
      <c r="M55" s="601"/>
    </row>
    <row r="56" spans="1:13" ht="16" customHeight="1" thickBot="1" x14ac:dyDescent="0.35">
      <c r="A56" s="392"/>
      <c r="B56" s="393"/>
      <c r="C56" s="601"/>
      <c r="D56" s="602"/>
      <c r="E56" s="601"/>
      <c r="F56" s="664"/>
      <c r="G56" s="664"/>
      <c r="H56" s="664"/>
      <c r="I56" s="605"/>
      <c r="J56" s="604"/>
      <c r="K56" s="604"/>
      <c r="L56" s="604"/>
      <c r="M56" s="601"/>
    </row>
    <row r="57" spans="1:13" s="186" customFormat="1" ht="18" customHeight="1" thickBot="1" x14ac:dyDescent="0.35">
      <c r="A57" s="397" t="s">
        <v>599</v>
      </c>
      <c r="B57" s="398"/>
      <c r="C57" s="619">
        <f>C12+C30+C35+C48+C51</f>
        <v>351494076.12</v>
      </c>
      <c r="D57" s="619"/>
      <c r="E57" s="619"/>
      <c r="F57" s="619">
        <f>F12+F30+F35+F48+F51</f>
        <v>366997728.12</v>
      </c>
      <c r="G57" s="619">
        <f>G12+G30+G35+G48+G51</f>
        <v>366997728.12</v>
      </c>
      <c r="H57" s="619">
        <f>H12+H30+H35+H48+H51</f>
        <v>351494076.12</v>
      </c>
      <c r="I57" s="619"/>
      <c r="J57" s="619">
        <f>J12+J30+J35+J48+J51</f>
        <v>351494076.12</v>
      </c>
      <c r="K57" s="619">
        <f>K12+K30+K35+K48+K51</f>
        <v>28534112</v>
      </c>
      <c r="L57" s="619">
        <f>L12+L30+L35+L48+L51</f>
        <v>0</v>
      </c>
      <c r="M57" s="619">
        <f>M12+M30+M35+M48+M51</f>
        <v>322959965.12</v>
      </c>
    </row>
    <row r="62" spans="1:13" x14ac:dyDescent="0.3">
      <c r="A62" s="375"/>
    </row>
    <row r="66" spans="1:1" x14ac:dyDescent="0.3">
      <c r="A66" s="375"/>
    </row>
  </sheetData>
  <mergeCells count="3">
    <mergeCell ref="A5:M5"/>
    <mergeCell ref="F1:M1"/>
    <mergeCell ref="A1:B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64" orientation="landscape" horizontalDpi="300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  <rowBreaks count="1" manualBreakCount="1">
    <brk id="3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1">
    <tabColor rgb="FFFFFF00"/>
  </sheetPr>
  <dimension ref="A1:N11"/>
  <sheetViews>
    <sheetView view="pageLayout" zoomScaleNormal="100" workbookViewId="0">
      <selection activeCell="F25" sqref="F25"/>
    </sheetView>
  </sheetViews>
  <sheetFormatPr defaultColWidth="9.296875" defaultRowHeight="13" x14ac:dyDescent="0.3"/>
  <cols>
    <col min="1" max="1" width="37.19921875" style="208" bestFit="1" customWidth="1"/>
    <col min="2" max="2" width="18.796875" style="450" bestFit="1" customWidth="1"/>
    <col min="3" max="3" width="12.69921875" style="448" bestFit="1" customWidth="1"/>
    <col min="4" max="4" width="13" style="448" bestFit="1" customWidth="1"/>
    <col min="5" max="5" width="12.19921875" style="448" bestFit="1" customWidth="1"/>
    <col min="6" max="8" width="10.296875" style="217" bestFit="1" customWidth="1"/>
    <col min="9" max="9" width="9.796875" style="448" bestFit="1" customWidth="1"/>
    <col min="10" max="10" width="11.69921875" style="217" bestFit="1" customWidth="1"/>
    <col min="11" max="11" width="10.5" style="448" bestFit="1" customWidth="1"/>
    <col min="12" max="12" width="9.19921875" style="448" bestFit="1" customWidth="1"/>
    <col min="13" max="13" width="10.19921875" style="448" bestFit="1" customWidth="1"/>
    <col min="14" max="14" width="12.796875" style="448" customWidth="1"/>
    <col min="15" max="16384" width="9.296875" style="448"/>
  </cols>
  <sheetData>
    <row r="1" spans="1:14" x14ac:dyDescent="0.3">
      <c r="A1" s="923" t="s">
        <v>639</v>
      </c>
      <c r="B1" s="923"/>
      <c r="C1" s="923"/>
      <c r="D1" s="923"/>
      <c r="E1" s="923"/>
      <c r="F1" s="923"/>
      <c r="G1" s="923"/>
      <c r="H1" s="923"/>
      <c r="I1" s="923"/>
      <c r="J1" s="448"/>
    </row>
    <row r="2" spans="1:14" ht="14" thickBot="1" x14ac:dyDescent="0.4">
      <c r="A2" s="163"/>
      <c r="B2" s="209"/>
      <c r="C2" s="210"/>
      <c r="D2" s="210"/>
      <c r="E2" s="210"/>
      <c r="F2" s="658"/>
      <c r="G2" s="658"/>
      <c r="H2" s="658"/>
      <c r="I2" s="571" t="s">
        <v>579</v>
      </c>
      <c r="J2" s="572" t="s">
        <v>579</v>
      </c>
      <c r="K2" s="210"/>
      <c r="L2" s="210"/>
      <c r="M2" s="210"/>
    </row>
    <row r="3" spans="1:14" s="208" customFormat="1" ht="39.5" thickBot="1" x14ac:dyDescent="0.35">
      <c r="A3" s="211" t="s">
        <v>62</v>
      </c>
      <c r="B3" s="212" t="s">
        <v>606</v>
      </c>
      <c r="C3" s="517" t="s">
        <v>60</v>
      </c>
      <c r="D3" s="517" t="s">
        <v>61</v>
      </c>
      <c r="E3" s="517" t="s">
        <v>657</v>
      </c>
      <c r="F3" s="517" t="s">
        <v>640</v>
      </c>
      <c r="G3" s="517" t="s">
        <v>724</v>
      </c>
      <c r="H3" s="812" t="s">
        <v>730</v>
      </c>
      <c r="I3" s="573" t="s">
        <v>658</v>
      </c>
      <c r="J3" s="574" t="s">
        <v>604</v>
      </c>
      <c r="K3" s="575" t="s">
        <v>602</v>
      </c>
      <c r="L3" s="575" t="s">
        <v>603</v>
      </c>
      <c r="M3" s="576" t="s">
        <v>600</v>
      </c>
    </row>
    <row r="4" spans="1:14" s="210" customFormat="1" ht="13.5" thickBot="1" x14ac:dyDescent="0.35">
      <c r="A4" s="213" t="s">
        <v>482</v>
      </c>
      <c r="B4" s="214"/>
      <c r="C4" s="577" t="s">
        <v>483</v>
      </c>
      <c r="D4" s="577" t="s">
        <v>484</v>
      </c>
      <c r="E4" s="577" t="s">
        <v>486</v>
      </c>
      <c r="F4" s="577" t="s">
        <v>485</v>
      </c>
      <c r="G4" s="577" t="s">
        <v>485</v>
      </c>
      <c r="H4" s="577" t="s">
        <v>485</v>
      </c>
      <c r="I4" s="578" t="s">
        <v>487</v>
      </c>
      <c r="J4" s="579"/>
      <c r="K4" s="580"/>
      <c r="L4" s="580"/>
      <c r="M4" s="577"/>
    </row>
    <row r="5" spans="1:14" ht="26" x14ac:dyDescent="0.3">
      <c r="A5" s="656" t="s">
        <v>659</v>
      </c>
      <c r="B5" s="449" t="s">
        <v>660</v>
      </c>
      <c r="C5" s="581">
        <f>3600000*1.27-3600000*1.27</f>
        <v>0</v>
      </c>
      <c r="D5" s="215" t="s">
        <v>661</v>
      </c>
      <c r="E5" s="581"/>
      <c r="F5" s="657">
        <f>3600000*1.27</f>
        <v>4572000</v>
      </c>
      <c r="G5" s="657">
        <f>3600000*1.27</f>
        <v>4572000</v>
      </c>
      <c r="H5" s="581">
        <f>3600000*1.27-3600000*1.27</f>
        <v>0</v>
      </c>
      <c r="I5" s="582"/>
      <c r="J5" s="581">
        <f>K5+L5+M5</f>
        <v>0</v>
      </c>
      <c r="K5" s="581">
        <f>3600000*1.27-3600000*1.27</f>
        <v>0</v>
      </c>
      <c r="L5" s="570"/>
      <c r="M5" s="581"/>
    </row>
    <row r="6" spans="1:14" ht="26" x14ac:dyDescent="0.3">
      <c r="A6" s="656" t="s">
        <v>664</v>
      </c>
      <c r="B6" s="449" t="s">
        <v>662</v>
      </c>
      <c r="C6" s="581">
        <f>320000*1.27-(320000*1.27)</f>
        <v>0</v>
      </c>
      <c r="D6" s="215" t="s">
        <v>661</v>
      </c>
      <c r="E6" s="581"/>
      <c r="F6" s="657">
        <f>320000*1.27</f>
        <v>406400</v>
      </c>
      <c r="G6" s="657">
        <f>320000*1.27</f>
        <v>406400</v>
      </c>
      <c r="H6" s="581">
        <f>320000*1.27-(320000*1.27)</f>
        <v>0</v>
      </c>
      <c r="I6" s="582"/>
      <c r="J6" s="581">
        <f>K6+L6+M6</f>
        <v>0</v>
      </c>
      <c r="K6" s="581">
        <f>320000*1.27-(320000*1.27)</f>
        <v>0</v>
      </c>
      <c r="L6" s="570"/>
      <c r="M6" s="581"/>
    </row>
    <row r="7" spans="1:14" ht="26" x14ac:dyDescent="0.3">
      <c r="A7" s="656" t="s">
        <v>663</v>
      </c>
      <c r="B7" s="449" t="s">
        <v>662</v>
      </c>
      <c r="C7" s="581">
        <f>6620000*1.27-(70000+18900)</f>
        <v>8318500</v>
      </c>
      <c r="D7" s="215" t="s">
        <v>661</v>
      </c>
      <c r="E7" s="581"/>
      <c r="F7" s="657">
        <f>6620000*1.27</f>
        <v>8407400</v>
      </c>
      <c r="G7" s="657">
        <f>6620000*1.27</f>
        <v>8407400</v>
      </c>
      <c r="H7" s="657">
        <f>6620000*1.27-(70000+18900)</f>
        <v>8318500</v>
      </c>
      <c r="I7" s="582"/>
      <c r="J7" s="581">
        <f>K7+L7+M7</f>
        <v>8318500</v>
      </c>
      <c r="K7" s="581">
        <f>6620000*1.27-(70000+18900)</f>
        <v>8318500</v>
      </c>
      <c r="L7" s="570"/>
      <c r="M7" s="581"/>
    </row>
    <row r="8" spans="1:14" x14ac:dyDescent="0.3">
      <c r="A8" s="656" t="s">
        <v>619</v>
      </c>
      <c r="B8" s="449" t="s">
        <v>605</v>
      </c>
      <c r="C8" s="581">
        <f>(200000*1.27)-(200000*1.27)</f>
        <v>0</v>
      </c>
      <c r="D8" s="215" t="s">
        <v>661</v>
      </c>
      <c r="E8" s="581"/>
      <c r="F8" s="657">
        <f>200000*1.27</f>
        <v>254000</v>
      </c>
      <c r="G8" s="657">
        <f>200000*1.27</f>
        <v>254000</v>
      </c>
      <c r="H8" s="581">
        <f>(200000*1.27)-(200000*1.27)</f>
        <v>0</v>
      </c>
      <c r="I8" s="582"/>
      <c r="J8" s="581">
        <f>K8+L8+M8</f>
        <v>0</v>
      </c>
      <c r="K8" s="581">
        <f>(200000*1.27)-(200000*1.27)</f>
        <v>0</v>
      </c>
      <c r="L8" s="570"/>
      <c r="M8" s="581"/>
    </row>
    <row r="9" spans="1:14" x14ac:dyDescent="0.3">
      <c r="A9" s="656"/>
      <c r="B9" s="449"/>
      <c r="C9" s="581"/>
      <c r="D9" s="215"/>
      <c r="E9" s="581"/>
      <c r="F9" s="657"/>
      <c r="G9" s="657"/>
      <c r="H9" s="657"/>
      <c r="I9" s="582"/>
      <c r="J9" s="581"/>
      <c r="K9" s="570"/>
      <c r="L9" s="570"/>
      <c r="M9" s="581"/>
    </row>
    <row r="10" spans="1:14" ht="13.5" thickBot="1" x14ac:dyDescent="0.35">
      <c r="A10" s="656"/>
      <c r="B10" s="449"/>
      <c r="C10" s="581"/>
      <c r="D10" s="215"/>
      <c r="E10" s="581"/>
      <c r="F10" s="657"/>
      <c r="G10" s="657"/>
      <c r="H10" s="657"/>
      <c r="I10" s="582"/>
      <c r="J10" s="581"/>
      <c r="K10" s="570"/>
      <c r="L10" s="570"/>
      <c r="M10" s="581"/>
    </row>
    <row r="11" spans="1:14" s="217" customFormat="1" ht="14" thickBot="1" x14ac:dyDescent="0.35">
      <c r="A11" s="390" t="s">
        <v>58</v>
      </c>
      <c r="B11" s="391"/>
      <c r="C11" s="659">
        <f>SUM(C5:C10)</f>
        <v>8318500</v>
      </c>
      <c r="D11" s="583">
        <f t="shared" ref="D11:M11" si="0">SUM(D5:D10)</f>
        <v>0</v>
      </c>
      <c r="E11" s="583">
        <f t="shared" si="0"/>
        <v>0</v>
      </c>
      <c r="F11" s="583">
        <f t="shared" si="0"/>
        <v>13639800</v>
      </c>
      <c r="G11" s="583">
        <f>SUM(G5:G10)</f>
        <v>13639800</v>
      </c>
      <c r="H11" s="583">
        <f>SUM(H5:H10)</f>
        <v>8318500</v>
      </c>
      <c r="I11" s="583">
        <f t="shared" si="0"/>
        <v>0</v>
      </c>
      <c r="J11" s="659">
        <f t="shared" si="0"/>
        <v>8318500</v>
      </c>
      <c r="K11" s="659">
        <f t="shared" si="0"/>
        <v>8318500</v>
      </c>
      <c r="L11" s="583">
        <f t="shared" si="0"/>
        <v>0</v>
      </c>
      <c r="M11" s="583">
        <f t="shared" si="0"/>
        <v>0</v>
      </c>
      <c r="N11" s="448"/>
    </row>
  </sheetData>
  <mergeCells count="1">
    <mergeCell ref="A1:I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3" orientation="landscape" horizontalDpi="300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2">
    <tabColor rgb="FFFFFF00"/>
  </sheetPr>
  <dimension ref="A1:H52"/>
  <sheetViews>
    <sheetView view="pageLayout" topLeftCell="A4" zoomScaleNormal="100" workbookViewId="0">
      <selection activeCell="F25" sqref="F25"/>
    </sheetView>
  </sheetViews>
  <sheetFormatPr defaultColWidth="9.296875" defaultRowHeight="13" x14ac:dyDescent="0.3"/>
  <cols>
    <col min="1" max="1" width="36.796875" style="207" bestFit="1" customWidth="1"/>
    <col min="2" max="3" width="5.69921875" style="207" bestFit="1" customWidth="1"/>
    <col min="4" max="4" width="10.19921875" style="207" bestFit="1" customWidth="1"/>
    <col min="5" max="5" width="9.5" style="207" bestFit="1" customWidth="1"/>
    <col min="6" max="16384" width="9.296875" style="207"/>
  </cols>
  <sheetData>
    <row r="1" spans="1:5" x14ac:dyDescent="0.3">
      <c r="A1" s="206"/>
      <c r="B1" s="206"/>
      <c r="C1" s="206"/>
      <c r="D1" s="206"/>
      <c r="E1" s="206"/>
    </row>
    <row r="2" spans="1:5" x14ac:dyDescent="0.3">
      <c r="A2" s="381" t="s">
        <v>129</v>
      </c>
      <c r="B2" s="934"/>
      <c r="C2" s="934"/>
      <c r="D2" s="934"/>
      <c r="E2" s="934"/>
    </row>
    <row r="3" spans="1:5" ht="14" thickBot="1" x14ac:dyDescent="0.4">
      <c r="A3" s="206"/>
      <c r="B3" s="206"/>
      <c r="C3" s="206"/>
      <c r="D3" s="935" t="s">
        <v>579</v>
      </c>
      <c r="E3" s="935"/>
    </row>
    <row r="4" spans="1:5" ht="15" customHeight="1" thickBot="1" x14ac:dyDescent="0.35">
      <c r="A4" s="382" t="s">
        <v>122</v>
      </c>
      <c r="B4" s="383" t="s">
        <v>593</v>
      </c>
      <c r="C4" s="383" t="s">
        <v>626</v>
      </c>
      <c r="D4" s="383" t="s">
        <v>655</v>
      </c>
      <c r="E4" s="384" t="s">
        <v>46</v>
      </c>
    </row>
    <row r="5" spans="1:5" x14ac:dyDescent="0.3">
      <c r="A5" s="813" t="s">
        <v>123</v>
      </c>
      <c r="B5" s="814"/>
      <c r="C5" s="814"/>
      <c r="D5" s="814"/>
      <c r="E5" s="815">
        <f t="shared" ref="E5:E11" si="0">SUM(B5:D5)</f>
        <v>0</v>
      </c>
    </row>
    <row r="6" spans="1:5" x14ac:dyDescent="0.3">
      <c r="A6" s="385" t="s">
        <v>136</v>
      </c>
      <c r="B6" s="386"/>
      <c r="C6" s="386"/>
      <c r="D6" s="386"/>
      <c r="E6" s="387">
        <f t="shared" si="0"/>
        <v>0</v>
      </c>
    </row>
    <row r="7" spans="1:5" x14ac:dyDescent="0.3">
      <c r="A7" s="816" t="s">
        <v>124</v>
      </c>
      <c r="B7" s="817"/>
      <c r="C7" s="817"/>
      <c r="D7" s="817"/>
      <c r="E7" s="818">
        <f t="shared" si="0"/>
        <v>0</v>
      </c>
    </row>
    <row r="8" spans="1:5" x14ac:dyDescent="0.3">
      <c r="A8" s="816" t="s">
        <v>138</v>
      </c>
      <c r="B8" s="817"/>
      <c r="C8" s="817"/>
      <c r="D8" s="817"/>
      <c r="E8" s="818">
        <f t="shared" si="0"/>
        <v>0</v>
      </c>
    </row>
    <row r="9" spans="1:5" x14ac:dyDescent="0.3">
      <c r="A9" s="816" t="s">
        <v>125</v>
      </c>
      <c r="B9" s="817"/>
      <c r="C9" s="817"/>
      <c r="D9" s="817"/>
      <c r="E9" s="818">
        <f t="shared" si="0"/>
        <v>0</v>
      </c>
    </row>
    <row r="10" spans="1:5" x14ac:dyDescent="0.3">
      <c r="A10" s="816" t="s">
        <v>126</v>
      </c>
      <c r="B10" s="817"/>
      <c r="C10" s="817"/>
      <c r="D10" s="817"/>
      <c r="E10" s="818">
        <f t="shared" si="0"/>
        <v>0</v>
      </c>
    </row>
    <row r="11" spans="1:5" ht="13.5" thickBot="1" x14ac:dyDescent="0.35">
      <c r="A11" s="819"/>
      <c r="B11" s="820"/>
      <c r="C11" s="820"/>
      <c r="D11" s="820"/>
      <c r="E11" s="818">
        <f t="shared" si="0"/>
        <v>0</v>
      </c>
    </row>
    <row r="12" spans="1:5" ht="13.5" thickBot="1" x14ac:dyDescent="0.35">
      <c r="A12" s="388" t="s">
        <v>128</v>
      </c>
      <c r="B12" s="821">
        <f>B5+SUM(B7:B11)</f>
        <v>0</v>
      </c>
      <c r="C12" s="821">
        <f>C5+SUM(C7:C11)</f>
        <v>0</v>
      </c>
      <c r="D12" s="821">
        <f>D5+SUM(D7:D11)</f>
        <v>0</v>
      </c>
      <c r="E12" s="822">
        <f>E5+SUM(E7:E11)</f>
        <v>0</v>
      </c>
    </row>
    <row r="13" spans="1:5" ht="13.5" thickBot="1" x14ac:dyDescent="0.35">
      <c r="A13" s="823"/>
      <c r="B13" s="823"/>
      <c r="C13" s="823"/>
      <c r="D13" s="823"/>
      <c r="E13" s="823"/>
    </row>
    <row r="14" spans="1:5" ht="15" customHeight="1" thickBot="1" x14ac:dyDescent="0.35">
      <c r="A14" s="382" t="s">
        <v>127</v>
      </c>
      <c r="B14" s="383" t="str">
        <f>+B4</f>
        <v>2020.</v>
      </c>
      <c r="C14" s="383" t="str">
        <f>+C4</f>
        <v>2021.</v>
      </c>
      <c r="D14" s="383" t="str">
        <f>+D4</f>
        <v>2021.után</v>
      </c>
      <c r="E14" s="384" t="s">
        <v>46</v>
      </c>
    </row>
    <row r="15" spans="1:5" x14ac:dyDescent="0.3">
      <c r="A15" s="813" t="s">
        <v>132</v>
      </c>
      <c r="B15" s="814"/>
      <c r="C15" s="814"/>
      <c r="D15" s="814"/>
      <c r="E15" s="815">
        <f t="shared" ref="E15:E21" si="1">SUM(B15:D15)</f>
        <v>0</v>
      </c>
    </row>
    <row r="16" spans="1:5" x14ac:dyDescent="0.3">
      <c r="A16" s="824" t="s">
        <v>133</v>
      </c>
      <c r="B16" s="817"/>
      <c r="C16" s="817"/>
      <c r="D16" s="817"/>
      <c r="E16" s="818">
        <f t="shared" si="1"/>
        <v>0</v>
      </c>
    </row>
    <row r="17" spans="1:5" x14ac:dyDescent="0.3">
      <c r="A17" s="816" t="s">
        <v>134</v>
      </c>
      <c r="B17" s="817"/>
      <c r="C17" s="817"/>
      <c r="D17" s="817"/>
      <c r="E17" s="818">
        <f t="shared" si="1"/>
        <v>0</v>
      </c>
    </row>
    <row r="18" spans="1:5" x14ac:dyDescent="0.3">
      <c r="A18" s="816" t="s">
        <v>135</v>
      </c>
      <c r="B18" s="817"/>
      <c r="C18" s="817"/>
      <c r="D18" s="817"/>
      <c r="E18" s="818">
        <f t="shared" si="1"/>
        <v>0</v>
      </c>
    </row>
    <row r="19" spans="1:5" x14ac:dyDescent="0.3">
      <c r="A19" s="825"/>
      <c r="B19" s="817"/>
      <c r="C19" s="817"/>
      <c r="D19" s="817"/>
      <c r="E19" s="818">
        <f t="shared" si="1"/>
        <v>0</v>
      </c>
    </row>
    <row r="20" spans="1:5" x14ac:dyDescent="0.3">
      <c r="A20" s="825"/>
      <c r="B20" s="817"/>
      <c r="C20" s="817"/>
      <c r="D20" s="817"/>
      <c r="E20" s="818">
        <f t="shared" si="1"/>
        <v>0</v>
      </c>
    </row>
    <row r="21" spans="1:5" ht="13.5" thickBot="1" x14ac:dyDescent="0.35">
      <c r="A21" s="819"/>
      <c r="B21" s="820"/>
      <c r="C21" s="820"/>
      <c r="D21" s="820"/>
      <c r="E21" s="818">
        <f t="shared" si="1"/>
        <v>0</v>
      </c>
    </row>
    <row r="22" spans="1:5" ht="13.5" thickBot="1" x14ac:dyDescent="0.35">
      <c r="A22" s="388" t="s">
        <v>48</v>
      </c>
      <c r="B22" s="821">
        <f>SUM(B15:B21)</f>
        <v>0</v>
      </c>
      <c r="C22" s="821">
        <f>SUM(C15:C21)</f>
        <v>0</v>
      </c>
      <c r="D22" s="821">
        <f>SUM(D15:D21)</f>
        <v>0</v>
      </c>
      <c r="E22" s="822">
        <f>SUM(E15:E21)</f>
        <v>0</v>
      </c>
    </row>
    <row r="23" spans="1:5" x14ac:dyDescent="0.3">
      <c r="A23" s="206"/>
      <c r="B23" s="206"/>
      <c r="C23" s="206"/>
      <c r="D23" s="206"/>
      <c r="E23" s="206"/>
    </row>
    <row r="24" spans="1:5" x14ac:dyDescent="0.3">
      <c r="A24" s="206"/>
      <c r="B24" s="206"/>
      <c r="C24" s="206"/>
      <c r="D24" s="206"/>
      <c r="E24" s="206"/>
    </row>
    <row r="25" spans="1:5" x14ac:dyDescent="0.3">
      <c r="A25" s="381" t="s">
        <v>129</v>
      </c>
      <c r="B25" s="934"/>
      <c r="C25" s="934"/>
      <c r="D25" s="934"/>
      <c r="E25" s="934"/>
    </row>
    <row r="26" spans="1:5" ht="14" thickBot="1" x14ac:dyDescent="0.4">
      <c r="A26" s="206"/>
      <c r="B26" s="206"/>
      <c r="C26" s="206"/>
      <c r="D26" s="935" t="s">
        <v>579</v>
      </c>
      <c r="E26" s="935"/>
    </row>
    <row r="27" spans="1:5" ht="13.5" thickBot="1" x14ac:dyDescent="0.35">
      <c r="A27" s="382" t="s">
        <v>122</v>
      </c>
      <c r="B27" s="383" t="str">
        <f>+B14</f>
        <v>2020.</v>
      </c>
      <c r="C27" s="383" t="str">
        <f>+C14</f>
        <v>2021.</v>
      </c>
      <c r="D27" s="383" t="str">
        <f>+D14</f>
        <v>2021.után</v>
      </c>
      <c r="E27" s="384" t="s">
        <v>46</v>
      </c>
    </row>
    <row r="28" spans="1:5" x14ac:dyDescent="0.3">
      <c r="A28" s="813" t="s">
        <v>123</v>
      </c>
      <c r="B28" s="814"/>
      <c r="C28" s="814"/>
      <c r="D28" s="814"/>
      <c r="E28" s="815">
        <f t="shared" ref="E28:E34" si="2">SUM(B28:D28)</f>
        <v>0</v>
      </c>
    </row>
    <row r="29" spans="1:5" x14ac:dyDescent="0.3">
      <c r="A29" s="385" t="s">
        <v>136</v>
      </c>
      <c r="B29" s="386"/>
      <c r="C29" s="386"/>
      <c r="D29" s="386"/>
      <c r="E29" s="387">
        <f t="shared" si="2"/>
        <v>0</v>
      </c>
    </row>
    <row r="30" spans="1:5" x14ac:dyDescent="0.3">
      <c r="A30" s="816" t="s">
        <v>124</v>
      </c>
      <c r="B30" s="817"/>
      <c r="C30" s="817"/>
      <c r="D30" s="817"/>
      <c r="E30" s="818">
        <f t="shared" si="2"/>
        <v>0</v>
      </c>
    </row>
    <row r="31" spans="1:5" x14ac:dyDescent="0.3">
      <c r="A31" s="816" t="s">
        <v>138</v>
      </c>
      <c r="B31" s="817"/>
      <c r="C31" s="817"/>
      <c r="D31" s="817"/>
      <c r="E31" s="818">
        <f t="shared" si="2"/>
        <v>0</v>
      </c>
    </row>
    <row r="32" spans="1:5" x14ac:dyDescent="0.3">
      <c r="A32" s="816" t="s">
        <v>125</v>
      </c>
      <c r="B32" s="817"/>
      <c r="C32" s="817"/>
      <c r="D32" s="817"/>
      <c r="E32" s="818">
        <f t="shared" si="2"/>
        <v>0</v>
      </c>
    </row>
    <row r="33" spans="1:7" x14ac:dyDescent="0.3">
      <c r="A33" s="816" t="s">
        <v>126</v>
      </c>
      <c r="B33" s="817"/>
      <c r="C33" s="817"/>
      <c r="D33" s="817"/>
      <c r="E33" s="818">
        <f t="shared" si="2"/>
        <v>0</v>
      </c>
    </row>
    <row r="34" spans="1:7" ht="13.5" thickBot="1" x14ac:dyDescent="0.35">
      <c r="A34" s="819"/>
      <c r="B34" s="820"/>
      <c r="C34" s="820"/>
      <c r="D34" s="820"/>
      <c r="E34" s="818">
        <f t="shared" si="2"/>
        <v>0</v>
      </c>
    </row>
    <row r="35" spans="1:7" ht="13.5" thickBot="1" x14ac:dyDescent="0.35">
      <c r="A35" s="388" t="s">
        <v>128</v>
      </c>
      <c r="B35" s="821">
        <f>B28+SUM(B30:B34)</f>
        <v>0</v>
      </c>
      <c r="C35" s="821">
        <f>C28+SUM(C30:C34)</f>
        <v>0</v>
      </c>
      <c r="D35" s="821">
        <f>D28+SUM(D30:D34)</f>
        <v>0</v>
      </c>
      <c r="E35" s="822">
        <f>E28+SUM(E30:E34)</f>
        <v>0</v>
      </c>
    </row>
    <row r="36" spans="1:7" ht="13.5" thickBot="1" x14ac:dyDescent="0.35">
      <c r="A36" s="823"/>
      <c r="B36" s="823"/>
      <c r="C36" s="823"/>
      <c r="D36" s="823"/>
      <c r="E36" s="823"/>
    </row>
    <row r="37" spans="1:7" ht="13.5" thickBot="1" x14ac:dyDescent="0.35">
      <c r="A37" s="382" t="s">
        <v>127</v>
      </c>
      <c r="B37" s="383" t="str">
        <f>+B27</f>
        <v>2020.</v>
      </c>
      <c r="C37" s="383" t="str">
        <f>+C27</f>
        <v>2021.</v>
      </c>
      <c r="D37" s="383" t="str">
        <f>+D27</f>
        <v>2021.után</v>
      </c>
      <c r="E37" s="384" t="s">
        <v>46</v>
      </c>
    </row>
    <row r="38" spans="1:7" x14ac:dyDescent="0.3">
      <c r="A38" s="813" t="s">
        <v>132</v>
      </c>
      <c r="B38" s="814"/>
      <c r="C38" s="814"/>
      <c r="D38" s="814"/>
      <c r="E38" s="815">
        <f t="shared" ref="E38:E44" si="3">SUM(B38:D38)</f>
        <v>0</v>
      </c>
    </row>
    <row r="39" spans="1:7" x14ac:dyDescent="0.3">
      <c r="A39" s="824" t="s">
        <v>133</v>
      </c>
      <c r="B39" s="817"/>
      <c r="C39" s="817"/>
      <c r="D39" s="817"/>
      <c r="E39" s="818">
        <f t="shared" si="3"/>
        <v>0</v>
      </c>
    </row>
    <row r="40" spans="1:7" x14ac:dyDescent="0.3">
      <c r="A40" s="816" t="s">
        <v>134</v>
      </c>
      <c r="B40" s="817"/>
      <c r="C40" s="817"/>
      <c r="D40" s="817"/>
      <c r="E40" s="818">
        <f t="shared" si="3"/>
        <v>0</v>
      </c>
    </row>
    <row r="41" spans="1:7" x14ac:dyDescent="0.3">
      <c r="A41" s="816" t="s">
        <v>135</v>
      </c>
      <c r="B41" s="817"/>
      <c r="C41" s="817"/>
      <c r="D41" s="817"/>
      <c r="E41" s="818">
        <f t="shared" si="3"/>
        <v>0</v>
      </c>
    </row>
    <row r="42" spans="1:7" x14ac:dyDescent="0.3">
      <c r="A42" s="825"/>
      <c r="B42" s="817"/>
      <c r="C42" s="817"/>
      <c r="D42" s="817"/>
      <c r="E42" s="818">
        <f t="shared" si="3"/>
        <v>0</v>
      </c>
    </row>
    <row r="43" spans="1:7" x14ac:dyDescent="0.3">
      <c r="A43" s="825"/>
      <c r="B43" s="817"/>
      <c r="C43" s="817"/>
      <c r="D43" s="817"/>
      <c r="E43" s="818">
        <f t="shared" si="3"/>
        <v>0</v>
      </c>
    </row>
    <row r="44" spans="1:7" ht="13.5" thickBot="1" x14ac:dyDescent="0.35">
      <c r="A44" s="819"/>
      <c r="B44" s="820"/>
      <c r="C44" s="820"/>
      <c r="D44" s="820"/>
      <c r="E44" s="818">
        <f t="shared" si="3"/>
        <v>0</v>
      </c>
    </row>
    <row r="45" spans="1:7" ht="13.5" thickBot="1" x14ac:dyDescent="0.35">
      <c r="A45" s="388" t="s">
        <v>48</v>
      </c>
      <c r="B45" s="821">
        <f>SUM(B38:B44)</f>
        <v>0</v>
      </c>
      <c r="C45" s="821">
        <f>SUM(C38:C44)</f>
        <v>0</v>
      </c>
      <c r="D45" s="821">
        <f>SUM(D38:D44)</f>
        <v>0</v>
      </c>
      <c r="E45" s="822">
        <f>SUM(E38:E44)</f>
        <v>0</v>
      </c>
    </row>
    <row r="46" spans="1:7" x14ac:dyDescent="0.3">
      <c r="A46" s="206"/>
      <c r="B46" s="206"/>
      <c r="C46" s="206"/>
      <c r="D46" s="206"/>
      <c r="E46" s="206"/>
    </row>
    <row r="47" spans="1:7" x14ac:dyDescent="0.3">
      <c r="A47" s="933" t="s">
        <v>656</v>
      </c>
      <c r="B47" s="933"/>
      <c r="C47" s="933"/>
      <c r="D47" s="933"/>
      <c r="E47" s="933"/>
      <c r="F47" s="933"/>
      <c r="G47" s="933"/>
    </row>
    <row r="48" spans="1:7" ht="13.5" thickBot="1" x14ac:dyDescent="0.35">
      <c r="A48" s="206"/>
      <c r="B48" s="206"/>
      <c r="C48" s="206"/>
      <c r="D48" s="206"/>
      <c r="E48" s="206"/>
    </row>
    <row r="49" spans="1:8" ht="13.5" thickBot="1" x14ac:dyDescent="0.35">
      <c r="A49" s="924" t="s">
        <v>130</v>
      </c>
      <c r="B49" s="925"/>
      <c r="C49" s="926"/>
      <c r="D49" s="945" t="s">
        <v>594</v>
      </c>
      <c r="E49" s="946"/>
      <c r="H49" s="826"/>
    </row>
    <row r="50" spans="1:8" x14ac:dyDescent="0.3">
      <c r="A50" s="927"/>
      <c r="B50" s="928"/>
      <c r="C50" s="929"/>
      <c r="D50" s="939"/>
      <c r="E50" s="940"/>
    </row>
    <row r="51" spans="1:8" ht="13.5" thickBot="1" x14ac:dyDescent="0.35">
      <c r="A51" s="930"/>
      <c r="B51" s="931"/>
      <c r="C51" s="932"/>
      <c r="D51" s="941"/>
      <c r="E51" s="942"/>
    </row>
    <row r="52" spans="1:8" ht="13.5" thickBot="1" x14ac:dyDescent="0.35">
      <c r="A52" s="936" t="s">
        <v>48</v>
      </c>
      <c r="B52" s="937"/>
      <c r="C52" s="938"/>
      <c r="D52" s="943">
        <f>SUM(D50:E51)</f>
        <v>0</v>
      </c>
      <c r="E52" s="944"/>
    </row>
  </sheetData>
  <mergeCells count="13">
    <mergeCell ref="A52:C52"/>
    <mergeCell ref="D50:E50"/>
    <mergeCell ref="D51:E51"/>
    <mergeCell ref="D52:E52"/>
    <mergeCell ref="D49:E49"/>
    <mergeCell ref="A49:C49"/>
    <mergeCell ref="A50:C50"/>
    <mergeCell ref="A51:C51"/>
    <mergeCell ref="A47:G47"/>
    <mergeCell ref="B2:E2"/>
    <mergeCell ref="B25:E25"/>
    <mergeCell ref="D3:E3"/>
    <mergeCell ref="D26:E26"/>
  </mergeCells>
  <phoneticPr fontId="5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3">
    <tabColor rgb="FF7030A0"/>
  </sheetPr>
  <dimension ref="A1:G161"/>
  <sheetViews>
    <sheetView zoomScale="94" zoomScaleNormal="94" zoomScaleSheetLayoutView="85" workbookViewId="0">
      <selection activeCell="B1" sqref="B1"/>
    </sheetView>
  </sheetViews>
  <sheetFormatPr defaultColWidth="9.296875" defaultRowHeight="15.5" x14ac:dyDescent="0.3"/>
  <cols>
    <col min="1" max="1" width="9.19921875" style="793" customWidth="1"/>
    <col min="2" max="2" width="69.19921875" style="794" bestFit="1" customWidth="1"/>
    <col min="3" max="5" width="17.296875" style="799" bestFit="1" customWidth="1"/>
    <col min="6" max="6" width="11.69921875" style="721" bestFit="1" customWidth="1"/>
    <col min="7" max="7" width="13" style="721" bestFit="1" customWidth="1"/>
    <col min="8" max="16384" width="9.296875" style="721"/>
  </cols>
  <sheetData>
    <row r="1" spans="1:5" s="102" customFormat="1" ht="16" thickBot="1" x14ac:dyDescent="0.35">
      <c r="A1" s="1"/>
      <c r="B1" s="710" t="s">
        <v>742</v>
      </c>
      <c r="C1" s="710"/>
      <c r="D1" s="710"/>
      <c r="E1" s="710"/>
    </row>
    <row r="2" spans="1:5" s="105" customFormat="1" ht="30" x14ac:dyDescent="0.3">
      <c r="A2" s="711" t="s">
        <v>56</v>
      </c>
      <c r="B2" s="712" t="s">
        <v>535</v>
      </c>
      <c r="C2" s="713" t="s">
        <v>49</v>
      </c>
      <c r="D2" s="713" t="s">
        <v>49</v>
      </c>
      <c r="E2" s="713" t="s">
        <v>49</v>
      </c>
    </row>
    <row r="3" spans="1:5" s="105" customFormat="1" thickBot="1" x14ac:dyDescent="0.35">
      <c r="A3" s="714" t="s">
        <v>191</v>
      </c>
      <c r="B3" s="715" t="s">
        <v>393</v>
      </c>
      <c r="C3" s="716" t="s">
        <v>49</v>
      </c>
      <c r="D3" s="716" t="s">
        <v>49</v>
      </c>
      <c r="E3" s="716" t="s">
        <v>49</v>
      </c>
    </row>
    <row r="4" spans="1:5" s="105" customFormat="1" ht="16" thickBot="1" x14ac:dyDescent="0.4">
      <c r="A4" s="717"/>
      <c r="B4" s="717"/>
      <c r="C4" s="718" t="s">
        <v>579</v>
      </c>
      <c r="D4" s="718" t="s">
        <v>579</v>
      </c>
      <c r="E4" s="718" t="s">
        <v>579</v>
      </c>
    </row>
    <row r="5" spans="1:5" ht="45.5" thickBot="1" x14ac:dyDescent="0.35">
      <c r="A5" s="719" t="s">
        <v>193</v>
      </c>
      <c r="B5" s="720" t="s">
        <v>50</v>
      </c>
      <c r="C5" s="677" t="s">
        <v>640</v>
      </c>
      <c r="D5" s="677" t="s">
        <v>724</v>
      </c>
      <c r="E5" s="827" t="s">
        <v>730</v>
      </c>
    </row>
    <row r="6" spans="1:5" s="110" customFormat="1" thickBot="1" x14ac:dyDescent="0.35">
      <c r="A6" s="722" t="s">
        <v>482</v>
      </c>
      <c r="B6" s="723" t="s">
        <v>483</v>
      </c>
      <c r="C6" s="724" t="s">
        <v>484</v>
      </c>
      <c r="D6" s="724" t="s">
        <v>484</v>
      </c>
      <c r="E6" s="724" t="s">
        <v>484</v>
      </c>
    </row>
    <row r="7" spans="1:5" s="110" customFormat="1" thickBot="1" x14ac:dyDescent="0.35">
      <c r="A7" s="725"/>
      <c r="B7" s="726" t="s">
        <v>51</v>
      </c>
      <c r="C7" s="727"/>
      <c r="D7" s="727"/>
      <c r="E7" s="727"/>
    </row>
    <row r="8" spans="1:5" s="731" customFormat="1" ht="16" thickBot="1" x14ac:dyDescent="0.4">
      <c r="A8" s="728" t="s">
        <v>14</v>
      </c>
      <c r="B8" s="729" t="s">
        <v>241</v>
      </c>
      <c r="C8" s="730">
        <f>+C9+C10+C11+C12+C13+C14</f>
        <v>229497311</v>
      </c>
      <c r="D8" s="730">
        <f>+D9+D10+D11+D12+D13+D14</f>
        <v>239534121</v>
      </c>
      <c r="E8" s="730">
        <f>+E9+E10+E11+E12+E13+E14</f>
        <v>217756969</v>
      </c>
    </row>
    <row r="9" spans="1:5" s="731" customFormat="1" x14ac:dyDescent="0.35">
      <c r="A9" s="732" t="s">
        <v>93</v>
      </c>
      <c r="B9" s="733" t="s">
        <v>242</v>
      </c>
      <c r="C9" s="734">
        <v>119931664</v>
      </c>
      <c r="D9" s="734">
        <f>119931664+9701500</f>
        <v>129633164</v>
      </c>
      <c r="E9" s="734">
        <f>119931664+9701500+189566+243701-21207500</f>
        <v>108858931</v>
      </c>
    </row>
    <row r="10" spans="1:5" s="731" customFormat="1" x14ac:dyDescent="0.35">
      <c r="A10" s="735" t="s">
        <v>94</v>
      </c>
      <c r="B10" s="736" t="s">
        <v>243</v>
      </c>
      <c r="C10" s="737">
        <v>64851900</v>
      </c>
      <c r="D10" s="737">
        <v>64851900</v>
      </c>
      <c r="E10" s="737">
        <f>64851900-29220</f>
        <v>64822680</v>
      </c>
    </row>
    <row r="11" spans="1:5" s="731" customFormat="1" ht="31" x14ac:dyDescent="0.35">
      <c r="A11" s="735" t="s">
        <v>95</v>
      </c>
      <c r="B11" s="736" t="s">
        <v>244</v>
      </c>
      <c r="C11" s="737">
        <v>41522446</v>
      </c>
      <c r="D11" s="737">
        <v>41522446</v>
      </c>
      <c r="E11" s="737">
        <f>41522446-1631440</f>
        <v>39891006</v>
      </c>
    </row>
    <row r="12" spans="1:5" s="731" customFormat="1" x14ac:dyDescent="0.35">
      <c r="A12" s="735" t="s">
        <v>96</v>
      </c>
      <c r="B12" s="736" t="s">
        <v>245</v>
      </c>
      <c r="C12" s="737">
        <v>3191301</v>
      </c>
      <c r="D12" s="737">
        <v>3191301</v>
      </c>
      <c r="E12" s="737">
        <f>3191301+632000+145744+215307</f>
        <v>4184352</v>
      </c>
    </row>
    <row r="13" spans="1:5" s="731" customFormat="1" x14ac:dyDescent="0.35">
      <c r="A13" s="735" t="s">
        <v>139</v>
      </c>
      <c r="B13" s="738" t="s">
        <v>425</v>
      </c>
      <c r="C13" s="737"/>
      <c r="D13" s="737">
        <f>189566+145744</f>
        <v>335310</v>
      </c>
      <c r="E13" s="737">
        <f>189566+145744-189566-145744</f>
        <v>0</v>
      </c>
    </row>
    <row r="14" spans="1:5" s="731" customFormat="1" ht="16" thickBot="1" x14ac:dyDescent="0.4">
      <c r="A14" s="739" t="s">
        <v>97</v>
      </c>
      <c r="B14" s="740" t="s">
        <v>426</v>
      </c>
      <c r="C14" s="737"/>
      <c r="D14" s="737"/>
      <c r="E14" s="737"/>
    </row>
    <row r="15" spans="1:5" s="731" customFormat="1" ht="30.5" thickBot="1" x14ac:dyDescent="0.4">
      <c r="A15" s="728" t="s">
        <v>15</v>
      </c>
      <c r="B15" s="741" t="s">
        <v>246</v>
      </c>
      <c r="C15" s="730">
        <f>+C16+C17+C18+C19+C20</f>
        <v>86368865</v>
      </c>
      <c r="D15" s="730">
        <f>+D16+D17+D18+D19+D20</f>
        <v>85253068</v>
      </c>
      <c r="E15" s="730">
        <f>+E16+E17+E18+E19+E20</f>
        <v>85834135</v>
      </c>
    </row>
    <row r="16" spans="1:5" s="731" customFormat="1" x14ac:dyDescent="0.35">
      <c r="A16" s="732" t="s">
        <v>99</v>
      </c>
      <c r="B16" s="733" t="s">
        <v>247</v>
      </c>
      <c r="C16" s="734"/>
      <c r="D16" s="734"/>
      <c r="E16" s="734"/>
    </row>
    <row r="17" spans="1:5" s="731" customFormat="1" x14ac:dyDescent="0.35">
      <c r="A17" s="735" t="s">
        <v>100</v>
      </c>
      <c r="B17" s="736" t="s">
        <v>248</v>
      </c>
      <c r="C17" s="737"/>
      <c r="D17" s="737"/>
      <c r="E17" s="737"/>
    </row>
    <row r="18" spans="1:5" s="731" customFormat="1" ht="31" x14ac:dyDescent="0.35">
      <c r="A18" s="735" t="s">
        <v>101</v>
      </c>
      <c r="B18" s="736" t="s">
        <v>415</v>
      </c>
      <c r="C18" s="737"/>
      <c r="D18" s="737"/>
      <c r="E18" s="737"/>
    </row>
    <row r="19" spans="1:5" s="731" customFormat="1" ht="31" x14ac:dyDescent="0.35">
      <c r="A19" s="735" t="s">
        <v>102</v>
      </c>
      <c r="B19" s="736" t="s">
        <v>416</v>
      </c>
      <c r="C19" s="737"/>
      <c r="D19" s="737"/>
      <c r="E19" s="737"/>
    </row>
    <row r="20" spans="1:5" s="731" customFormat="1" x14ac:dyDescent="0.35">
      <c r="A20" s="735" t="s">
        <v>103</v>
      </c>
      <c r="B20" s="736" t="s">
        <v>249</v>
      </c>
      <c r="C20" s="737">
        <v>86368865</v>
      </c>
      <c r="D20" s="737">
        <f>86368865-3379392+1986068+277527</f>
        <v>85253068</v>
      </c>
      <c r="E20" s="737">
        <f>86368865-3379392+1986068+277527+75000+379473+284369+140809-241702+1560482+1551000+1135050-3748146-1055268+500000</f>
        <v>85834135</v>
      </c>
    </row>
    <row r="21" spans="1:5" s="731" customFormat="1" ht="16" thickBot="1" x14ac:dyDescent="0.4">
      <c r="A21" s="739" t="s">
        <v>112</v>
      </c>
      <c r="B21" s="740" t="s">
        <v>250</v>
      </c>
      <c r="C21" s="742"/>
      <c r="D21" s="742"/>
      <c r="E21" s="742"/>
    </row>
    <row r="22" spans="1:5" s="731" customFormat="1" ht="30.5" thickBot="1" x14ac:dyDescent="0.4">
      <c r="A22" s="728" t="s">
        <v>16</v>
      </c>
      <c r="B22" s="729" t="s">
        <v>251</v>
      </c>
      <c r="C22" s="730">
        <f>+C23+C24+C25+C26+C27</f>
        <v>62734377</v>
      </c>
      <c r="D22" s="730">
        <f>+D23+D24+D25+D26+D27</f>
        <v>62734377</v>
      </c>
      <c r="E22" s="730">
        <f>+E23+E24+E25+E26+E27</f>
        <v>62570704</v>
      </c>
    </row>
    <row r="23" spans="1:5" s="731" customFormat="1" x14ac:dyDescent="0.35">
      <c r="A23" s="732" t="s">
        <v>82</v>
      </c>
      <c r="B23" s="733" t="s">
        <v>252</v>
      </c>
      <c r="C23" s="734"/>
      <c r="D23" s="734"/>
      <c r="E23" s="734"/>
    </row>
    <row r="24" spans="1:5" s="731" customFormat="1" x14ac:dyDescent="0.35">
      <c r="A24" s="735" t="s">
        <v>83</v>
      </c>
      <c r="B24" s="736" t="s">
        <v>253</v>
      </c>
      <c r="C24" s="737"/>
      <c r="D24" s="737"/>
      <c r="E24" s="737"/>
    </row>
    <row r="25" spans="1:5" s="731" customFormat="1" ht="31" x14ac:dyDescent="0.35">
      <c r="A25" s="735" t="s">
        <v>84</v>
      </c>
      <c r="B25" s="736" t="s">
        <v>417</v>
      </c>
      <c r="C25" s="737"/>
      <c r="D25" s="737"/>
      <c r="E25" s="737"/>
    </row>
    <row r="26" spans="1:5" s="731" customFormat="1" ht="31" x14ac:dyDescent="0.35">
      <c r="A26" s="735" t="s">
        <v>85</v>
      </c>
      <c r="B26" s="736" t="s">
        <v>418</v>
      </c>
      <c r="C26" s="737"/>
      <c r="D26" s="737"/>
      <c r="E26" s="737"/>
    </row>
    <row r="27" spans="1:5" s="731" customFormat="1" x14ac:dyDescent="0.35">
      <c r="A27" s="735" t="s">
        <v>160</v>
      </c>
      <c r="B27" s="736" t="s">
        <v>254</v>
      </c>
      <c r="C27" s="737">
        <v>62734377</v>
      </c>
      <c r="D27" s="737">
        <v>62734377</v>
      </c>
      <c r="E27" s="737">
        <f>62734377-163673</f>
        <v>62570704</v>
      </c>
    </row>
    <row r="28" spans="1:5" s="731" customFormat="1" ht="16" thickBot="1" x14ac:dyDescent="0.4">
      <c r="A28" s="739" t="s">
        <v>161</v>
      </c>
      <c r="B28" s="743" t="s">
        <v>255</v>
      </c>
      <c r="C28" s="742"/>
      <c r="D28" s="742"/>
      <c r="E28" s="742"/>
    </row>
    <row r="29" spans="1:5" s="731" customFormat="1" ht="16" thickBot="1" x14ac:dyDescent="0.4">
      <c r="A29" s="728" t="s">
        <v>162</v>
      </c>
      <c r="B29" s="729" t="s">
        <v>256</v>
      </c>
      <c r="C29" s="744">
        <f>+C30+C34+C35+C36</f>
        <v>161200000</v>
      </c>
      <c r="D29" s="744">
        <f>+D30+D34+D35+D36</f>
        <v>161200000</v>
      </c>
      <c r="E29" s="744">
        <f>+E30+E34+E35+E36</f>
        <v>115200000</v>
      </c>
    </row>
    <row r="30" spans="1:5" s="731" customFormat="1" x14ac:dyDescent="0.35">
      <c r="A30" s="732" t="s">
        <v>257</v>
      </c>
      <c r="B30" s="733" t="s">
        <v>432</v>
      </c>
      <c r="C30" s="745">
        <f>+C31+C32+C33</f>
        <v>120000000</v>
      </c>
      <c r="D30" s="745">
        <f>+D31+D32+D33</f>
        <v>120000000</v>
      </c>
      <c r="E30" s="745">
        <f>+E31+E32+E33</f>
        <v>105000000</v>
      </c>
    </row>
    <row r="31" spans="1:5" s="731" customFormat="1" x14ac:dyDescent="0.35">
      <c r="A31" s="735" t="s">
        <v>258</v>
      </c>
      <c r="B31" s="736" t="s">
        <v>590</v>
      </c>
      <c r="C31" s="737">
        <v>75000000</v>
      </c>
      <c r="D31" s="737">
        <v>75000000</v>
      </c>
      <c r="E31" s="737">
        <v>75000000</v>
      </c>
    </row>
    <row r="32" spans="1:5" s="731" customFormat="1" x14ac:dyDescent="0.35">
      <c r="A32" s="735" t="s">
        <v>259</v>
      </c>
      <c r="B32" s="736" t="s">
        <v>591</v>
      </c>
      <c r="C32" s="737"/>
      <c r="D32" s="737"/>
      <c r="E32" s="737"/>
    </row>
    <row r="33" spans="1:5" s="731" customFormat="1" x14ac:dyDescent="0.35">
      <c r="A33" s="735" t="s">
        <v>430</v>
      </c>
      <c r="B33" s="746" t="s">
        <v>431</v>
      </c>
      <c r="C33" s="737">
        <v>45000000</v>
      </c>
      <c r="D33" s="737">
        <v>45000000</v>
      </c>
      <c r="E33" s="737">
        <f>45000000-7000000-8000000</f>
        <v>30000000</v>
      </c>
    </row>
    <row r="34" spans="1:5" s="731" customFormat="1" x14ac:dyDescent="0.35">
      <c r="A34" s="735" t="s">
        <v>260</v>
      </c>
      <c r="B34" s="736" t="s">
        <v>265</v>
      </c>
      <c r="C34" s="737">
        <v>9000000</v>
      </c>
      <c r="D34" s="737">
        <v>9000000</v>
      </c>
      <c r="E34" s="737">
        <f>9000000-9000000</f>
        <v>0</v>
      </c>
    </row>
    <row r="35" spans="1:5" s="731" customFormat="1" x14ac:dyDescent="0.35">
      <c r="A35" s="735" t="s">
        <v>261</v>
      </c>
      <c r="B35" s="736" t="s">
        <v>574</v>
      </c>
      <c r="C35" s="737">
        <v>32000000</v>
      </c>
      <c r="D35" s="737">
        <v>32000000</v>
      </c>
      <c r="E35" s="737">
        <f>32000000-17000000-5000000</f>
        <v>10000000</v>
      </c>
    </row>
    <row r="36" spans="1:5" s="731" customFormat="1" ht="16" thickBot="1" x14ac:dyDescent="0.4">
      <c r="A36" s="739" t="s">
        <v>262</v>
      </c>
      <c r="B36" s="743" t="s">
        <v>267</v>
      </c>
      <c r="C36" s="742">
        <v>200000</v>
      </c>
      <c r="D36" s="742">
        <v>200000</v>
      </c>
      <c r="E36" s="742">
        <v>200000</v>
      </c>
    </row>
    <row r="37" spans="1:5" s="731" customFormat="1" ht="16" thickBot="1" x14ac:dyDescent="0.4">
      <c r="A37" s="728" t="s">
        <v>18</v>
      </c>
      <c r="B37" s="729" t="s">
        <v>427</v>
      </c>
      <c r="C37" s="730">
        <f>SUM(C38:C48)</f>
        <v>145231626</v>
      </c>
      <c r="D37" s="730">
        <f>SUM(D38:D48)</f>
        <v>145231626</v>
      </c>
      <c r="E37" s="730">
        <f>SUM(E38:E48)</f>
        <v>125508728</v>
      </c>
    </row>
    <row r="38" spans="1:5" s="731" customFormat="1" x14ac:dyDescent="0.35">
      <c r="A38" s="732" t="s">
        <v>86</v>
      </c>
      <c r="B38" s="733" t="s">
        <v>270</v>
      </c>
      <c r="C38" s="734"/>
      <c r="D38" s="734"/>
      <c r="E38" s="734"/>
    </row>
    <row r="39" spans="1:5" s="731" customFormat="1" x14ac:dyDescent="0.35">
      <c r="A39" s="735" t="s">
        <v>87</v>
      </c>
      <c r="B39" s="736" t="s">
        <v>271</v>
      </c>
      <c r="C39" s="737">
        <v>102856540</v>
      </c>
      <c r="D39" s="737">
        <v>102856540</v>
      </c>
      <c r="E39" s="737">
        <f>102856540-76700-17000000</f>
        <v>85779840</v>
      </c>
    </row>
    <row r="40" spans="1:5" s="731" customFormat="1" x14ac:dyDescent="0.35">
      <c r="A40" s="735" t="s">
        <v>88</v>
      </c>
      <c r="B40" s="736" t="s">
        <v>272</v>
      </c>
      <c r="C40" s="737">
        <v>1600000</v>
      </c>
      <c r="D40" s="737">
        <v>1600000</v>
      </c>
      <c r="E40" s="737">
        <v>1600000</v>
      </c>
    </row>
    <row r="41" spans="1:5" s="731" customFormat="1" x14ac:dyDescent="0.35">
      <c r="A41" s="735" t="s">
        <v>164</v>
      </c>
      <c r="B41" s="736" t="s">
        <v>273</v>
      </c>
      <c r="C41" s="737"/>
      <c r="D41" s="737"/>
      <c r="E41" s="737"/>
    </row>
    <row r="42" spans="1:5" s="731" customFormat="1" x14ac:dyDescent="0.35">
      <c r="A42" s="735" t="s">
        <v>165</v>
      </c>
      <c r="B42" s="736" t="s">
        <v>274</v>
      </c>
      <c r="C42" s="737">
        <v>1500000</v>
      </c>
      <c r="D42" s="737">
        <v>1500000</v>
      </c>
      <c r="E42" s="737">
        <v>1500000</v>
      </c>
    </row>
    <row r="43" spans="1:5" s="731" customFormat="1" x14ac:dyDescent="0.35">
      <c r="A43" s="735" t="s">
        <v>166</v>
      </c>
      <c r="B43" s="736" t="s">
        <v>275</v>
      </c>
      <c r="C43" s="737">
        <v>28608266</v>
      </c>
      <c r="D43" s="737">
        <v>28608266</v>
      </c>
      <c r="E43" s="737">
        <f>28608266+392396-20709-4590000</f>
        <v>24389953</v>
      </c>
    </row>
    <row r="44" spans="1:5" s="731" customFormat="1" x14ac:dyDescent="0.35">
      <c r="A44" s="735" t="s">
        <v>167</v>
      </c>
      <c r="B44" s="736" t="s">
        <v>276</v>
      </c>
      <c r="C44" s="737">
        <v>10655820</v>
      </c>
      <c r="D44" s="737">
        <v>10655820</v>
      </c>
      <c r="E44" s="737">
        <v>10655820</v>
      </c>
    </row>
    <row r="45" spans="1:5" s="731" customFormat="1" x14ac:dyDescent="0.35">
      <c r="A45" s="735" t="s">
        <v>168</v>
      </c>
      <c r="B45" s="736" t="s">
        <v>277</v>
      </c>
      <c r="C45" s="737">
        <v>1000</v>
      </c>
      <c r="D45" s="737">
        <v>1000</v>
      </c>
      <c r="E45" s="737">
        <v>1000</v>
      </c>
    </row>
    <row r="46" spans="1:5" s="731" customFormat="1" x14ac:dyDescent="0.35">
      <c r="A46" s="735" t="s">
        <v>268</v>
      </c>
      <c r="B46" s="736" t="s">
        <v>278</v>
      </c>
      <c r="C46" s="747"/>
      <c r="D46" s="747"/>
      <c r="E46" s="747"/>
    </row>
    <row r="47" spans="1:5" s="731" customFormat="1" x14ac:dyDescent="0.35">
      <c r="A47" s="739" t="s">
        <v>269</v>
      </c>
      <c r="B47" s="743" t="s">
        <v>429</v>
      </c>
      <c r="C47" s="748"/>
      <c r="D47" s="748"/>
      <c r="E47" s="748"/>
    </row>
    <row r="48" spans="1:5" s="731" customFormat="1" ht="16" thickBot="1" x14ac:dyDescent="0.4">
      <c r="A48" s="739" t="s">
        <v>428</v>
      </c>
      <c r="B48" s="740" t="s">
        <v>279</v>
      </c>
      <c r="C48" s="748">
        <v>10000</v>
      </c>
      <c r="D48" s="748">
        <v>10000</v>
      </c>
      <c r="E48" s="748">
        <f>10000+1453320+118795</f>
        <v>1582115</v>
      </c>
    </row>
    <row r="49" spans="1:5" s="731" customFormat="1" ht="16" thickBot="1" x14ac:dyDescent="0.4">
      <c r="A49" s="728" t="s">
        <v>19</v>
      </c>
      <c r="B49" s="729" t="s">
        <v>280</v>
      </c>
      <c r="C49" s="730">
        <f>SUM(C50:C54)</f>
        <v>0</v>
      </c>
      <c r="D49" s="730">
        <f>SUM(D50:D54)</f>
        <v>3151165</v>
      </c>
      <c r="E49" s="730">
        <f>SUM(E50:E54)</f>
        <v>3901165</v>
      </c>
    </row>
    <row r="50" spans="1:5" s="731" customFormat="1" x14ac:dyDescent="0.35">
      <c r="A50" s="732" t="s">
        <v>89</v>
      </c>
      <c r="B50" s="733" t="s">
        <v>284</v>
      </c>
      <c r="C50" s="749"/>
      <c r="D50" s="749"/>
      <c r="E50" s="749"/>
    </row>
    <row r="51" spans="1:5" s="731" customFormat="1" x14ac:dyDescent="0.35">
      <c r="A51" s="735" t="s">
        <v>90</v>
      </c>
      <c r="B51" s="736" t="s">
        <v>285</v>
      </c>
      <c r="C51" s="747"/>
      <c r="D51" s="747">
        <f>3151165</f>
        <v>3151165</v>
      </c>
      <c r="E51" s="747">
        <f>3151165</f>
        <v>3151165</v>
      </c>
    </row>
    <row r="52" spans="1:5" s="731" customFormat="1" x14ac:dyDescent="0.35">
      <c r="A52" s="735" t="s">
        <v>281</v>
      </c>
      <c r="B52" s="736" t="s">
        <v>286</v>
      </c>
      <c r="C52" s="747"/>
      <c r="D52" s="747"/>
      <c r="E52" s="747">
        <f>750000</f>
        <v>750000</v>
      </c>
    </row>
    <row r="53" spans="1:5" s="731" customFormat="1" x14ac:dyDescent="0.35">
      <c r="A53" s="735" t="s">
        <v>282</v>
      </c>
      <c r="B53" s="736" t="s">
        <v>287</v>
      </c>
      <c r="C53" s="747"/>
      <c r="D53" s="747"/>
      <c r="E53" s="747"/>
    </row>
    <row r="54" spans="1:5" s="731" customFormat="1" ht="16" thickBot="1" x14ac:dyDescent="0.4">
      <c r="A54" s="739" t="s">
        <v>283</v>
      </c>
      <c r="B54" s="740" t="s">
        <v>288</v>
      </c>
      <c r="C54" s="748"/>
      <c r="D54" s="748"/>
      <c r="E54" s="748"/>
    </row>
    <row r="55" spans="1:5" s="731" customFormat="1" ht="16" thickBot="1" x14ac:dyDescent="0.4">
      <c r="A55" s="728" t="s">
        <v>169</v>
      </c>
      <c r="B55" s="729" t="s">
        <v>289</v>
      </c>
      <c r="C55" s="730">
        <f>SUM(C56:C58)</f>
        <v>0</v>
      </c>
      <c r="D55" s="730">
        <f>SUM(D56:D58)</f>
        <v>0</v>
      </c>
      <c r="E55" s="730">
        <f>SUM(E56:E58)</f>
        <v>0</v>
      </c>
    </row>
    <row r="56" spans="1:5" s="731" customFormat="1" ht="31" x14ac:dyDescent="0.35">
      <c r="A56" s="732" t="s">
        <v>91</v>
      </c>
      <c r="B56" s="733" t="s">
        <v>290</v>
      </c>
      <c r="C56" s="734"/>
      <c r="D56" s="734"/>
      <c r="E56" s="734"/>
    </row>
    <row r="57" spans="1:5" s="731" customFormat="1" ht="31" x14ac:dyDescent="0.35">
      <c r="A57" s="735" t="s">
        <v>92</v>
      </c>
      <c r="B57" s="736" t="s">
        <v>419</v>
      </c>
      <c r="C57" s="737"/>
      <c r="D57" s="737"/>
      <c r="E57" s="737"/>
    </row>
    <row r="58" spans="1:5" s="731" customFormat="1" x14ac:dyDescent="0.35">
      <c r="A58" s="735" t="s">
        <v>293</v>
      </c>
      <c r="B58" s="736" t="s">
        <v>291</v>
      </c>
      <c r="C58" s="737"/>
      <c r="D58" s="737"/>
      <c r="E58" s="737"/>
    </row>
    <row r="59" spans="1:5" s="731" customFormat="1" ht="16" thickBot="1" x14ac:dyDescent="0.4">
      <c r="A59" s="739" t="s">
        <v>294</v>
      </c>
      <c r="B59" s="740" t="s">
        <v>292</v>
      </c>
      <c r="C59" s="742"/>
      <c r="D59" s="742"/>
      <c r="E59" s="742"/>
    </row>
    <row r="60" spans="1:5" s="731" customFormat="1" ht="16" thickBot="1" x14ac:dyDescent="0.4">
      <c r="A60" s="728" t="s">
        <v>21</v>
      </c>
      <c r="B60" s="741" t="s">
        <v>295</v>
      </c>
      <c r="C60" s="730">
        <f>SUM(C61:C63)</f>
        <v>500000</v>
      </c>
      <c r="D60" s="730">
        <f>SUM(D61:D63)</f>
        <v>500000</v>
      </c>
      <c r="E60" s="730">
        <f>SUM(E61:E63)</f>
        <v>833248</v>
      </c>
    </row>
    <row r="61" spans="1:5" s="731" customFormat="1" ht="31" x14ac:dyDescent="0.35">
      <c r="A61" s="732" t="s">
        <v>170</v>
      </c>
      <c r="B61" s="733" t="s">
        <v>297</v>
      </c>
      <c r="C61" s="747"/>
      <c r="D61" s="747"/>
      <c r="E61" s="747"/>
    </row>
    <row r="62" spans="1:5" s="731" customFormat="1" ht="31" x14ac:dyDescent="0.35">
      <c r="A62" s="735" t="s">
        <v>171</v>
      </c>
      <c r="B62" s="736" t="s">
        <v>420</v>
      </c>
      <c r="C62" s="747"/>
      <c r="D62" s="747"/>
      <c r="E62" s="747"/>
    </row>
    <row r="63" spans="1:5" s="731" customFormat="1" x14ac:dyDescent="0.35">
      <c r="A63" s="735" t="s">
        <v>218</v>
      </c>
      <c r="B63" s="736" t="s">
        <v>298</v>
      </c>
      <c r="C63" s="747">
        <v>500000</v>
      </c>
      <c r="D63" s="747">
        <v>500000</v>
      </c>
      <c r="E63" s="747">
        <f>500000+333248</f>
        <v>833248</v>
      </c>
    </row>
    <row r="64" spans="1:5" s="731" customFormat="1" ht="16" thickBot="1" x14ac:dyDescent="0.4">
      <c r="A64" s="739" t="s">
        <v>296</v>
      </c>
      <c r="B64" s="740" t="s">
        <v>299</v>
      </c>
      <c r="C64" s="747"/>
      <c r="D64" s="747"/>
      <c r="E64" s="747"/>
    </row>
    <row r="65" spans="1:5" s="731" customFormat="1" ht="16" thickBot="1" x14ac:dyDescent="0.4">
      <c r="A65" s="750" t="s">
        <v>471</v>
      </c>
      <c r="B65" s="729" t="s">
        <v>300</v>
      </c>
      <c r="C65" s="744">
        <f>+C8+C15+C22+C29+C37+C49+C55+C60</f>
        <v>685532179</v>
      </c>
      <c r="D65" s="744">
        <f>+D8+D15+D22+D29+D37+D49+D55+D60</f>
        <v>697604357</v>
      </c>
      <c r="E65" s="744">
        <f>+E8+E15+E22+E29+E37+E49+E55+E60</f>
        <v>611604949</v>
      </c>
    </row>
    <row r="66" spans="1:5" s="731" customFormat="1" ht="16" thickBot="1" x14ac:dyDescent="0.4">
      <c r="A66" s="751" t="s">
        <v>301</v>
      </c>
      <c r="B66" s="741" t="s">
        <v>302</v>
      </c>
      <c r="C66" s="730">
        <f>SUM(C67:C69)</f>
        <v>0</v>
      </c>
      <c r="D66" s="730">
        <f>SUM(D67:D69)</f>
        <v>0</v>
      </c>
      <c r="E66" s="730">
        <f>SUM(E67:E69)</f>
        <v>0</v>
      </c>
    </row>
    <row r="67" spans="1:5" s="731" customFormat="1" x14ac:dyDescent="0.35">
      <c r="A67" s="732" t="s">
        <v>333</v>
      </c>
      <c r="B67" s="733" t="s">
        <v>303</v>
      </c>
      <c r="C67" s="747"/>
      <c r="D67" s="747"/>
      <c r="E67" s="747"/>
    </row>
    <row r="68" spans="1:5" s="731" customFormat="1" x14ac:dyDescent="0.35">
      <c r="A68" s="735" t="s">
        <v>342</v>
      </c>
      <c r="B68" s="736" t="s">
        <v>304</v>
      </c>
      <c r="C68" s="747"/>
      <c r="D68" s="747"/>
      <c r="E68" s="747"/>
    </row>
    <row r="69" spans="1:5" s="731" customFormat="1" ht="16" thickBot="1" x14ac:dyDescent="0.4">
      <c r="A69" s="739" t="s">
        <v>343</v>
      </c>
      <c r="B69" s="752" t="s">
        <v>456</v>
      </c>
      <c r="C69" s="747"/>
      <c r="D69" s="747"/>
      <c r="E69" s="747"/>
    </row>
    <row r="70" spans="1:5" s="731" customFormat="1" ht="16" thickBot="1" x14ac:dyDescent="0.4">
      <c r="A70" s="751" t="s">
        <v>306</v>
      </c>
      <c r="B70" s="741" t="s">
        <v>307</v>
      </c>
      <c r="C70" s="730">
        <f>SUM(C71:C74)</f>
        <v>0</v>
      </c>
      <c r="D70" s="730">
        <f>SUM(D71:D74)</f>
        <v>0</v>
      </c>
      <c r="E70" s="730">
        <f>SUM(E71:E74)</f>
        <v>0</v>
      </c>
    </row>
    <row r="71" spans="1:5" s="731" customFormat="1" x14ac:dyDescent="0.35">
      <c r="A71" s="732" t="s">
        <v>140</v>
      </c>
      <c r="B71" s="733" t="s">
        <v>308</v>
      </c>
      <c r="C71" s="747"/>
      <c r="D71" s="747"/>
      <c r="E71" s="747"/>
    </row>
    <row r="72" spans="1:5" s="731" customFormat="1" x14ac:dyDescent="0.35">
      <c r="A72" s="735" t="s">
        <v>141</v>
      </c>
      <c r="B72" s="736" t="s">
        <v>309</v>
      </c>
      <c r="C72" s="747"/>
      <c r="D72" s="747"/>
      <c r="E72" s="747"/>
    </row>
    <row r="73" spans="1:5" s="731" customFormat="1" x14ac:dyDescent="0.35">
      <c r="A73" s="735" t="s">
        <v>334</v>
      </c>
      <c r="B73" s="736" t="s">
        <v>310</v>
      </c>
      <c r="C73" s="747"/>
      <c r="D73" s="747"/>
      <c r="E73" s="747"/>
    </row>
    <row r="74" spans="1:5" s="731" customFormat="1" ht="16" thickBot="1" x14ac:dyDescent="0.4">
      <c r="A74" s="739" t="s">
        <v>335</v>
      </c>
      <c r="B74" s="740" t="s">
        <v>311</v>
      </c>
      <c r="C74" s="747"/>
      <c r="D74" s="747"/>
      <c r="E74" s="747"/>
    </row>
    <row r="75" spans="1:5" s="731" customFormat="1" ht="16" thickBot="1" x14ac:dyDescent="0.4">
      <c r="A75" s="751" t="s">
        <v>312</v>
      </c>
      <c r="B75" s="741" t="s">
        <v>313</v>
      </c>
      <c r="C75" s="730">
        <f>SUM(C76:C77)</f>
        <v>700000000</v>
      </c>
      <c r="D75" s="730">
        <f>SUM(D76:D77)</f>
        <v>702467033</v>
      </c>
      <c r="E75" s="730">
        <f>SUM(E76:E77)</f>
        <v>702467033</v>
      </c>
    </row>
    <row r="76" spans="1:5" s="731" customFormat="1" x14ac:dyDescent="0.35">
      <c r="A76" s="732" t="s">
        <v>336</v>
      </c>
      <c r="B76" s="733" t="s">
        <v>314</v>
      </c>
      <c r="C76" s="747">
        <f>700000000</f>
        <v>700000000</v>
      </c>
      <c r="D76" s="747">
        <f>700000000+2467033</f>
        <v>702467033</v>
      </c>
      <c r="E76" s="747">
        <f>700000000+2467033</f>
        <v>702467033</v>
      </c>
    </row>
    <row r="77" spans="1:5" s="731" customFormat="1" ht="16" thickBot="1" x14ac:dyDescent="0.4">
      <c r="A77" s="739" t="s">
        <v>337</v>
      </c>
      <c r="B77" s="740" t="s">
        <v>315</v>
      </c>
      <c r="C77" s="747"/>
      <c r="D77" s="747"/>
      <c r="E77" s="747"/>
    </row>
    <row r="78" spans="1:5" s="731" customFormat="1" ht="16" thickBot="1" x14ac:dyDescent="0.4">
      <c r="A78" s="751" t="s">
        <v>316</v>
      </c>
      <c r="B78" s="741" t="s">
        <v>317</v>
      </c>
      <c r="C78" s="730">
        <f>SUM(C79:C81)</f>
        <v>429499</v>
      </c>
      <c r="D78" s="730">
        <f>SUM(D79:D81)</f>
        <v>429499</v>
      </c>
      <c r="E78" s="730">
        <f>SUM(E79:E81)</f>
        <v>206682</v>
      </c>
    </row>
    <row r="79" spans="1:5" s="731" customFormat="1" x14ac:dyDescent="0.35">
      <c r="A79" s="732" t="s">
        <v>338</v>
      </c>
      <c r="B79" s="733" t="s">
        <v>318</v>
      </c>
      <c r="C79" s="747">
        <f>429499</f>
        <v>429499</v>
      </c>
      <c r="D79" s="747">
        <f>429499</f>
        <v>429499</v>
      </c>
      <c r="E79" s="747">
        <f>429499-429499+206682</f>
        <v>206682</v>
      </c>
    </row>
    <row r="80" spans="1:5" s="731" customFormat="1" x14ac:dyDescent="0.35">
      <c r="A80" s="735" t="s">
        <v>339</v>
      </c>
      <c r="B80" s="736" t="s">
        <v>319</v>
      </c>
      <c r="C80" s="747"/>
      <c r="D80" s="747"/>
      <c r="E80" s="747"/>
    </row>
    <row r="81" spans="1:5" s="731" customFormat="1" ht="16" thickBot="1" x14ac:dyDescent="0.4">
      <c r="A81" s="739" t="s">
        <v>340</v>
      </c>
      <c r="B81" s="740" t="s">
        <v>320</v>
      </c>
      <c r="C81" s="747"/>
      <c r="D81" s="747"/>
      <c r="E81" s="747"/>
    </row>
    <row r="82" spans="1:5" s="731" customFormat="1" ht="16" thickBot="1" x14ac:dyDescent="0.4">
      <c r="A82" s="751" t="s">
        <v>321</v>
      </c>
      <c r="B82" s="741" t="s">
        <v>341</v>
      </c>
      <c r="C82" s="730">
        <f>SUM(C83:C86)</f>
        <v>0</v>
      </c>
      <c r="D82" s="730">
        <f>SUM(D83:D86)</f>
        <v>0</v>
      </c>
      <c r="E82" s="730">
        <f>SUM(E83:E86)</f>
        <v>0</v>
      </c>
    </row>
    <row r="83" spans="1:5" s="731" customFormat="1" x14ac:dyDescent="0.35">
      <c r="A83" s="753" t="s">
        <v>322</v>
      </c>
      <c r="B83" s="733" t="s">
        <v>323</v>
      </c>
      <c r="C83" s="747"/>
      <c r="D83" s="747"/>
      <c r="E83" s="747"/>
    </row>
    <row r="84" spans="1:5" s="731" customFormat="1" x14ac:dyDescent="0.35">
      <c r="A84" s="754" t="s">
        <v>324</v>
      </c>
      <c r="B84" s="736" t="s">
        <v>325</v>
      </c>
      <c r="C84" s="747"/>
      <c r="D84" s="747"/>
      <c r="E84" s="747"/>
    </row>
    <row r="85" spans="1:5" s="731" customFormat="1" x14ac:dyDescent="0.35">
      <c r="A85" s="754" t="s">
        <v>326</v>
      </c>
      <c r="B85" s="736" t="s">
        <v>327</v>
      </c>
      <c r="C85" s="747"/>
      <c r="D85" s="747"/>
      <c r="E85" s="747"/>
    </row>
    <row r="86" spans="1:5" s="731" customFormat="1" ht="16" thickBot="1" x14ac:dyDescent="0.4">
      <c r="A86" s="755" t="s">
        <v>328</v>
      </c>
      <c r="B86" s="740" t="s">
        <v>329</v>
      </c>
      <c r="C86" s="747"/>
      <c r="D86" s="747"/>
      <c r="E86" s="747"/>
    </row>
    <row r="87" spans="1:5" s="731" customFormat="1" ht="16" thickBot="1" x14ac:dyDescent="0.4">
      <c r="A87" s="751" t="s">
        <v>330</v>
      </c>
      <c r="B87" s="741" t="s">
        <v>470</v>
      </c>
      <c r="C87" s="756"/>
      <c r="D87" s="756"/>
      <c r="E87" s="756"/>
    </row>
    <row r="88" spans="1:5" s="731" customFormat="1" ht="16" thickBot="1" x14ac:dyDescent="0.4">
      <c r="A88" s="751" t="s">
        <v>332</v>
      </c>
      <c r="B88" s="741" t="s">
        <v>331</v>
      </c>
      <c r="C88" s="756"/>
      <c r="D88" s="756"/>
      <c r="E88" s="756"/>
    </row>
    <row r="89" spans="1:5" s="731" customFormat="1" ht="16" thickBot="1" x14ac:dyDescent="0.4">
      <c r="A89" s="751" t="s">
        <v>344</v>
      </c>
      <c r="B89" s="757" t="s">
        <v>473</v>
      </c>
      <c r="C89" s="744">
        <f>+C66+C70+C75+C78+C82+C88+C87</f>
        <v>700429499</v>
      </c>
      <c r="D89" s="744">
        <f>+D66+D70+D75+D78+D82+D88+D87</f>
        <v>702896532</v>
      </c>
      <c r="E89" s="744">
        <f>+E66+E70+E75+E78+E82+E88+E87</f>
        <v>702673715</v>
      </c>
    </row>
    <row r="90" spans="1:5" s="731" customFormat="1" ht="31" thickBot="1" x14ac:dyDescent="0.4">
      <c r="A90" s="758" t="s">
        <v>472</v>
      </c>
      <c r="B90" s="759" t="s">
        <v>474</v>
      </c>
      <c r="C90" s="744">
        <f>+C65+C89</f>
        <v>1385961678</v>
      </c>
      <c r="D90" s="744">
        <f>+D65+D89</f>
        <v>1400500889</v>
      </c>
      <c r="E90" s="744">
        <f>+E65+E89</f>
        <v>1314278664</v>
      </c>
    </row>
    <row r="91" spans="1:5" s="731" customFormat="1" x14ac:dyDescent="0.35">
      <c r="A91" s="71"/>
      <c r="B91" s="72"/>
      <c r="C91" s="566"/>
      <c r="D91" s="566"/>
      <c r="E91" s="566"/>
    </row>
    <row r="92" spans="1:5" s="33" customFormat="1" x14ac:dyDescent="0.35">
      <c r="A92" s="900" t="s">
        <v>42</v>
      </c>
      <c r="B92" s="900"/>
    </row>
    <row r="93" spans="1:5" s="73" customFormat="1" ht="16" thickBot="1" x14ac:dyDescent="0.4">
      <c r="A93" s="901" t="s">
        <v>143</v>
      </c>
      <c r="B93" s="901"/>
      <c r="C93" s="760"/>
      <c r="D93" s="760"/>
      <c r="E93" s="760"/>
    </row>
    <row r="94" spans="1:5" s="33" customFormat="1" ht="45.5" thickBot="1" x14ac:dyDescent="0.4">
      <c r="A94" s="761" t="s">
        <v>64</v>
      </c>
      <c r="B94" s="762" t="s">
        <v>43</v>
      </c>
      <c r="C94" s="677" t="s">
        <v>640</v>
      </c>
      <c r="D94" s="677" t="s">
        <v>724</v>
      </c>
      <c r="E94" s="827" t="s">
        <v>730</v>
      </c>
    </row>
    <row r="95" spans="1:5" s="731" customFormat="1" ht="16" thickBot="1" x14ac:dyDescent="0.4">
      <c r="A95" s="761" t="s">
        <v>482</v>
      </c>
      <c r="B95" s="762" t="s">
        <v>483</v>
      </c>
      <c r="C95" s="763" t="s">
        <v>484</v>
      </c>
      <c r="D95" s="763" t="s">
        <v>484</v>
      </c>
      <c r="E95" s="763" t="s">
        <v>484</v>
      </c>
    </row>
    <row r="96" spans="1:5" s="33" customFormat="1" ht="16" thickBot="1" x14ac:dyDescent="0.4">
      <c r="A96" s="764" t="s">
        <v>14</v>
      </c>
      <c r="B96" s="765" t="s">
        <v>736</v>
      </c>
      <c r="C96" s="766">
        <f>C97+C98+C99+C100+C101+C114</f>
        <v>803597961</v>
      </c>
      <c r="D96" s="766">
        <f>D97+D98+D99+D100+D101+D114</f>
        <v>820360826</v>
      </c>
      <c r="E96" s="766">
        <f>E97+E98+E99+E100+E101+E114</f>
        <v>779275764</v>
      </c>
    </row>
    <row r="97" spans="1:7" s="33" customFormat="1" x14ac:dyDescent="0.35">
      <c r="A97" s="767" t="s">
        <v>93</v>
      </c>
      <c r="B97" s="768" t="s">
        <v>44</v>
      </c>
      <c r="C97" s="769">
        <v>88632818</v>
      </c>
      <c r="D97" s="769">
        <f>88632818+2282840</f>
        <v>90915658</v>
      </c>
      <c r="E97" s="769">
        <f>88632818+2282840+1728436+1650000+1207500+364000-4081250-2500000+500000</f>
        <v>89784344</v>
      </c>
    </row>
    <row r="98" spans="1:7" s="33" customFormat="1" x14ac:dyDescent="0.35">
      <c r="A98" s="735" t="s">
        <v>94</v>
      </c>
      <c r="B98" s="770" t="s">
        <v>172</v>
      </c>
      <c r="C98" s="737">
        <v>17115177</v>
      </c>
      <c r="D98" s="737">
        <f>17115177+199749</f>
        <v>17314926</v>
      </c>
      <c r="E98" s="737">
        <f>17115177+199749+151240+288750+211312-1074019-437500+87500</f>
        <v>16542209</v>
      </c>
    </row>
    <row r="99" spans="1:7" s="33" customFormat="1" x14ac:dyDescent="0.35">
      <c r="A99" s="735" t="s">
        <v>95</v>
      </c>
      <c r="B99" s="770" t="s">
        <v>131</v>
      </c>
      <c r="C99" s="742">
        <v>258201921</v>
      </c>
      <c r="D99" s="742">
        <v>258201921</v>
      </c>
      <c r="E99" s="742">
        <f>258201921-24000000+3175000-8363000-273000</f>
        <v>228740921</v>
      </c>
      <c r="G99" s="811"/>
    </row>
    <row r="100" spans="1:7" s="33" customFormat="1" x14ac:dyDescent="0.35">
      <c r="A100" s="735" t="s">
        <v>96</v>
      </c>
      <c r="B100" s="771" t="s">
        <v>173</v>
      </c>
      <c r="C100" s="742">
        <v>12600000</v>
      </c>
      <c r="D100" s="742">
        <v>12600000</v>
      </c>
      <c r="E100" s="742">
        <f>12600000-3175000</f>
        <v>9425000</v>
      </c>
    </row>
    <row r="101" spans="1:7" s="33" customFormat="1" x14ac:dyDescent="0.35">
      <c r="A101" s="735" t="s">
        <v>107</v>
      </c>
      <c r="B101" s="772" t="s">
        <v>174</v>
      </c>
      <c r="C101" s="742">
        <f>C102+C103+C104+C105+C106+C107+C108+C109+C110+C111+C112+C113</f>
        <v>175177509</v>
      </c>
      <c r="D101" s="742">
        <f>D102+D103+D104+D105+D106+D107+D108+D109+D110+D111+D112+D113</f>
        <v>173671996</v>
      </c>
      <c r="E101" s="742">
        <f>E102+E103+E104+E105+E106+E107+E108+E109+E110+E111+E112+E113</f>
        <v>161982830</v>
      </c>
    </row>
    <row r="102" spans="1:7" s="33" customFormat="1" x14ac:dyDescent="0.35">
      <c r="A102" s="735" t="s">
        <v>97</v>
      </c>
      <c r="B102" s="770" t="s">
        <v>437</v>
      </c>
      <c r="C102" s="742"/>
      <c r="D102" s="742"/>
      <c r="E102" s="742"/>
    </row>
    <row r="103" spans="1:7" s="33" customFormat="1" x14ac:dyDescent="0.35">
      <c r="A103" s="735" t="s">
        <v>98</v>
      </c>
      <c r="B103" s="773" t="s">
        <v>436</v>
      </c>
      <c r="C103" s="742"/>
      <c r="D103" s="742"/>
      <c r="E103" s="742"/>
    </row>
    <row r="104" spans="1:7" s="33" customFormat="1" x14ac:dyDescent="0.35">
      <c r="A104" s="735" t="s">
        <v>108</v>
      </c>
      <c r="B104" s="773" t="s">
        <v>435</v>
      </c>
      <c r="C104" s="742">
        <v>1100000</v>
      </c>
      <c r="D104" s="742">
        <f>1100000+900000</f>
        <v>2000000</v>
      </c>
      <c r="E104" s="742">
        <f>1100000+900000</f>
        <v>2000000</v>
      </c>
    </row>
    <row r="105" spans="1:7" s="33" customFormat="1" x14ac:dyDescent="0.35">
      <c r="A105" s="735" t="s">
        <v>109</v>
      </c>
      <c r="B105" s="774" t="s">
        <v>347</v>
      </c>
      <c r="C105" s="742"/>
      <c r="D105" s="742"/>
      <c r="E105" s="742"/>
    </row>
    <row r="106" spans="1:7" s="33" customFormat="1" ht="31" x14ac:dyDescent="0.35">
      <c r="A106" s="735" t="s">
        <v>110</v>
      </c>
      <c r="B106" s="775" t="s">
        <v>348</v>
      </c>
      <c r="C106" s="742"/>
      <c r="D106" s="742"/>
      <c r="E106" s="742"/>
    </row>
    <row r="107" spans="1:7" s="33" customFormat="1" ht="31" x14ac:dyDescent="0.35">
      <c r="A107" s="735" t="s">
        <v>111</v>
      </c>
      <c r="B107" s="775" t="s">
        <v>349</v>
      </c>
      <c r="C107" s="742"/>
      <c r="D107" s="742"/>
      <c r="E107" s="742"/>
    </row>
    <row r="108" spans="1:7" s="33" customFormat="1" x14ac:dyDescent="0.35">
      <c r="A108" s="735" t="s">
        <v>113</v>
      </c>
      <c r="B108" s="774" t="s">
        <v>350</v>
      </c>
      <c r="C108" s="742">
        <v>132997509</v>
      </c>
      <c r="D108" s="742">
        <f>132997509-2405513</f>
        <v>130591996</v>
      </c>
      <c r="E108" s="742">
        <f>132997509-2405513-5489166-800000-200000-300000</f>
        <v>123802830</v>
      </c>
    </row>
    <row r="109" spans="1:7" s="33" customFormat="1" x14ac:dyDescent="0.35">
      <c r="A109" s="735" t="s">
        <v>175</v>
      </c>
      <c r="B109" s="774" t="s">
        <v>351</v>
      </c>
      <c r="C109" s="742"/>
      <c r="D109" s="742"/>
      <c r="E109" s="742"/>
    </row>
    <row r="110" spans="1:7" s="33" customFormat="1" ht="31" x14ac:dyDescent="0.35">
      <c r="A110" s="735" t="s">
        <v>345</v>
      </c>
      <c r="B110" s="775" t="s">
        <v>352</v>
      </c>
      <c r="C110" s="742"/>
      <c r="D110" s="742"/>
      <c r="E110" s="742"/>
    </row>
    <row r="111" spans="1:7" s="33" customFormat="1" x14ac:dyDescent="0.35">
      <c r="A111" s="776" t="s">
        <v>346</v>
      </c>
      <c r="B111" s="773" t="s">
        <v>353</v>
      </c>
      <c r="C111" s="742"/>
      <c r="D111" s="742"/>
      <c r="E111" s="742"/>
    </row>
    <row r="112" spans="1:7" s="33" customFormat="1" x14ac:dyDescent="0.35">
      <c r="A112" s="735" t="s">
        <v>433</v>
      </c>
      <c r="B112" s="773" t="s">
        <v>354</v>
      </c>
      <c r="C112" s="742"/>
      <c r="D112" s="742"/>
      <c r="E112" s="742"/>
    </row>
    <row r="113" spans="1:5" s="33" customFormat="1" ht="31" x14ac:dyDescent="0.35">
      <c r="A113" s="739" t="s">
        <v>434</v>
      </c>
      <c r="B113" s="773" t="s">
        <v>355</v>
      </c>
      <c r="C113" s="742">
        <v>41080000</v>
      </c>
      <c r="D113" s="742">
        <v>41080000</v>
      </c>
      <c r="E113" s="742">
        <f>41080000-4900000</f>
        <v>36180000</v>
      </c>
    </row>
    <row r="114" spans="1:5" s="33" customFormat="1" x14ac:dyDescent="0.35">
      <c r="A114" s="735" t="s">
        <v>438</v>
      </c>
      <c r="B114" s="771" t="s">
        <v>45</v>
      </c>
      <c r="C114" s="737">
        <f>C115+C117</f>
        <v>251870536</v>
      </c>
      <c r="D114" s="737">
        <f>D115+D117</f>
        <v>267656325</v>
      </c>
      <c r="E114" s="737">
        <f>E115+E117</f>
        <v>272800460</v>
      </c>
    </row>
    <row r="115" spans="1:5" s="33" customFormat="1" x14ac:dyDescent="0.35">
      <c r="A115" s="735" t="s">
        <v>439</v>
      </c>
      <c r="B115" s="770" t="s">
        <v>441</v>
      </c>
      <c r="C115" s="737">
        <v>8834856</v>
      </c>
      <c r="D115" s="737">
        <f>8834856+2405513+558238+2291474+189566+145744+9701500-3379392-496521+277527-626058+2467033-900000</f>
        <v>21469480</v>
      </c>
      <c r="E115" s="737">
        <f>8834856+2405513+558238+2291474+189566+145744+9701500-3379392-496521+277527-626058+2467033-900000-163673+243701+215307+632000+15544420+8544974+5489166-9000000-21207500+75000+379473+284369+140809-241702+1845716-1660660+118795-319194-387750-283762+4791269-3748146-1055268-97409-1524000+1270000+800000+200000+300000+4900000+4572000+254000+3124200-13000000+160000-770900-355600+750000-87500</f>
        <v>22201615</v>
      </c>
    </row>
    <row r="116" spans="1:5" s="33" customFormat="1" ht="31" x14ac:dyDescent="0.35">
      <c r="A116" s="735"/>
      <c r="B116" s="770" t="s">
        <v>633</v>
      </c>
      <c r="C116" s="742"/>
      <c r="D116" s="742"/>
      <c r="E116" s="742"/>
    </row>
    <row r="117" spans="1:5" s="33" customFormat="1" ht="16" thickBot="1" x14ac:dyDescent="0.4">
      <c r="A117" s="735" t="s">
        <v>440</v>
      </c>
      <c r="B117" s="777" t="s">
        <v>442</v>
      </c>
      <c r="C117" s="778">
        <v>243035680</v>
      </c>
      <c r="D117" s="778">
        <f>243035680+3151165</f>
        <v>246186845</v>
      </c>
      <c r="E117" s="778">
        <f>243035680+3151165+4572000-160000</f>
        <v>250598845</v>
      </c>
    </row>
    <row r="118" spans="1:5" s="33" customFormat="1" ht="16" thickBot="1" x14ac:dyDescent="0.4">
      <c r="A118" s="728" t="s">
        <v>15</v>
      </c>
      <c r="B118" s="779" t="s">
        <v>737</v>
      </c>
      <c r="C118" s="780">
        <f>+C119+C121+C123</f>
        <v>380637528</v>
      </c>
      <c r="D118" s="780">
        <f>+D119+D121+D123</f>
        <v>380637528</v>
      </c>
      <c r="E118" s="780">
        <f>+E119+E121+E123</f>
        <v>359812576</v>
      </c>
    </row>
    <row r="119" spans="1:5" s="33" customFormat="1" x14ac:dyDescent="0.35">
      <c r="A119" s="732" t="s">
        <v>99</v>
      </c>
      <c r="B119" s="770" t="s">
        <v>217</v>
      </c>
      <c r="C119" s="734">
        <v>366997728</v>
      </c>
      <c r="D119" s="734">
        <v>366997728</v>
      </c>
      <c r="E119" s="734">
        <f>366997728+70000+18900+298350-298350+1524000-1270000-3124200-4572000-9245600+762000+333248</f>
        <v>351494076</v>
      </c>
    </row>
    <row r="120" spans="1:5" s="33" customFormat="1" x14ac:dyDescent="0.35">
      <c r="A120" s="732" t="s">
        <v>100</v>
      </c>
      <c r="B120" s="781" t="s">
        <v>359</v>
      </c>
      <c r="C120" s="734"/>
      <c r="D120" s="734"/>
      <c r="E120" s="734"/>
    </row>
    <row r="121" spans="1:5" s="33" customFormat="1" x14ac:dyDescent="0.35">
      <c r="A121" s="732" t="s">
        <v>101</v>
      </c>
      <c r="B121" s="781" t="s">
        <v>176</v>
      </c>
      <c r="C121" s="737">
        <v>13639800</v>
      </c>
      <c r="D121" s="737">
        <v>13639800</v>
      </c>
      <c r="E121" s="737">
        <f>13639800-70000-18900-4572000-254000-406400</f>
        <v>8318500</v>
      </c>
    </row>
    <row r="122" spans="1:5" s="33" customFormat="1" x14ac:dyDescent="0.35">
      <c r="A122" s="732" t="s">
        <v>102</v>
      </c>
      <c r="B122" s="781" t="s">
        <v>360</v>
      </c>
      <c r="C122" s="782"/>
      <c r="D122" s="782"/>
      <c r="E122" s="782"/>
    </row>
    <row r="123" spans="1:5" s="33" customFormat="1" x14ac:dyDescent="0.35">
      <c r="A123" s="732" t="s">
        <v>103</v>
      </c>
      <c r="B123" s="740" t="s">
        <v>219</v>
      </c>
      <c r="C123" s="782">
        <f>C124+C125+C126+C127+C128+C129+C130+C131</f>
        <v>0</v>
      </c>
      <c r="D123" s="782">
        <f>D124+D125+D126+D127+D128+D129+D130+D131</f>
        <v>0</v>
      </c>
      <c r="E123" s="782">
        <f>E124+E125+E126+E127+E128+E129+E130+E131</f>
        <v>0</v>
      </c>
    </row>
    <row r="124" spans="1:5" s="33" customFormat="1" ht="31" x14ac:dyDescent="0.35">
      <c r="A124" s="732" t="s">
        <v>112</v>
      </c>
      <c r="B124" s="738" t="s">
        <v>421</v>
      </c>
      <c r="C124" s="782"/>
      <c r="D124" s="782"/>
      <c r="E124" s="782"/>
    </row>
    <row r="125" spans="1:5" s="33" customFormat="1" ht="31" x14ac:dyDescent="0.35">
      <c r="A125" s="732" t="s">
        <v>114</v>
      </c>
      <c r="B125" s="783" t="s">
        <v>365</v>
      </c>
      <c r="C125" s="782"/>
      <c r="D125" s="782"/>
      <c r="E125" s="782"/>
    </row>
    <row r="126" spans="1:5" s="33" customFormat="1" ht="31" x14ac:dyDescent="0.35">
      <c r="A126" s="732" t="s">
        <v>177</v>
      </c>
      <c r="B126" s="775" t="s">
        <v>349</v>
      </c>
      <c r="C126" s="782"/>
      <c r="D126" s="782"/>
      <c r="E126" s="782"/>
    </row>
    <row r="127" spans="1:5" s="33" customFormat="1" x14ac:dyDescent="0.35">
      <c r="A127" s="732" t="s">
        <v>178</v>
      </c>
      <c r="B127" s="775" t="s">
        <v>364</v>
      </c>
      <c r="C127" s="782"/>
      <c r="D127" s="782"/>
      <c r="E127" s="782"/>
    </row>
    <row r="128" spans="1:5" s="33" customFormat="1" x14ac:dyDescent="0.35">
      <c r="A128" s="732" t="s">
        <v>179</v>
      </c>
      <c r="B128" s="775" t="s">
        <v>363</v>
      </c>
      <c r="C128" s="782"/>
      <c r="D128" s="782"/>
      <c r="E128" s="782"/>
    </row>
    <row r="129" spans="1:5" s="33" customFormat="1" ht="31" x14ac:dyDescent="0.35">
      <c r="A129" s="732" t="s">
        <v>356</v>
      </c>
      <c r="B129" s="775" t="s">
        <v>352</v>
      </c>
      <c r="C129" s="782"/>
      <c r="D129" s="782"/>
      <c r="E129" s="782"/>
    </row>
    <row r="130" spans="1:5" s="33" customFormat="1" x14ac:dyDescent="0.35">
      <c r="A130" s="732" t="s">
        <v>357</v>
      </c>
      <c r="B130" s="775" t="s">
        <v>362</v>
      </c>
      <c r="C130" s="782"/>
      <c r="D130" s="782"/>
      <c r="E130" s="782"/>
    </row>
    <row r="131" spans="1:5" s="33" customFormat="1" ht="31.5" thickBot="1" x14ac:dyDescent="0.4">
      <c r="A131" s="776" t="s">
        <v>358</v>
      </c>
      <c r="B131" s="775" t="s">
        <v>361</v>
      </c>
      <c r="C131" s="784"/>
      <c r="D131" s="784"/>
      <c r="E131" s="784"/>
    </row>
    <row r="132" spans="1:5" s="33" customFormat="1" ht="16" thickBot="1" x14ac:dyDescent="0.4">
      <c r="A132" s="728" t="s">
        <v>16</v>
      </c>
      <c r="B132" s="785" t="s">
        <v>443</v>
      </c>
      <c r="C132" s="730">
        <f>+C96+C118</f>
        <v>1184235489</v>
      </c>
      <c r="D132" s="730">
        <f>+D96+D118</f>
        <v>1200998354</v>
      </c>
      <c r="E132" s="730">
        <f>+E96+E118</f>
        <v>1139088340</v>
      </c>
    </row>
    <row r="133" spans="1:5" s="33" customFormat="1" ht="30.5" thickBot="1" x14ac:dyDescent="0.4">
      <c r="A133" s="728" t="s">
        <v>17</v>
      </c>
      <c r="B133" s="785" t="s">
        <v>444</v>
      </c>
      <c r="C133" s="730">
        <f>+C134+C135+C136</f>
        <v>0</v>
      </c>
      <c r="D133" s="730">
        <f>+D134+D135+D136</f>
        <v>0</v>
      </c>
      <c r="E133" s="730">
        <f>+E134+E135+E136</f>
        <v>0</v>
      </c>
    </row>
    <row r="134" spans="1:5" s="33" customFormat="1" ht="31" x14ac:dyDescent="0.35">
      <c r="A134" s="732" t="s">
        <v>257</v>
      </c>
      <c r="B134" s="781" t="s">
        <v>451</v>
      </c>
      <c r="C134" s="782"/>
      <c r="D134" s="782"/>
      <c r="E134" s="782"/>
    </row>
    <row r="135" spans="1:5" s="33" customFormat="1" ht="31" x14ac:dyDescent="0.35">
      <c r="A135" s="732" t="s">
        <v>260</v>
      </c>
      <c r="B135" s="781" t="s">
        <v>452</v>
      </c>
      <c r="C135" s="782"/>
      <c r="D135" s="782"/>
      <c r="E135" s="782"/>
    </row>
    <row r="136" spans="1:5" s="33" customFormat="1" ht="31.5" thickBot="1" x14ac:dyDescent="0.4">
      <c r="A136" s="776" t="s">
        <v>261</v>
      </c>
      <c r="B136" s="781" t="s">
        <v>453</v>
      </c>
      <c r="C136" s="782"/>
      <c r="D136" s="782"/>
      <c r="E136" s="782"/>
    </row>
    <row r="137" spans="1:5" s="33" customFormat="1" ht="16" thickBot="1" x14ac:dyDescent="0.4">
      <c r="A137" s="728" t="s">
        <v>18</v>
      </c>
      <c r="B137" s="785" t="s">
        <v>445</v>
      </c>
      <c r="C137" s="730">
        <f>SUM(C138:C143)</f>
        <v>0</v>
      </c>
      <c r="D137" s="730">
        <f>SUM(D138:D143)</f>
        <v>0</v>
      </c>
      <c r="E137" s="730">
        <f>SUM(E138:E143)</f>
        <v>0</v>
      </c>
    </row>
    <row r="138" spans="1:5" s="33" customFormat="1" x14ac:dyDescent="0.35">
      <c r="A138" s="732" t="s">
        <v>86</v>
      </c>
      <c r="B138" s="786" t="s">
        <v>454</v>
      </c>
      <c r="C138" s="782"/>
      <c r="D138" s="782"/>
      <c r="E138" s="782"/>
    </row>
    <row r="139" spans="1:5" s="33" customFormat="1" x14ac:dyDescent="0.35">
      <c r="A139" s="732" t="s">
        <v>87</v>
      </c>
      <c r="B139" s="786" t="s">
        <v>446</v>
      </c>
      <c r="C139" s="782"/>
      <c r="D139" s="782"/>
      <c r="E139" s="782"/>
    </row>
    <row r="140" spans="1:5" s="33" customFormat="1" x14ac:dyDescent="0.35">
      <c r="A140" s="732" t="s">
        <v>88</v>
      </c>
      <c r="B140" s="786" t="s">
        <v>447</v>
      </c>
      <c r="C140" s="782"/>
      <c r="D140" s="782"/>
      <c r="E140" s="782"/>
    </row>
    <row r="141" spans="1:5" s="33" customFormat="1" x14ac:dyDescent="0.35">
      <c r="A141" s="732" t="s">
        <v>164</v>
      </c>
      <c r="B141" s="786" t="s">
        <v>448</v>
      </c>
      <c r="C141" s="782"/>
      <c r="D141" s="782"/>
      <c r="E141" s="782"/>
    </row>
    <row r="142" spans="1:5" s="33" customFormat="1" x14ac:dyDescent="0.35">
      <c r="A142" s="732" t="s">
        <v>165</v>
      </c>
      <c r="B142" s="786" t="s">
        <v>449</v>
      </c>
      <c r="C142" s="782"/>
      <c r="D142" s="782"/>
      <c r="E142" s="782"/>
    </row>
    <row r="143" spans="1:5" s="33" customFormat="1" ht="16" thickBot="1" x14ac:dyDescent="0.4">
      <c r="A143" s="776" t="s">
        <v>166</v>
      </c>
      <c r="B143" s="786" t="s">
        <v>450</v>
      </c>
      <c r="C143" s="782"/>
      <c r="D143" s="782"/>
      <c r="E143" s="782"/>
    </row>
    <row r="144" spans="1:5" s="33" customFormat="1" ht="16" thickBot="1" x14ac:dyDescent="0.4">
      <c r="A144" s="728" t="s">
        <v>19</v>
      </c>
      <c r="B144" s="785" t="s">
        <v>458</v>
      </c>
      <c r="C144" s="744">
        <f>+C145+C146+C147+C148</f>
        <v>9609391</v>
      </c>
      <c r="D144" s="744">
        <f>+D145+D146+D147+D148</f>
        <v>9609391</v>
      </c>
      <c r="E144" s="744">
        <f>+E145+E146+E147+E148</f>
        <v>9386574</v>
      </c>
    </row>
    <row r="145" spans="1:5" s="33" customFormat="1" x14ac:dyDescent="0.35">
      <c r="A145" s="732" t="s">
        <v>89</v>
      </c>
      <c r="B145" s="786" t="s">
        <v>366</v>
      </c>
      <c r="C145" s="782"/>
      <c r="D145" s="782"/>
      <c r="E145" s="782"/>
    </row>
    <row r="146" spans="1:5" s="33" customFormat="1" x14ac:dyDescent="0.35">
      <c r="A146" s="732" t="s">
        <v>90</v>
      </c>
      <c r="B146" s="786" t="s">
        <v>367</v>
      </c>
      <c r="C146" s="782">
        <v>9609391</v>
      </c>
      <c r="D146" s="782">
        <v>9609391</v>
      </c>
      <c r="E146" s="782">
        <f>9609391-429499+206682</f>
        <v>9386574</v>
      </c>
    </row>
    <row r="147" spans="1:5" s="33" customFormat="1" x14ac:dyDescent="0.35">
      <c r="A147" s="732" t="s">
        <v>281</v>
      </c>
      <c r="B147" s="786" t="s">
        <v>459</v>
      </c>
      <c r="C147" s="782"/>
      <c r="D147" s="782"/>
      <c r="E147" s="782"/>
    </row>
    <row r="148" spans="1:5" s="33" customFormat="1" ht="16" thickBot="1" x14ac:dyDescent="0.4">
      <c r="A148" s="776" t="s">
        <v>282</v>
      </c>
      <c r="B148" s="787" t="s">
        <v>385</v>
      </c>
      <c r="C148" s="782"/>
      <c r="D148" s="782"/>
      <c r="E148" s="782"/>
    </row>
    <row r="149" spans="1:5" s="33" customFormat="1" ht="16" thickBot="1" x14ac:dyDescent="0.4">
      <c r="A149" s="728" t="s">
        <v>20</v>
      </c>
      <c r="B149" s="785" t="s">
        <v>460</v>
      </c>
      <c r="C149" s="788">
        <f>SUM(C150:C154)</f>
        <v>0</v>
      </c>
      <c r="D149" s="788">
        <f>SUM(D150:D154)</f>
        <v>0</v>
      </c>
      <c r="E149" s="788">
        <f>SUM(E150:E154)</f>
        <v>0</v>
      </c>
    </row>
    <row r="150" spans="1:5" s="33" customFormat="1" x14ac:dyDescent="0.35">
      <c r="A150" s="732" t="s">
        <v>91</v>
      </c>
      <c r="B150" s="786" t="s">
        <v>455</v>
      </c>
      <c r="C150" s="782"/>
      <c r="D150" s="782"/>
      <c r="E150" s="782"/>
    </row>
    <row r="151" spans="1:5" s="33" customFormat="1" x14ac:dyDescent="0.35">
      <c r="A151" s="732" t="s">
        <v>92</v>
      </c>
      <c r="B151" s="786" t="s">
        <v>462</v>
      </c>
      <c r="C151" s="782"/>
      <c r="D151" s="782"/>
      <c r="E151" s="782"/>
    </row>
    <row r="152" spans="1:5" s="33" customFormat="1" x14ac:dyDescent="0.35">
      <c r="A152" s="732" t="s">
        <v>293</v>
      </c>
      <c r="B152" s="786" t="s">
        <v>457</v>
      </c>
      <c r="C152" s="782"/>
      <c r="D152" s="782"/>
      <c r="E152" s="782"/>
    </row>
    <row r="153" spans="1:5" s="33" customFormat="1" ht="31" x14ac:dyDescent="0.35">
      <c r="A153" s="732" t="s">
        <v>294</v>
      </c>
      <c r="B153" s="786" t="s">
        <v>463</v>
      </c>
      <c r="C153" s="782"/>
      <c r="D153" s="782"/>
      <c r="E153" s="782"/>
    </row>
    <row r="154" spans="1:5" s="33" customFormat="1" ht="16" thickBot="1" x14ac:dyDescent="0.4">
      <c r="A154" s="732" t="s">
        <v>461</v>
      </c>
      <c r="B154" s="786" t="s">
        <v>464</v>
      </c>
      <c r="C154" s="782"/>
      <c r="D154" s="782"/>
      <c r="E154" s="782"/>
    </row>
    <row r="155" spans="1:5" s="33" customFormat="1" ht="16" thickBot="1" x14ac:dyDescent="0.4">
      <c r="A155" s="728" t="s">
        <v>21</v>
      </c>
      <c r="B155" s="785" t="s">
        <v>465</v>
      </c>
      <c r="C155" s="789"/>
      <c r="D155" s="789"/>
      <c r="E155" s="789"/>
    </row>
    <row r="156" spans="1:5" s="33" customFormat="1" ht="16" thickBot="1" x14ac:dyDescent="0.4">
      <c r="A156" s="728" t="s">
        <v>22</v>
      </c>
      <c r="B156" s="785" t="s">
        <v>540</v>
      </c>
      <c r="C156" s="789">
        <v>192116798</v>
      </c>
      <c r="D156" s="789">
        <f>192116798-558238-2291474+626058</f>
        <v>189893144</v>
      </c>
      <c r="E156" s="789">
        <f>192116798-558238-2291474+626058-15544420-8544974</f>
        <v>165803750</v>
      </c>
    </row>
    <row r="157" spans="1:5" s="33" customFormat="1" ht="16" thickBot="1" x14ac:dyDescent="0.4">
      <c r="A157" s="728" t="s">
        <v>23</v>
      </c>
      <c r="B157" s="785" t="s">
        <v>468</v>
      </c>
      <c r="C157" s="790">
        <f>+C133+C137+C144+C149+C155+C156</f>
        <v>201726189</v>
      </c>
      <c r="D157" s="790">
        <f>+D133+D137+D144+D149+D155+D156</f>
        <v>199502535</v>
      </c>
      <c r="E157" s="790">
        <f>+E133+E137+E144+E149+E155+E156</f>
        <v>175190324</v>
      </c>
    </row>
    <row r="158" spans="1:5" s="731" customFormat="1" ht="16" thickBot="1" x14ac:dyDescent="0.4">
      <c r="A158" s="791" t="s">
        <v>24</v>
      </c>
      <c r="B158" s="792" t="s">
        <v>467</v>
      </c>
      <c r="C158" s="790">
        <f>+C132+C157</f>
        <v>1385961678</v>
      </c>
      <c r="D158" s="790">
        <f>+D132+D157</f>
        <v>1400500889</v>
      </c>
      <c r="E158" s="790">
        <f>+E132+E157</f>
        <v>1314278664</v>
      </c>
    </row>
    <row r="159" spans="1:5" ht="16" thickBot="1" x14ac:dyDescent="0.35">
      <c r="C159" s="795"/>
      <c r="D159" s="795"/>
      <c r="E159" s="795"/>
    </row>
    <row r="160" spans="1:5" s="794" customFormat="1" ht="16" thickBot="1" x14ac:dyDescent="0.35">
      <c r="A160" s="796" t="s">
        <v>509</v>
      </c>
      <c r="B160" s="797"/>
      <c r="C160" s="798">
        <v>23</v>
      </c>
      <c r="D160" s="798">
        <v>23</v>
      </c>
      <c r="E160" s="798">
        <v>23</v>
      </c>
    </row>
    <row r="161" spans="1:5" s="794" customFormat="1" ht="16" thickBot="1" x14ac:dyDescent="0.35">
      <c r="A161" s="796" t="s">
        <v>194</v>
      </c>
      <c r="B161" s="797"/>
      <c r="C161" s="798">
        <v>2</v>
      </c>
      <c r="D161" s="798">
        <v>2</v>
      </c>
      <c r="E161" s="798">
        <v>2</v>
      </c>
    </row>
  </sheetData>
  <sheetProtection formatCells="0"/>
  <mergeCells count="2">
    <mergeCell ref="A92:B92"/>
    <mergeCell ref="A93:B93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5" orientation="portrait" verticalDpi="300" r:id="rId1"/>
  <headerFooter alignWithMargins="0">
    <oddFooter>&amp;P. oldal, összesen: &amp;N</oddFooter>
  </headerFooter>
  <rowBreaks count="4" manualBreakCount="4">
    <brk id="48" max="16383" man="1"/>
    <brk id="65" max="16383" man="1"/>
    <brk id="91" max="16383" man="1"/>
    <brk id="13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4">
    <tabColor rgb="FF7030A0"/>
  </sheetPr>
  <dimension ref="A1:F158"/>
  <sheetViews>
    <sheetView zoomScaleNormal="100" zoomScaleSheetLayoutView="85" workbookViewId="0">
      <selection activeCell="B1" sqref="B1"/>
    </sheetView>
  </sheetViews>
  <sheetFormatPr defaultColWidth="9.296875" defaultRowHeight="15.5" x14ac:dyDescent="0.3"/>
  <cols>
    <col min="1" max="1" width="7.69921875" style="793" customWidth="1"/>
    <col min="2" max="2" width="83.296875" style="794" bestFit="1" customWidth="1"/>
    <col min="3" max="3" width="20.796875" style="799" bestFit="1" customWidth="1"/>
    <col min="4" max="5" width="22.69921875" style="799" bestFit="1" customWidth="1"/>
    <col min="6" max="6" width="9.5" style="721" bestFit="1" customWidth="1"/>
    <col min="7" max="16384" width="9.296875" style="721"/>
  </cols>
  <sheetData>
    <row r="1" spans="1:5" s="102" customFormat="1" ht="16.5" customHeight="1" thickBot="1" x14ac:dyDescent="0.35">
      <c r="A1" s="1"/>
      <c r="B1" s="710" t="s">
        <v>743</v>
      </c>
      <c r="C1" s="710"/>
      <c r="D1" s="710"/>
      <c r="E1" s="710"/>
    </row>
    <row r="2" spans="1:5" s="105" customFormat="1" ht="21" customHeight="1" x14ac:dyDescent="0.3">
      <c r="A2" s="711" t="s">
        <v>56</v>
      </c>
      <c r="B2" s="712" t="s">
        <v>535</v>
      </c>
      <c r="C2" s="713" t="s">
        <v>49</v>
      </c>
      <c r="D2" s="713" t="s">
        <v>49</v>
      </c>
      <c r="E2" s="713" t="s">
        <v>49</v>
      </c>
    </row>
    <row r="3" spans="1:5" s="105" customFormat="1" thickBot="1" x14ac:dyDescent="0.35">
      <c r="A3" s="714" t="s">
        <v>191</v>
      </c>
      <c r="B3" s="715" t="s">
        <v>422</v>
      </c>
      <c r="C3" s="716" t="s">
        <v>54</v>
      </c>
      <c r="D3" s="716" t="s">
        <v>54</v>
      </c>
      <c r="E3" s="716" t="s">
        <v>54</v>
      </c>
    </row>
    <row r="4" spans="1:5" s="105" customFormat="1" ht="16" customHeight="1" thickBot="1" x14ac:dyDescent="0.4">
      <c r="A4" s="717"/>
      <c r="B4" s="717"/>
      <c r="C4" s="718" t="s">
        <v>579</v>
      </c>
      <c r="D4" s="718" t="s">
        <v>579</v>
      </c>
      <c r="E4" s="718" t="s">
        <v>579</v>
      </c>
    </row>
    <row r="5" spans="1:5" ht="16" thickBot="1" x14ac:dyDescent="0.35">
      <c r="A5" s="719" t="s">
        <v>193</v>
      </c>
      <c r="B5" s="720" t="s">
        <v>50</v>
      </c>
      <c r="C5" s="800"/>
      <c r="D5" s="800"/>
      <c r="E5" s="800"/>
    </row>
    <row r="6" spans="1:5" s="33" customFormat="1" ht="38.15" customHeight="1" thickBot="1" x14ac:dyDescent="0.4">
      <c r="A6" s="761" t="s">
        <v>64</v>
      </c>
      <c r="B6" s="762" t="s">
        <v>13</v>
      </c>
      <c r="C6" s="677" t="s">
        <v>640</v>
      </c>
      <c r="D6" s="677" t="s">
        <v>724</v>
      </c>
      <c r="E6" s="827" t="s">
        <v>730</v>
      </c>
    </row>
    <row r="7" spans="1:5" s="731" customFormat="1" ht="12" customHeight="1" thickBot="1" x14ac:dyDescent="0.4">
      <c r="A7" s="801" t="s">
        <v>482</v>
      </c>
      <c r="B7" s="802" t="s">
        <v>483</v>
      </c>
      <c r="C7" s="803" t="s">
        <v>484</v>
      </c>
      <c r="D7" s="803" t="s">
        <v>484</v>
      </c>
      <c r="E7" s="803" t="s">
        <v>484</v>
      </c>
    </row>
    <row r="8" spans="1:5" s="731" customFormat="1" ht="12" customHeight="1" thickBot="1" x14ac:dyDescent="0.4">
      <c r="A8" s="728" t="s">
        <v>14</v>
      </c>
      <c r="B8" s="729" t="s">
        <v>241</v>
      </c>
      <c r="C8" s="730">
        <f>+C9+C10+C11+C12+C13+C14</f>
        <v>229497311</v>
      </c>
      <c r="D8" s="730">
        <f>+D9+D10+D11+D12+D13+D14</f>
        <v>239534121</v>
      </c>
      <c r="E8" s="730">
        <f>+E9+E10+E11+E12+E13+E14</f>
        <v>217756969</v>
      </c>
    </row>
    <row r="9" spans="1:5" s="731" customFormat="1" ht="12" customHeight="1" x14ac:dyDescent="0.35">
      <c r="A9" s="732" t="s">
        <v>93</v>
      </c>
      <c r="B9" s="733" t="s">
        <v>242</v>
      </c>
      <c r="C9" s="734">
        <v>119931664</v>
      </c>
      <c r="D9" s="734">
        <f>119931664+9701500</f>
        <v>129633164</v>
      </c>
      <c r="E9" s="734">
        <f>119931664+9701500+189566+243701-21207500</f>
        <v>108858931</v>
      </c>
    </row>
    <row r="10" spans="1:5" s="731" customFormat="1" ht="12" customHeight="1" x14ac:dyDescent="0.35">
      <c r="A10" s="735" t="s">
        <v>94</v>
      </c>
      <c r="B10" s="736" t="s">
        <v>243</v>
      </c>
      <c r="C10" s="737">
        <v>64851900</v>
      </c>
      <c r="D10" s="737">
        <v>64851900</v>
      </c>
      <c r="E10" s="737">
        <f>64851900-29220</f>
        <v>64822680</v>
      </c>
    </row>
    <row r="11" spans="1:5" s="731" customFormat="1" ht="12" customHeight="1" x14ac:dyDescent="0.35">
      <c r="A11" s="735" t="s">
        <v>95</v>
      </c>
      <c r="B11" s="736" t="s">
        <v>244</v>
      </c>
      <c r="C11" s="737">
        <v>41522446</v>
      </c>
      <c r="D11" s="737">
        <v>41522446</v>
      </c>
      <c r="E11" s="737">
        <f>41522446-1631440</f>
        <v>39891006</v>
      </c>
    </row>
    <row r="12" spans="1:5" s="731" customFormat="1" ht="12" customHeight="1" x14ac:dyDescent="0.35">
      <c r="A12" s="735" t="s">
        <v>96</v>
      </c>
      <c r="B12" s="736" t="s">
        <v>245</v>
      </c>
      <c r="C12" s="737">
        <v>3191301</v>
      </c>
      <c r="D12" s="737">
        <v>3191301</v>
      </c>
      <c r="E12" s="737">
        <f>3191301+632000+145744+215307</f>
        <v>4184352</v>
      </c>
    </row>
    <row r="13" spans="1:5" s="731" customFormat="1" ht="12" customHeight="1" x14ac:dyDescent="0.35">
      <c r="A13" s="735" t="s">
        <v>139</v>
      </c>
      <c r="B13" s="738" t="s">
        <v>425</v>
      </c>
      <c r="C13" s="737"/>
      <c r="D13" s="737">
        <f>189566+145744</f>
        <v>335310</v>
      </c>
      <c r="E13" s="737">
        <f>189566+145744-189566-145744</f>
        <v>0</v>
      </c>
    </row>
    <row r="14" spans="1:5" s="731" customFormat="1" ht="12" customHeight="1" thickBot="1" x14ac:dyDescent="0.4">
      <c r="A14" s="739" t="s">
        <v>97</v>
      </c>
      <c r="B14" s="740" t="s">
        <v>426</v>
      </c>
      <c r="C14" s="737"/>
      <c r="D14" s="737"/>
      <c r="E14" s="737"/>
    </row>
    <row r="15" spans="1:5" s="731" customFormat="1" ht="12" customHeight="1" thickBot="1" x14ac:dyDescent="0.4">
      <c r="A15" s="728" t="s">
        <v>15</v>
      </c>
      <c r="B15" s="741" t="s">
        <v>246</v>
      </c>
      <c r="C15" s="730">
        <f>+C16+C17+C18+C19+C20</f>
        <v>86368865</v>
      </c>
      <c r="D15" s="730">
        <f>+D16+D17+D18+D19+D20</f>
        <v>85253068</v>
      </c>
      <c r="E15" s="730">
        <f>+E16+E17+E18+E19+E20</f>
        <v>85834135</v>
      </c>
    </row>
    <row r="16" spans="1:5" s="731" customFormat="1" ht="12" customHeight="1" x14ac:dyDescent="0.35">
      <c r="A16" s="732" t="s">
        <v>99</v>
      </c>
      <c r="B16" s="733" t="s">
        <v>247</v>
      </c>
      <c r="C16" s="734"/>
      <c r="D16" s="734"/>
      <c r="E16" s="734"/>
    </row>
    <row r="17" spans="1:5" s="731" customFormat="1" ht="12" customHeight="1" x14ac:dyDescent="0.35">
      <c r="A17" s="735" t="s">
        <v>100</v>
      </c>
      <c r="B17" s="736" t="s">
        <v>248</v>
      </c>
      <c r="C17" s="737"/>
      <c r="D17" s="737"/>
      <c r="E17" s="737"/>
    </row>
    <row r="18" spans="1:5" s="731" customFormat="1" ht="12" customHeight="1" x14ac:dyDescent="0.35">
      <c r="A18" s="735" t="s">
        <v>101</v>
      </c>
      <c r="B18" s="736" t="s">
        <v>415</v>
      </c>
      <c r="C18" s="737"/>
      <c r="D18" s="737"/>
      <c r="E18" s="737"/>
    </row>
    <row r="19" spans="1:5" s="731" customFormat="1" ht="12" customHeight="1" x14ac:dyDescent="0.35">
      <c r="A19" s="735" t="s">
        <v>102</v>
      </c>
      <c r="B19" s="736" t="s">
        <v>416</v>
      </c>
      <c r="C19" s="737"/>
      <c r="D19" s="737"/>
      <c r="E19" s="737"/>
    </row>
    <row r="20" spans="1:5" s="731" customFormat="1" ht="12" customHeight="1" x14ac:dyDescent="0.35">
      <c r="A20" s="735" t="s">
        <v>103</v>
      </c>
      <c r="B20" s="736" t="s">
        <v>249</v>
      </c>
      <c r="C20" s="737">
        <v>86368865</v>
      </c>
      <c r="D20" s="737">
        <f>86368865-3379392+1986068+277527</f>
        <v>85253068</v>
      </c>
      <c r="E20" s="737">
        <f>86368865-3379392+1986068+277527+75000+379473+284369+140809-241702+1560482+1551000+1135050-3748146-1055268+500000</f>
        <v>85834135</v>
      </c>
    </row>
    <row r="21" spans="1:5" s="731" customFormat="1" ht="12" customHeight="1" thickBot="1" x14ac:dyDescent="0.4">
      <c r="A21" s="739" t="s">
        <v>112</v>
      </c>
      <c r="B21" s="740" t="s">
        <v>250</v>
      </c>
      <c r="C21" s="742"/>
      <c r="D21" s="742"/>
      <c r="E21" s="742"/>
    </row>
    <row r="22" spans="1:5" s="731" customFormat="1" ht="12" customHeight="1" thickBot="1" x14ac:dyDescent="0.4">
      <c r="A22" s="728" t="s">
        <v>16</v>
      </c>
      <c r="B22" s="729" t="s">
        <v>251</v>
      </c>
      <c r="C22" s="730">
        <f>+C23+C24+C25+C26+C27</f>
        <v>62734377</v>
      </c>
      <c r="D22" s="730">
        <f>+D23+D24+D25+D26+D27</f>
        <v>62734377</v>
      </c>
      <c r="E22" s="730">
        <f>+E23+E24+E25+E26+E27</f>
        <v>62570704</v>
      </c>
    </row>
    <row r="23" spans="1:5" s="731" customFormat="1" ht="12" customHeight="1" x14ac:dyDescent="0.35">
      <c r="A23" s="732" t="s">
        <v>82</v>
      </c>
      <c r="B23" s="733" t="s">
        <v>252</v>
      </c>
      <c r="C23" s="734"/>
      <c r="D23" s="734"/>
      <c r="E23" s="734"/>
    </row>
    <row r="24" spans="1:5" s="731" customFormat="1" ht="12" customHeight="1" x14ac:dyDescent="0.35">
      <c r="A24" s="735" t="s">
        <v>83</v>
      </c>
      <c r="B24" s="736" t="s">
        <v>253</v>
      </c>
      <c r="C24" s="737"/>
      <c r="D24" s="737"/>
      <c r="E24" s="737"/>
    </row>
    <row r="25" spans="1:5" s="731" customFormat="1" ht="12" customHeight="1" x14ac:dyDescent="0.35">
      <c r="A25" s="735" t="s">
        <v>84</v>
      </c>
      <c r="B25" s="736" t="s">
        <v>417</v>
      </c>
      <c r="C25" s="737"/>
      <c r="D25" s="737"/>
      <c r="E25" s="737"/>
    </row>
    <row r="26" spans="1:5" s="731" customFormat="1" ht="12" customHeight="1" x14ac:dyDescent="0.35">
      <c r="A26" s="735" t="s">
        <v>85</v>
      </c>
      <c r="B26" s="736" t="s">
        <v>418</v>
      </c>
      <c r="C26" s="737"/>
      <c r="D26" s="737"/>
      <c r="E26" s="737"/>
    </row>
    <row r="27" spans="1:5" s="731" customFormat="1" ht="12" customHeight="1" x14ac:dyDescent="0.35">
      <c r="A27" s="735" t="s">
        <v>160</v>
      </c>
      <c r="B27" s="736" t="s">
        <v>254</v>
      </c>
      <c r="C27" s="737">
        <v>62734377</v>
      </c>
      <c r="D27" s="737">
        <v>62734377</v>
      </c>
      <c r="E27" s="737">
        <f>62734377-163673</f>
        <v>62570704</v>
      </c>
    </row>
    <row r="28" spans="1:5" s="731" customFormat="1" ht="12" customHeight="1" thickBot="1" x14ac:dyDescent="0.4">
      <c r="A28" s="739" t="s">
        <v>161</v>
      </c>
      <c r="B28" s="743" t="s">
        <v>255</v>
      </c>
      <c r="C28" s="742"/>
      <c r="D28" s="742"/>
      <c r="E28" s="742"/>
    </row>
    <row r="29" spans="1:5" s="731" customFormat="1" ht="12" customHeight="1" thickBot="1" x14ac:dyDescent="0.4">
      <c r="A29" s="728" t="s">
        <v>162</v>
      </c>
      <c r="B29" s="729" t="s">
        <v>256</v>
      </c>
      <c r="C29" s="744">
        <f>+C30+C34+C35+C36</f>
        <v>139182894</v>
      </c>
      <c r="D29" s="744">
        <f>+D30+D34+D35+D36</f>
        <v>139182894</v>
      </c>
      <c r="E29" s="744">
        <f>+E30+E34+E35+E36</f>
        <v>115200000</v>
      </c>
    </row>
    <row r="30" spans="1:5" s="731" customFormat="1" ht="12" customHeight="1" x14ac:dyDescent="0.35">
      <c r="A30" s="732" t="s">
        <v>257</v>
      </c>
      <c r="B30" s="733" t="s">
        <v>432</v>
      </c>
      <c r="C30" s="745">
        <f>+C31+C32+C33</f>
        <v>97982894</v>
      </c>
      <c r="D30" s="745">
        <f>+D31+D32+D33</f>
        <v>97982894</v>
      </c>
      <c r="E30" s="745">
        <f>+E31+E32+E33</f>
        <v>105000000</v>
      </c>
    </row>
    <row r="31" spans="1:5" s="731" customFormat="1" ht="12" customHeight="1" x14ac:dyDescent="0.35">
      <c r="A31" s="735" t="s">
        <v>258</v>
      </c>
      <c r="B31" s="736" t="s">
        <v>590</v>
      </c>
      <c r="C31" s="737">
        <f>75000000-22017106</f>
        <v>52982894</v>
      </c>
      <c r="D31" s="737">
        <f>75000000-22017106</f>
        <v>52982894</v>
      </c>
      <c r="E31" s="737">
        <f>75000000-22017106+1845716+20171390</f>
        <v>75000000</v>
      </c>
    </row>
    <row r="32" spans="1:5" s="731" customFormat="1" ht="12" customHeight="1" x14ac:dyDescent="0.35">
      <c r="A32" s="735" t="s">
        <v>259</v>
      </c>
      <c r="B32" s="736" t="s">
        <v>591</v>
      </c>
      <c r="C32" s="737"/>
      <c r="D32" s="737"/>
      <c r="E32" s="737"/>
    </row>
    <row r="33" spans="1:6" s="731" customFormat="1" ht="12" customHeight="1" x14ac:dyDescent="0.35">
      <c r="A33" s="735" t="s">
        <v>430</v>
      </c>
      <c r="B33" s="746" t="s">
        <v>431</v>
      </c>
      <c r="C33" s="737">
        <v>45000000</v>
      </c>
      <c r="D33" s="737">
        <v>45000000</v>
      </c>
      <c r="E33" s="737">
        <f>45000000-7000000-8000000</f>
        <v>30000000</v>
      </c>
    </row>
    <row r="34" spans="1:6" s="731" customFormat="1" ht="12" customHeight="1" x14ac:dyDescent="0.35">
      <c r="A34" s="735" t="s">
        <v>260</v>
      </c>
      <c r="B34" s="736" t="s">
        <v>265</v>
      </c>
      <c r="C34" s="737">
        <v>9000000</v>
      </c>
      <c r="D34" s="737">
        <v>9000000</v>
      </c>
      <c r="E34" s="737">
        <f>9000000-9000000</f>
        <v>0</v>
      </c>
    </row>
    <row r="35" spans="1:6" s="731" customFormat="1" ht="12" customHeight="1" x14ac:dyDescent="0.35">
      <c r="A35" s="735" t="s">
        <v>261</v>
      </c>
      <c r="B35" s="736" t="s">
        <v>574</v>
      </c>
      <c r="C35" s="737">
        <v>32000000</v>
      </c>
      <c r="D35" s="737">
        <v>32000000</v>
      </c>
      <c r="E35" s="737">
        <f>32000000-17000000-5000000</f>
        <v>10000000</v>
      </c>
    </row>
    <row r="36" spans="1:6" s="731" customFormat="1" ht="12" customHeight="1" thickBot="1" x14ac:dyDescent="0.4">
      <c r="A36" s="739" t="s">
        <v>262</v>
      </c>
      <c r="B36" s="743" t="s">
        <v>267</v>
      </c>
      <c r="C36" s="742">
        <v>200000</v>
      </c>
      <c r="D36" s="742">
        <v>200000</v>
      </c>
      <c r="E36" s="742">
        <v>200000</v>
      </c>
    </row>
    <row r="37" spans="1:6" s="731" customFormat="1" ht="12" customHeight="1" thickBot="1" x14ac:dyDescent="0.4">
      <c r="A37" s="728" t="s">
        <v>18</v>
      </c>
      <c r="B37" s="729" t="s">
        <v>427</v>
      </c>
      <c r="C37" s="730">
        <f>SUM(C38:C48)</f>
        <v>31363426</v>
      </c>
      <c r="D37" s="730">
        <f>SUM(D38:D48)</f>
        <v>31363426</v>
      </c>
      <c r="E37" s="730">
        <f>SUM(E38:E48)</f>
        <v>34677072</v>
      </c>
    </row>
    <row r="38" spans="1:6" s="731" customFormat="1" ht="12" customHeight="1" x14ac:dyDescent="0.35">
      <c r="A38" s="732" t="s">
        <v>86</v>
      </c>
      <c r="B38" s="733" t="s">
        <v>270</v>
      </c>
      <c r="C38" s="734"/>
      <c r="D38" s="734"/>
      <c r="E38" s="734"/>
    </row>
    <row r="39" spans="1:6" s="731" customFormat="1" ht="12" customHeight="1" x14ac:dyDescent="0.35">
      <c r="A39" s="735" t="s">
        <v>87</v>
      </c>
      <c r="B39" s="736" t="s">
        <v>271</v>
      </c>
      <c r="C39" s="737">
        <f>102856540-89660000</f>
        <v>13196540</v>
      </c>
      <c r="D39" s="737">
        <f>102856540-89660000</f>
        <v>13196540</v>
      </c>
      <c r="E39" s="737">
        <f>102856540-89660000+234550-76700+3828610-770900</f>
        <v>16412100</v>
      </c>
    </row>
    <row r="40" spans="1:6" s="731" customFormat="1" ht="12" customHeight="1" x14ac:dyDescent="0.35">
      <c r="A40" s="735" t="s">
        <v>88</v>
      </c>
      <c r="B40" s="736" t="s">
        <v>272</v>
      </c>
      <c r="C40" s="737">
        <v>1600000</v>
      </c>
      <c r="D40" s="737">
        <v>1600000</v>
      </c>
      <c r="E40" s="737">
        <v>1600000</v>
      </c>
    </row>
    <row r="41" spans="1:6" s="731" customFormat="1" ht="12" customHeight="1" x14ac:dyDescent="0.35">
      <c r="A41" s="735" t="s">
        <v>164</v>
      </c>
      <c r="B41" s="736" t="s">
        <v>273</v>
      </c>
      <c r="C41" s="737"/>
      <c r="D41" s="737"/>
      <c r="E41" s="737"/>
    </row>
    <row r="42" spans="1:6" s="731" customFormat="1" ht="12" customHeight="1" x14ac:dyDescent="0.35">
      <c r="A42" s="735" t="s">
        <v>165</v>
      </c>
      <c r="B42" s="736" t="s">
        <v>274</v>
      </c>
      <c r="C42" s="737">
        <v>1500000</v>
      </c>
      <c r="D42" s="737">
        <v>1500000</v>
      </c>
      <c r="E42" s="737">
        <v>1500000</v>
      </c>
      <c r="F42" s="804"/>
    </row>
    <row r="43" spans="1:6" s="731" customFormat="1" ht="12" customHeight="1" x14ac:dyDescent="0.35">
      <c r="A43" s="735" t="s">
        <v>166</v>
      </c>
      <c r="B43" s="736" t="s">
        <v>275</v>
      </c>
      <c r="C43" s="737">
        <f>28608266-24208200</f>
        <v>4400066</v>
      </c>
      <c r="D43" s="737">
        <f>28608266-24208200</f>
        <v>4400066</v>
      </c>
      <c r="E43" s="737">
        <f>28608266-24208200-20709</f>
        <v>4379357</v>
      </c>
    </row>
    <row r="44" spans="1:6" s="731" customFormat="1" ht="12" customHeight="1" x14ac:dyDescent="0.35">
      <c r="A44" s="735" t="s">
        <v>167</v>
      </c>
      <c r="B44" s="736" t="s">
        <v>276</v>
      </c>
      <c r="C44" s="737">
        <v>10655820</v>
      </c>
      <c r="D44" s="737">
        <v>10655820</v>
      </c>
      <c r="E44" s="737">
        <v>10655820</v>
      </c>
    </row>
    <row r="45" spans="1:6" s="731" customFormat="1" ht="12" customHeight="1" x14ac:dyDescent="0.35">
      <c r="A45" s="735" t="s">
        <v>168</v>
      </c>
      <c r="B45" s="736" t="s">
        <v>277</v>
      </c>
      <c r="C45" s="737">
        <v>1000</v>
      </c>
      <c r="D45" s="737">
        <v>1000</v>
      </c>
      <c r="E45" s="737">
        <v>1000</v>
      </c>
    </row>
    <row r="46" spans="1:6" s="731" customFormat="1" ht="12" customHeight="1" x14ac:dyDescent="0.35">
      <c r="A46" s="735" t="s">
        <v>268</v>
      </c>
      <c r="B46" s="736" t="s">
        <v>278</v>
      </c>
      <c r="C46" s="747"/>
      <c r="D46" s="747"/>
      <c r="E46" s="747"/>
    </row>
    <row r="47" spans="1:6" s="731" customFormat="1" ht="12" customHeight="1" x14ac:dyDescent="0.35">
      <c r="A47" s="739" t="s">
        <v>269</v>
      </c>
      <c r="B47" s="743" t="s">
        <v>429</v>
      </c>
      <c r="C47" s="748"/>
      <c r="D47" s="748"/>
      <c r="E47" s="748"/>
    </row>
    <row r="48" spans="1:6" s="731" customFormat="1" ht="12" customHeight="1" thickBot="1" x14ac:dyDescent="0.4">
      <c r="A48" s="739" t="s">
        <v>428</v>
      </c>
      <c r="B48" s="740" t="s">
        <v>279</v>
      </c>
      <c r="C48" s="748">
        <v>10000</v>
      </c>
      <c r="D48" s="748">
        <v>10000</v>
      </c>
      <c r="E48" s="748">
        <f>10000+118795</f>
        <v>128795</v>
      </c>
    </row>
    <row r="49" spans="1:5" s="731" customFormat="1" ht="12" customHeight="1" thickBot="1" x14ac:dyDescent="0.4">
      <c r="A49" s="728" t="s">
        <v>19</v>
      </c>
      <c r="B49" s="729" t="s">
        <v>280</v>
      </c>
      <c r="C49" s="730">
        <f>SUM(C50:C54)</f>
        <v>0</v>
      </c>
      <c r="D49" s="730">
        <f>SUM(D50:D54)</f>
        <v>3151165</v>
      </c>
      <c r="E49" s="730">
        <f>SUM(E50:E54)</f>
        <v>3901165</v>
      </c>
    </row>
    <row r="50" spans="1:5" s="731" customFormat="1" ht="12" customHeight="1" x14ac:dyDescent="0.35">
      <c r="A50" s="732" t="s">
        <v>89</v>
      </c>
      <c r="B50" s="733" t="s">
        <v>284</v>
      </c>
      <c r="C50" s="749"/>
      <c r="D50" s="749"/>
      <c r="E50" s="749"/>
    </row>
    <row r="51" spans="1:5" s="731" customFormat="1" ht="12" customHeight="1" x14ac:dyDescent="0.35">
      <c r="A51" s="735" t="s">
        <v>90</v>
      </c>
      <c r="B51" s="736" t="s">
        <v>285</v>
      </c>
      <c r="C51" s="747"/>
      <c r="D51" s="747">
        <v>3151165</v>
      </c>
      <c r="E51" s="747">
        <v>3151165</v>
      </c>
    </row>
    <row r="52" spans="1:5" s="731" customFormat="1" ht="12" customHeight="1" x14ac:dyDescent="0.35">
      <c r="A52" s="735" t="s">
        <v>281</v>
      </c>
      <c r="B52" s="736" t="s">
        <v>286</v>
      </c>
      <c r="C52" s="747"/>
      <c r="D52" s="747"/>
      <c r="E52" s="747">
        <f>750000</f>
        <v>750000</v>
      </c>
    </row>
    <row r="53" spans="1:5" s="731" customFormat="1" ht="12" customHeight="1" x14ac:dyDescent="0.35">
      <c r="A53" s="735" t="s">
        <v>282</v>
      </c>
      <c r="B53" s="736" t="s">
        <v>287</v>
      </c>
      <c r="C53" s="747"/>
      <c r="D53" s="747"/>
      <c r="E53" s="747"/>
    </row>
    <row r="54" spans="1:5" s="731" customFormat="1" ht="12" customHeight="1" thickBot="1" x14ac:dyDescent="0.4">
      <c r="A54" s="739" t="s">
        <v>283</v>
      </c>
      <c r="B54" s="740" t="s">
        <v>288</v>
      </c>
      <c r="C54" s="748"/>
      <c r="D54" s="748"/>
      <c r="E54" s="748"/>
    </row>
    <row r="55" spans="1:5" s="731" customFormat="1" ht="12" customHeight="1" thickBot="1" x14ac:dyDescent="0.4">
      <c r="A55" s="728" t="s">
        <v>169</v>
      </c>
      <c r="B55" s="729" t="s">
        <v>289</v>
      </c>
      <c r="C55" s="730">
        <f>SUM(C56:C58)</f>
        <v>0</v>
      </c>
      <c r="D55" s="730">
        <f>SUM(D56:D58)</f>
        <v>0</v>
      </c>
      <c r="E55" s="730">
        <f>SUM(E56:E58)</f>
        <v>0</v>
      </c>
    </row>
    <row r="56" spans="1:5" s="731" customFormat="1" ht="12" customHeight="1" x14ac:dyDescent="0.35">
      <c r="A56" s="732" t="s">
        <v>91</v>
      </c>
      <c r="B56" s="733" t="s">
        <v>290</v>
      </c>
      <c r="C56" s="734"/>
      <c r="D56" s="734"/>
      <c r="E56" s="734"/>
    </row>
    <row r="57" spans="1:5" s="731" customFormat="1" ht="12" customHeight="1" x14ac:dyDescent="0.35">
      <c r="A57" s="735" t="s">
        <v>92</v>
      </c>
      <c r="B57" s="736" t="s">
        <v>419</v>
      </c>
      <c r="C57" s="737"/>
      <c r="D57" s="737"/>
      <c r="E57" s="737"/>
    </row>
    <row r="58" spans="1:5" s="731" customFormat="1" ht="12" customHeight="1" x14ac:dyDescent="0.35">
      <c r="A58" s="735" t="s">
        <v>293</v>
      </c>
      <c r="B58" s="736" t="s">
        <v>291</v>
      </c>
      <c r="C58" s="737"/>
      <c r="D58" s="737"/>
      <c r="E58" s="737"/>
    </row>
    <row r="59" spans="1:5" s="731" customFormat="1" ht="12" customHeight="1" thickBot="1" x14ac:dyDescent="0.4">
      <c r="A59" s="739" t="s">
        <v>294</v>
      </c>
      <c r="B59" s="740" t="s">
        <v>292</v>
      </c>
      <c r="C59" s="742"/>
      <c r="D59" s="742"/>
      <c r="E59" s="742"/>
    </row>
    <row r="60" spans="1:5" s="731" customFormat="1" ht="12" customHeight="1" thickBot="1" x14ac:dyDescent="0.4">
      <c r="A60" s="728" t="s">
        <v>21</v>
      </c>
      <c r="B60" s="741" t="s">
        <v>295</v>
      </c>
      <c r="C60" s="730">
        <f>SUM(C61:C63)</f>
        <v>500000</v>
      </c>
      <c r="D60" s="730">
        <f>SUM(D61:D63)</f>
        <v>500000</v>
      </c>
      <c r="E60" s="730">
        <f>SUM(E61:E63)</f>
        <v>833248</v>
      </c>
    </row>
    <row r="61" spans="1:5" s="731" customFormat="1" ht="12" customHeight="1" x14ac:dyDescent="0.35">
      <c r="A61" s="732" t="s">
        <v>170</v>
      </c>
      <c r="B61" s="733" t="s">
        <v>297</v>
      </c>
      <c r="C61" s="747"/>
      <c r="D61" s="747"/>
      <c r="E61" s="747"/>
    </row>
    <row r="62" spans="1:5" s="731" customFormat="1" ht="12" customHeight="1" x14ac:dyDescent="0.35">
      <c r="A62" s="735" t="s">
        <v>171</v>
      </c>
      <c r="B62" s="736" t="s">
        <v>420</v>
      </c>
      <c r="C62" s="747"/>
      <c r="D62" s="747"/>
      <c r="E62" s="747"/>
    </row>
    <row r="63" spans="1:5" s="731" customFormat="1" ht="12" customHeight="1" x14ac:dyDescent="0.35">
      <c r="A63" s="735" t="s">
        <v>218</v>
      </c>
      <c r="B63" s="736" t="s">
        <v>298</v>
      </c>
      <c r="C63" s="747">
        <v>500000</v>
      </c>
      <c r="D63" s="747">
        <v>500000</v>
      </c>
      <c r="E63" s="747">
        <f>500000+333248</f>
        <v>833248</v>
      </c>
    </row>
    <row r="64" spans="1:5" s="731" customFormat="1" ht="12" customHeight="1" thickBot="1" x14ac:dyDescent="0.4">
      <c r="A64" s="739" t="s">
        <v>296</v>
      </c>
      <c r="B64" s="740" t="s">
        <v>299</v>
      </c>
      <c r="C64" s="747"/>
      <c r="D64" s="747"/>
      <c r="E64" s="747"/>
    </row>
    <row r="65" spans="1:5" s="731" customFormat="1" ht="12" customHeight="1" thickBot="1" x14ac:dyDescent="0.4">
      <c r="A65" s="750" t="s">
        <v>471</v>
      </c>
      <c r="B65" s="729" t="s">
        <v>300</v>
      </c>
      <c r="C65" s="744">
        <f>+C8+C15+C22+C29+C37+C49+C55+C60</f>
        <v>549646873</v>
      </c>
      <c r="D65" s="744">
        <f>+D8+D15+D22+D29+D37+D49+D55+D60</f>
        <v>561719051</v>
      </c>
      <c r="E65" s="744">
        <f>+E8+E15+E22+E29+E37+E49+E55+E60</f>
        <v>520773293</v>
      </c>
    </row>
    <row r="66" spans="1:5" s="731" customFormat="1" ht="12" customHeight="1" thickBot="1" x14ac:dyDescent="0.4">
      <c r="A66" s="751" t="s">
        <v>301</v>
      </c>
      <c r="B66" s="741" t="s">
        <v>302</v>
      </c>
      <c r="C66" s="730">
        <f>SUM(C67:C69)</f>
        <v>0</v>
      </c>
      <c r="D66" s="730">
        <f>SUM(D67:D69)</f>
        <v>0</v>
      </c>
      <c r="E66" s="730">
        <f>SUM(E67:E69)</f>
        <v>0</v>
      </c>
    </row>
    <row r="67" spans="1:5" s="731" customFormat="1" ht="12" customHeight="1" x14ac:dyDescent="0.35">
      <c r="A67" s="732" t="s">
        <v>333</v>
      </c>
      <c r="B67" s="733" t="s">
        <v>303</v>
      </c>
      <c r="C67" s="747"/>
      <c r="D67" s="747"/>
      <c r="E67" s="747"/>
    </row>
    <row r="68" spans="1:5" s="731" customFormat="1" ht="12" customHeight="1" x14ac:dyDescent="0.35">
      <c r="A68" s="735" t="s">
        <v>342</v>
      </c>
      <c r="B68" s="736" t="s">
        <v>304</v>
      </c>
      <c r="C68" s="747"/>
      <c r="D68" s="747"/>
      <c r="E68" s="747"/>
    </row>
    <row r="69" spans="1:5" s="731" customFormat="1" ht="12" customHeight="1" thickBot="1" x14ac:dyDescent="0.4">
      <c r="A69" s="739" t="s">
        <v>343</v>
      </c>
      <c r="B69" s="752" t="s">
        <v>456</v>
      </c>
      <c r="C69" s="747"/>
      <c r="D69" s="747"/>
      <c r="E69" s="747"/>
    </row>
    <row r="70" spans="1:5" s="731" customFormat="1" ht="12" customHeight="1" thickBot="1" x14ac:dyDescent="0.4">
      <c r="A70" s="751" t="s">
        <v>306</v>
      </c>
      <c r="B70" s="741" t="s">
        <v>307</v>
      </c>
      <c r="C70" s="730">
        <f>SUM(C71:C74)</f>
        <v>0</v>
      </c>
      <c r="D70" s="730">
        <f>SUM(D71:D74)</f>
        <v>0</v>
      </c>
      <c r="E70" s="730">
        <f>SUM(E71:E74)</f>
        <v>0</v>
      </c>
    </row>
    <row r="71" spans="1:5" s="731" customFormat="1" ht="12" customHeight="1" x14ac:dyDescent="0.35">
      <c r="A71" s="732" t="s">
        <v>140</v>
      </c>
      <c r="B71" s="733" t="s">
        <v>308</v>
      </c>
      <c r="C71" s="747"/>
      <c r="D71" s="747"/>
      <c r="E71" s="747"/>
    </row>
    <row r="72" spans="1:5" s="731" customFormat="1" ht="12" customHeight="1" x14ac:dyDescent="0.35">
      <c r="A72" s="735" t="s">
        <v>141</v>
      </c>
      <c r="B72" s="736" t="s">
        <v>309</v>
      </c>
      <c r="C72" s="747"/>
      <c r="D72" s="747"/>
      <c r="E72" s="747"/>
    </row>
    <row r="73" spans="1:5" s="731" customFormat="1" ht="12" customHeight="1" x14ac:dyDescent="0.35">
      <c r="A73" s="735" t="s">
        <v>334</v>
      </c>
      <c r="B73" s="736" t="s">
        <v>310</v>
      </c>
      <c r="C73" s="747"/>
      <c r="D73" s="747"/>
      <c r="E73" s="747"/>
    </row>
    <row r="74" spans="1:5" s="731" customFormat="1" ht="12" customHeight="1" thickBot="1" x14ac:dyDescent="0.4">
      <c r="A74" s="739" t="s">
        <v>335</v>
      </c>
      <c r="B74" s="740" t="s">
        <v>311</v>
      </c>
      <c r="C74" s="747"/>
      <c r="D74" s="747"/>
      <c r="E74" s="747"/>
    </row>
    <row r="75" spans="1:5" s="731" customFormat="1" ht="12" customHeight="1" thickBot="1" x14ac:dyDescent="0.4">
      <c r="A75" s="751" t="s">
        <v>312</v>
      </c>
      <c r="B75" s="741" t="s">
        <v>313</v>
      </c>
      <c r="C75" s="730">
        <f>SUM(C76:C77)</f>
        <v>700000000</v>
      </c>
      <c r="D75" s="730">
        <f>SUM(D76:D77)</f>
        <v>702467033</v>
      </c>
      <c r="E75" s="730">
        <f>SUM(E76:E77)</f>
        <v>702467033</v>
      </c>
    </row>
    <row r="76" spans="1:5" s="731" customFormat="1" ht="12" customHeight="1" x14ac:dyDescent="0.35">
      <c r="A76" s="732" t="s">
        <v>336</v>
      </c>
      <c r="B76" s="733" t="s">
        <v>314</v>
      </c>
      <c r="C76" s="747">
        <f>700000000</f>
        <v>700000000</v>
      </c>
      <c r="D76" s="747">
        <f>700000000+2467033</f>
        <v>702467033</v>
      </c>
      <c r="E76" s="747">
        <f>700000000+2467033</f>
        <v>702467033</v>
      </c>
    </row>
    <row r="77" spans="1:5" s="731" customFormat="1" ht="12" customHeight="1" thickBot="1" x14ac:dyDescent="0.4">
      <c r="A77" s="739" t="s">
        <v>337</v>
      </c>
      <c r="B77" s="740" t="s">
        <v>315</v>
      </c>
      <c r="C77" s="747"/>
      <c r="D77" s="747"/>
      <c r="E77" s="747"/>
    </row>
    <row r="78" spans="1:5" s="731" customFormat="1" ht="12" customHeight="1" thickBot="1" x14ac:dyDescent="0.4">
      <c r="A78" s="751" t="s">
        <v>316</v>
      </c>
      <c r="B78" s="741" t="s">
        <v>317</v>
      </c>
      <c r="C78" s="730">
        <f>SUM(C79:C81)</f>
        <v>429499</v>
      </c>
      <c r="D78" s="730">
        <f>SUM(D79:D81)</f>
        <v>429499</v>
      </c>
      <c r="E78" s="730">
        <f>SUM(E79:E81)</f>
        <v>206682</v>
      </c>
    </row>
    <row r="79" spans="1:5" s="731" customFormat="1" ht="12" customHeight="1" x14ac:dyDescent="0.35">
      <c r="A79" s="732" t="s">
        <v>338</v>
      </c>
      <c r="B79" s="733" t="s">
        <v>318</v>
      </c>
      <c r="C79" s="747">
        <f>429499</f>
        <v>429499</v>
      </c>
      <c r="D79" s="747">
        <f>429499</f>
        <v>429499</v>
      </c>
      <c r="E79" s="747">
        <f>429499-429499+206682</f>
        <v>206682</v>
      </c>
    </row>
    <row r="80" spans="1:5" s="731" customFormat="1" ht="12" customHeight="1" x14ac:dyDescent="0.35">
      <c r="A80" s="735" t="s">
        <v>339</v>
      </c>
      <c r="B80" s="736" t="s">
        <v>319</v>
      </c>
      <c r="C80" s="747"/>
      <c r="D80" s="747"/>
      <c r="E80" s="747"/>
    </row>
    <row r="81" spans="1:5" s="731" customFormat="1" ht="12" customHeight="1" thickBot="1" x14ac:dyDescent="0.4">
      <c r="A81" s="739" t="s">
        <v>340</v>
      </c>
      <c r="B81" s="740" t="s">
        <v>320</v>
      </c>
      <c r="C81" s="747"/>
      <c r="D81" s="747"/>
      <c r="E81" s="747"/>
    </row>
    <row r="82" spans="1:5" s="731" customFormat="1" ht="12" customHeight="1" thickBot="1" x14ac:dyDescent="0.4">
      <c r="A82" s="751" t="s">
        <v>321</v>
      </c>
      <c r="B82" s="741" t="s">
        <v>341</v>
      </c>
      <c r="C82" s="730">
        <f>SUM(C83:C86)</f>
        <v>0</v>
      </c>
      <c r="D82" s="730">
        <f>SUM(D83:D86)</f>
        <v>0</v>
      </c>
      <c r="E82" s="730">
        <f>SUM(E83:E86)</f>
        <v>0</v>
      </c>
    </row>
    <row r="83" spans="1:5" s="731" customFormat="1" ht="12" customHeight="1" x14ac:dyDescent="0.35">
      <c r="A83" s="753" t="s">
        <v>322</v>
      </c>
      <c r="B83" s="733" t="s">
        <v>323</v>
      </c>
      <c r="C83" s="747"/>
      <c r="D83" s="747"/>
      <c r="E83" s="747"/>
    </row>
    <row r="84" spans="1:5" s="731" customFormat="1" ht="12" customHeight="1" x14ac:dyDescent="0.35">
      <c r="A84" s="754" t="s">
        <v>324</v>
      </c>
      <c r="B84" s="736" t="s">
        <v>325</v>
      </c>
      <c r="C84" s="747"/>
      <c r="D84" s="747"/>
      <c r="E84" s="747"/>
    </row>
    <row r="85" spans="1:5" s="731" customFormat="1" ht="12" customHeight="1" x14ac:dyDescent="0.35">
      <c r="A85" s="754" t="s">
        <v>326</v>
      </c>
      <c r="B85" s="736" t="s">
        <v>327</v>
      </c>
      <c r="C85" s="747"/>
      <c r="D85" s="747"/>
      <c r="E85" s="747"/>
    </row>
    <row r="86" spans="1:5" s="731" customFormat="1" ht="12" customHeight="1" thickBot="1" x14ac:dyDescent="0.4">
      <c r="A86" s="755" t="s">
        <v>328</v>
      </c>
      <c r="B86" s="740" t="s">
        <v>329</v>
      </c>
      <c r="C86" s="747"/>
      <c r="D86" s="747"/>
      <c r="E86" s="747"/>
    </row>
    <row r="87" spans="1:5" s="731" customFormat="1" ht="12" customHeight="1" thickBot="1" x14ac:dyDescent="0.4">
      <c r="A87" s="751" t="s">
        <v>330</v>
      </c>
      <c r="B87" s="741" t="s">
        <v>470</v>
      </c>
      <c r="C87" s="756"/>
      <c r="D87" s="756"/>
      <c r="E87" s="756"/>
    </row>
    <row r="88" spans="1:5" s="731" customFormat="1" ht="13.5" customHeight="1" thickBot="1" x14ac:dyDescent="0.4">
      <c r="A88" s="751" t="s">
        <v>332</v>
      </c>
      <c r="B88" s="741" t="s">
        <v>331</v>
      </c>
      <c r="C88" s="756"/>
      <c r="D88" s="756"/>
      <c r="E88" s="756"/>
    </row>
    <row r="89" spans="1:5" s="731" customFormat="1" ht="15.75" customHeight="1" thickBot="1" x14ac:dyDescent="0.4">
      <c r="A89" s="751" t="s">
        <v>344</v>
      </c>
      <c r="B89" s="757" t="s">
        <v>473</v>
      </c>
      <c r="C89" s="744">
        <f>+C66+C70+C75+C78+C82+C88+C87</f>
        <v>700429499</v>
      </c>
      <c r="D89" s="744">
        <f>+D66+D70+D75+D78+D82+D88+D87</f>
        <v>702896532</v>
      </c>
      <c r="E89" s="744">
        <f>+E66+E70+E75+E78+E82+E88+E87</f>
        <v>702673715</v>
      </c>
    </row>
    <row r="90" spans="1:5" s="731" customFormat="1" ht="16.5" customHeight="1" thickBot="1" x14ac:dyDescent="0.4">
      <c r="A90" s="758" t="s">
        <v>472</v>
      </c>
      <c r="B90" s="759" t="s">
        <v>474</v>
      </c>
      <c r="C90" s="744">
        <f>+C65+C89</f>
        <v>1250076372</v>
      </c>
      <c r="D90" s="744">
        <f>+D65+D89</f>
        <v>1264615583</v>
      </c>
      <c r="E90" s="744">
        <f>+E65+E89</f>
        <v>1223447008</v>
      </c>
    </row>
    <row r="91" spans="1:5" s="731" customFormat="1" ht="83.25" customHeight="1" x14ac:dyDescent="0.35">
      <c r="A91" s="71"/>
      <c r="B91" s="72"/>
      <c r="C91" s="566"/>
      <c r="D91" s="566"/>
      <c r="E91" s="566"/>
    </row>
    <row r="92" spans="1:5" s="33" customFormat="1" ht="16.5" customHeight="1" x14ac:dyDescent="0.35">
      <c r="A92" s="900" t="s">
        <v>42</v>
      </c>
      <c r="B92" s="900"/>
    </row>
    <row r="93" spans="1:5" s="73" customFormat="1" ht="16.5" customHeight="1" thickBot="1" x14ac:dyDescent="0.4">
      <c r="A93" s="901" t="s">
        <v>143</v>
      </c>
      <c r="B93" s="901"/>
      <c r="C93" s="760"/>
      <c r="D93" s="760"/>
      <c r="E93" s="760"/>
    </row>
    <row r="94" spans="1:5" s="33" customFormat="1" ht="38.15" customHeight="1" thickBot="1" x14ac:dyDescent="0.4">
      <c r="A94" s="761" t="s">
        <v>64</v>
      </c>
      <c r="B94" s="762" t="s">
        <v>43</v>
      </c>
      <c r="C94" s="677" t="s">
        <v>640</v>
      </c>
      <c r="D94" s="677" t="s">
        <v>724</v>
      </c>
      <c r="E94" s="827" t="s">
        <v>730</v>
      </c>
    </row>
    <row r="95" spans="1:5" s="731" customFormat="1" ht="12" customHeight="1" thickBot="1" x14ac:dyDescent="0.4">
      <c r="A95" s="761" t="s">
        <v>482</v>
      </c>
      <c r="B95" s="762" t="s">
        <v>483</v>
      </c>
      <c r="C95" s="763" t="s">
        <v>484</v>
      </c>
      <c r="D95" s="763" t="s">
        <v>484</v>
      </c>
      <c r="E95" s="763" t="s">
        <v>484</v>
      </c>
    </row>
    <row r="96" spans="1:5" s="33" customFormat="1" ht="12" customHeight="1" thickBot="1" x14ac:dyDescent="0.4">
      <c r="A96" s="764" t="s">
        <v>14</v>
      </c>
      <c r="B96" s="765" t="s">
        <v>736</v>
      </c>
      <c r="C96" s="766">
        <f>C97+C98+C99+C100+C101+C114</f>
        <v>689277255</v>
      </c>
      <c r="D96" s="766">
        <f>D97+D98+D99+D100+D101+D114</f>
        <v>706040120</v>
      </c>
      <c r="E96" s="766">
        <f>E97+E98+E99+E100+E101+E114</f>
        <v>700763108</v>
      </c>
    </row>
    <row r="97" spans="1:5" s="33" customFormat="1" ht="12" customHeight="1" x14ac:dyDescent="0.35">
      <c r="A97" s="767" t="s">
        <v>93</v>
      </c>
      <c r="B97" s="768" t="s">
        <v>44</v>
      </c>
      <c r="C97" s="769">
        <f>88632818-17094400</f>
        <v>71538418</v>
      </c>
      <c r="D97" s="769">
        <f>88632818-17094400+2282840</f>
        <v>73821258</v>
      </c>
      <c r="E97" s="769">
        <f>88632818-17094400+2282840+1728436+1650000+1207500+193000-3759250+500000</f>
        <v>75340944</v>
      </c>
    </row>
    <row r="98" spans="1:5" s="33" customFormat="1" ht="12" customHeight="1" x14ac:dyDescent="0.35">
      <c r="A98" s="735" t="s">
        <v>94</v>
      </c>
      <c r="B98" s="770" t="s">
        <v>172</v>
      </c>
      <c r="C98" s="737">
        <f>17115177-3142995</f>
        <v>13972182</v>
      </c>
      <c r="D98" s="737">
        <f>17115177-3142995+199749</f>
        <v>14171931</v>
      </c>
      <c r="E98" s="737">
        <f>17115177-3142995+199749+151240+288750+211312-990469+87500</f>
        <v>13920264</v>
      </c>
    </row>
    <row r="99" spans="1:5" s="33" customFormat="1" ht="12" customHeight="1" x14ac:dyDescent="0.35">
      <c r="A99" s="735" t="s">
        <v>95</v>
      </c>
      <c r="B99" s="770" t="s">
        <v>131</v>
      </c>
      <c r="C99" s="742">
        <f>258201921-94083311</f>
        <v>164118610</v>
      </c>
      <c r="D99" s="742">
        <f>258201921-94083311</f>
        <v>164118610</v>
      </c>
      <c r="E99" s="742">
        <f>258201921-94083311+3175000</f>
        <v>167293610</v>
      </c>
    </row>
    <row r="100" spans="1:5" s="33" customFormat="1" ht="12" customHeight="1" x14ac:dyDescent="0.35">
      <c r="A100" s="735" t="s">
        <v>96</v>
      </c>
      <c r="B100" s="771" t="s">
        <v>173</v>
      </c>
      <c r="C100" s="742">
        <v>12600000</v>
      </c>
      <c r="D100" s="742">
        <v>12600000</v>
      </c>
      <c r="E100" s="742">
        <f>12600000-3175000</f>
        <v>9425000</v>
      </c>
    </row>
    <row r="101" spans="1:5" s="33" customFormat="1" ht="12" customHeight="1" x14ac:dyDescent="0.35">
      <c r="A101" s="735" t="s">
        <v>107</v>
      </c>
      <c r="B101" s="772" t="s">
        <v>174</v>
      </c>
      <c r="C101" s="742">
        <f>C102+C103+C104+C105+C106+C107+C108+C109+C110+C111+C112+C113</f>
        <v>175177509</v>
      </c>
      <c r="D101" s="742">
        <f>D102+D103+D104+D105+D106+D107+D108+D109+D110+D111+D112+D113</f>
        <v>173671996</v>
      </c>
      <c r="E101" s="742">
        <f>E102+E103+E104+E105+E106+E107+E108+E109+E110+E111+E112+E113</f>
        <v>161982830</v>
      </c>
    </row>
    <row r="102" spans="1:5" s="33" customFormat="1" ht="12" customHeight="1" x14ac:dyDescent="0.35">
      <c r="A102" s="735" t="s">
        <v>97</v>
      </c>
      <c r="B102" s="770" t="s">
        <v>437</v>
      </c>
      <c r="C102" s="742"/>
      <c r="D102" s="742"/>
      <c r="E102" s="742"/>
    </row>
    <row r="103" spans="1:5" s="33" customFormat="1" ht="12" customHeight="1" x14ac:dyDescent="0.35">
      <c r="A103" s="735" t="s">
        <v>98</v>
      </c>
      <c r="B103" s="773" t="s">
        <v>436</v>
      </c>
      <c r="C103" s="742"/>
      <c r="D103" s="742"/>
      <c r="E103" s="742"/>
    </row>
    <row r="104" spans="1:5" s="33" customFormat="1" ht="12" customHeight="1" x14ac:dyDescent="0.35">
      <c r="A104" s="735" t="s">
        <v>108</v>
      </c>
      <c r="B104" s="773" t="s">
        <v>435</v>
      </c>
      <c r="C104" s="742">
        <v>1100000</v>
      </c>
      <c r="D104" s="742">
        <f>1100000+900000</f>
        <v>2000000</v>
      </c>
      <c r="E104" s="742">
        <f>1100000+900000</f>
        <v>2000000</v>
      </c>
    </row>
    <row r="105" spans="1:5" s="33" customFormat="1" ht="12" customHeight="1" x14ac:dyDescent="0.35">
      <c r="A105" s="735" t="s">
        <v>109</v>
      </c>
      <c r="B105" s="774" t="s">
        <v>347</v>
      </c>
      <c r="C105" s="742"/>
      <c r="D105" s="742"/>
      <c r="E105" s="742"/>
    </row>
    <row r="106" spans="1:5" s="33" customFormat="1" ht="12" customHeight="1" x14ac:dyDescent="0.35">
      <c r="A106" s="735" t="s">
        <v>110</v>
      </c>
      <c r="B106" s="775" t="s">
        <v>348</v>
      </c>
      <c r="C106" s="742"/>
      <c r="D106" s="742"/>
      <c r="E106" s="742"/>
    </row>
    <row r="107" spans="1:5" s="33" customFormat="1" ht="12" customHeight="1" x14ac:dyDescent="0.35">
      <c r="A107" s="735" t="s">
        <v>111</v>
      </c>
      <c r="B107" s="775" t="s">
        <v>349</v>
      </c>
      <c r="C107" s="742"/>
      <c r="D107" s="742"/>
      <c r="E107" s="742"/>
    </row>
    <row r="108" spans="1:5" s="33" customFormat="1" ht="12" customHeight="1" x14ac:dyDescent="0.35">
      <c r="A108" s="735" t="s">
        <v>113</v>
      </c>
      <c r="B108" s="774" t="s">
        <v>350</v>
      </c>
      <c r="C108" s="742">
        <v>132997509</v>
      </c>
      <c r="D108" s="742">
        <f>132997509-2405513</f>
        <v>130591996</v>
      </c>
      <c r="E108" s="742">
        <f>132997509-2405513-5489166-800000-200000-300000</f>
        <v>123802830</v>
      </c>
    </row>
    <row r="109" spans="1:5" s="33" customFormat="1" ht="12" customHeight="1" x14ac:dyDescent="0.35">
      <c r="A109" s="735" t="s">
        <v>175</v>
      </c>
      <c r="B109" s="774" t="s">
        <v>351</v>
      </c>
      <c r="C109" s="742"/>
      <c r="D109" s="742"/>
      <c r="E109" s="742"/>
    </row>
    <row r="110" spans="1:5" s="33" customFormat="1" ht="12" customHeight="1" x14ac:dyDescent="0.35">
      <c r="A110" s="735" t="s">
        <v>345</v>
      </c>
      <c r="B110" s="775" t="s">
        <v>352</v>
      </c>
      <c r="C110" s="742"/>
      <c r="D110" s="742"/>
      <c r="E110" s="742"/>
    </row>
    <row r="111" spans="1:5" s="33" customFormat="1" ht="12" customHeight="1" x14ac:dyDescent="0.35">
      <c r="A111" s="776" t="s">
        <v>346</v>
      </c>
      <c r="B111" s="773" t="s">
        <v>353</v>
      </c>
      <c r="C111" s="742"/>
      <c r="D111" s="742"/>
      <c r="E111" s="742"/>
    </row>
    <row r="112" spans="1:5" s="33" customFormat="1" ht="12" customHeight="1" x14ac:dyDescent="0.35">
      <c r="A112" s="735" t="s">
        <v>433</v>
      </c>
      <c r="B112" s="773" t="s">
        <v>354</v>
      </c>
      <c r="C112" s="742"/>
      <c r="D112" s="742"/>
      <c r="E112" s="742"/>
    </row>
    <row r="113" spans="1:5" s="33" customFormat="1" ht="12" customHeight="1" x14ac:dyDescent="0.35">
      <c r="A113" s="739" t="s">
        <v>434</v>
      </c>
      <c r="B113" s="773" t="s">
        <v>355</v>
      </c>
      <c r="C113" s="742">
        <v>41080000</v>
      </c>
      <c r="D113" s="742">
        <v>41080000</v>
      </c>
      <c r="E113" s="742">
        <f>41080000-4900000</f>
        <v>36180000</v>
      </c>
    </row>
    <row r="114" spans="1:5" s="33" customFormat="1" ht="12" customHeight="1" x14ac:dyDescent="0.35">
      <c r="A114" s="735" t="s">
        <v>438</v>
      </c>
      <c r="B114" s="771" t="s">
        <v>45</v>
      </c>
      <c r="C114" s="737">
        <f>C115+C117</f>
        <v>251870536</v>
      </c>
      <c r="D114" s="737">
        <f>D115+D117</f>
        <v>267656325</v>
      </c>
      <c r="E114" s="737">
        <f>E115+E117</f>
        <v>272800460</v>
      </c>
    </row>
    <row r="115" spans="1:5" s="33" customFormat="1" ht="12" customHeight="1" x14ac:dyDescent="0.35">
      <c r="A115" s="735" t="s">
        <v>439</v>
      </c>
      <c r="B115" s="770" t="s">
        <v>441</v>
      </c>
      <c r="C115" s="737">
        <v>8834856</v>
      </c>
      <c r="D115" s="737">
        <f>8834856+2405513+558238+2291474+189566+145744+9701500-3379392-496521+277527-626058+2467033-900000</f>
        <v>21469480</v>
      </c>
      <c r="E115" s="737">
        <f>8834856+2405513+558238+2291474+189566+145744+9701500-3379392-496521+277527-626058+2467033-900000-163673+243701+215307+632000+15544420+8544974+5489166-9000000-21207500+75000+379473+284369+140809-241702+1845716-1660660+118795-319194-387750-283762+4791269-3748146-1055268-97409-1524000+1270000+800000+200000+300000+4900000+4572000+254000+3124200-13000000+160000-770900-355600+750000-87500</f>
        <v>22201615</v>
      </c>
    </row>
    <row r="116" spans="1:5" s="33" customFormat="1" ht="12" customHeight="1" x14ac:dyDescent="0.35">
      <c r="A116" s="739"/>
      <c r="B116" s="770" t="s">
        <v>633</v>
      </c>
      <c r="C116" s="742"/>
      <c r="D116" s="742"/>
      <c r="E116" s="742"/>
    </row>
    <row r="117" spans="1:5" s="33" customFormat="1" ht="12" customHeight="1" thickBot="1" x14ac:dyDescent="0.4">
      <c r="A117" s="805" t="s">
        <v>440</v>
      </c>
      <c r="B117" s="806" t="s">
        <v>442</v>
      </c>
      <c r="C117" s="778">
        <v>243035680</v>
      </c>
      <c r="D117" s="778">
        <f>243035680+3151165</f>
        <v>246186845</v>
      </c>
      <c r="E117" s="778">
        <f>243035680+3151165+4572000-160000</f>
        <v>250598845</v>
      </c>
    </row>
    <row r="118" spans="1:5" s="33" customFormat="1" ht="12" customHeight="1" thickBot="1" x14ac:dyDescent="0.4">
      <c r="A118" s="807" t="s">
        <v>15</v>
      </c>
      <c r="B118" s="808" t="s">
        <v>737</v>
      </c>
      <c r="C118" s="780">
        <f>+C119+C121+C123</f>
        <v>359072928</v>
      </c>
      <c r="D118" s="780">
        <f>+D119+D121+D123</f>
        <v>359072928</v>
      </c>
      <c r="E118" s="780">
        <f>+E119+E121+E123</f>
        <v>347493576</v>
      </c>
    </row>
    <row r="119" spans="1:5" s="33" customFormat="1" ht="12" customHeight="1" x14ac:dyDescent="0.35">
      <c r="A119" s="732" t="s">
        <v>99</v>
      </c>
      <c r="B119" s="770" t="s">
        <v>217</v>
      </c>
      <c r="C119" s="734">
        <f>366997728-21564600</f>
        <v>345433128</v>
      </c>
      <c r="D119" s="734">
        <f>366997728-21564600</f>
        <v>345433128</v>
      </c>
      <c r="E119" s="734">
        <f>366997728-21564600+70000+18900+298350-298350+1524000-1270000-3124200-4572000+762000+333248</f>
        <v>339175076</v>
      </c>
    </row>
    <row r="120" spans="1:5" s="33" customFormat="1" ht="12" customHeight="1" x14ac:dyDescent="0.35">
      <c r="A120" s="732" t="s">
        <v>100</v>
      </c>
      <c r="B120" s="781" t="s">
        <v>359</v>
      </c>
      <c r="C120" s="734"/>
      <c r="D120" s="734"/>
      <c r="E120" s="734"/>
    </row>
    <row r="121" spans="1:5" s="33" customFormat="1" ht="12" customHeight="1" x14ac:dyDescent="0.35">
      <c r="A121" s="732" t="s">
        <v>101</v>
      </c>
      <c r="B121" s="781" t="s">
        <v>176</v>
      </c>
      <c r="C121" s="737">
        <v>13639800</v>
      </c>
      <c r="D121" s="737">
        <v>13639800</v>
      </c>
      <c r="E121" s="737">
        <f>13639800-70000-18900-4572000-254000-406400</f>
        <v>8318500</v>
      </c>
    </row>
    <row r="122" spans="1:5" s="33" customFormat="1" ht="12" customHeight="1" x14ac:dyDescent="0.35">
      <c r="A122" s="732" t="s">
        <v>102</v>
      </c>
      <c r="B122" s="781" t="s">
        <v>360</v>
      </c>
      <c r="C122" s="782"/>
      <c r="D122" s="782"/>
      <c r="E122" s="782"/>
    </row>
    <row r="123" spans="1:5" s="33" customFormat="1" ht="12" customHeight="1" x14ac:dyDescent="0.35">
      <c r="A123" s="732" t="s">
        <v>103</v>
      </c>
      <c r="B123" s="740" t="s">
        <v>219</v>
      </c>
      <c r="C123" s="782">
        <f>C124+C125+C126+C127+C128+C129+C130+C131</f>
        <v>0</v>
      </c>
      <c r="D123" s="782">
        <f>D124+D125+D126+D127+D128+D129+D130+D131</f>
        <v>0</v>
      </c>
      <c r="E123" s="782">
        <f>E124+E125+E126+E127+E128+E129+E130+E131</f>
        <v>0</v>
      </c>
    </row>
    <row r="124" spans="1:5" s="33" customFormat="1" ht="12" customHeight="1" x14ac:dyDescent="0.35">
      <c r="A124" s="732" t="s">
        <v>112</v>
      </c>
      <c r="B124" s="738" t="s">
        <v>421</v>
      </c>
      <c r="C124" s="782"/>
      <c r="D124" s="782"/>
      <c r="E124" s="782"/>
    </row>
    <row r="125" spans="1:5" s="33" customFormat="1" ht="12" customHeight="1" x14ac:dyDescent="0.35">
      <c r="A125" s="732" t="s">
        <v>114</v>
      </c>
      <c r="B125" s="783" t="s">
        <v>365</v>
      </c>
      <c r="C125" s="782"/>
      <c r="D125" s="782"/>
      <c r="E125" s="782"/>
    </row>
    <row r="126" spans="1:5" s="33" customFormat="1" x14ac:dyDescent="0.35">
      <c r="A126" s="732" t="s">
        <v>177</v>
      </c>
      <c r="B126" s="775" t="s">
        <v>349</v>
      </c>
      <c r="C126" s="782"/>
      <c r="D126" s="782"/>
      <c r="E126" s="782"/>
    </row>
    <row r="127" spans="1:5" s="33" customFormat="1" ht="12" customHeight="1" x14ac:dyDescent="0.35">
      <c r="A127" s="732" t="s">
        <v>178</v>
      </c>
      <c r="B127" s="775" t="s">
        <v>364</v>
      </c>
      <c r="C127" s="782"/>
      <c r="D127" s="782"/>
      <c r="E127" s="782"/>
    </row>
    <row r="128" spans="1:5" s="33" customFormat="1" ht="12" customHeight="1" x14ac:dyDescent="0.35">
      <c r="A128" s="732" t="s">
        <v>179</v>
      </c>
      <c r="B128" s="775" t="s">
        <v>363</v>
      </c>
      <c r="C128" s="782"/>
      <c r="D128" s="782"/>
      <c r="E128" s="782"/>
    </row>
    <row r="129" spans="1:5" s="33" customFormat="1" ht="12" customHeight="1" x14ac:dyDescent="0.35">
      <c r="A129" s="732" t="s">
        <v>356</v>
      </c>
      <c r="B129" s="775" t="s">
        <v>352</v>
      </c>
      <c r="C129" s="782"/>
      <c r="D129" s="782"/>
      <c r="E129" s="782"/>
    </row>
    <row r="130" spans="1:5" s="33" customFormat="1" ht="12" customHeight="1" x14ac:dyDescent="0.35">
      <c r="A130" s="732" t="s">
        <v>357</v>
      </c>
      <c r="B130" s="775" t="s">
        <v>362</v>
      </c>
      <c r="C130" s="782"/>
      <c r="D130" s="782"/>
      <c r="E130" s="782"/>
    </row>
    <row r="131" spans="1:5" s="33" customFormat="1" ht="16" thickBot="1" x14ac:dyDescent="0.4">
      <c r="A131" s="776" t="s">
        <v>358</v>
      </c>
      <c r="B131" s="775" t="s">
        <v>361</v>
      </c>
      <c r="C131" s="784"/>
      <c r="D131" s="784"/>
      <c r="E131" s="784"/>
    </row>
    <row r="132" spans="1:5" s="33" customFormat="1" ht="12" customHeight="1" thickBot="1" x14ac:dyDescent="0.4">
      <c r="A132" s="728" t="s">
        <v>16</v>
      </c>
      <c r="B132" s="785" t="s">
        <v>443</v>
      </c>
      <c r="C132" s="730">
        <f>+C96+C118</f>
        <v>1048350183</v>
      </c>
      <c r="D132" s="730">
        <f>+D96+D118</f>
        <v>1065113048</v>
      </c>
      <c r="E132" s="730">
        <f>+E96+E118</f>
        <v>1048256684</v>
      </c>
    </row>
    <row r="133" spans="1:5" s="33" customFormat="1" ht="12" customHeight="1" thickBot="1" x14ac:dyDescent="0.4">
      <c r="A133" s="728" t="s">
        <v>17</v>
      </c>
      <c r="B133" s="785" t="s">
        <v>444</v>
      </c>
      <c r="C133" s="730">
        <f>+C134+C135+C136</f>
        <v>0</v>
      </c>
      <c r="D133" s="730">
        <f>+D134+D135+D136</f>
        <v>0</v>
      </c>
      <c r="E133" s="730">
        <f>+E134+E135+E136</f>
        <v>0</v>
      </c>
    </row>
    <row r="134" spans="1:5" s="33" customFormat="1" ht="12" customHeight="1" x14ac:dyDescent="0.35">
      <c r="A134" s="732" t="s">
        <v>257</v>
      </c>
      <c r="B134" s="781" t="s">
        <v>451</v>
      </c>
      <c r="C134" s="782"/>
      <c r="D134" s="782"/>
      <c r="E134" s="782"/>
    </row>
    <row r="135" spans="1:5" s="33" customFormat="1" ht="12" customHeight="1" x14ac:dyDescent="0.35">
      <c r="A135" s="732" t="s">
        <v>260</v>
      </c>
      <c r="B135" s="781" t="s">
        <v>452</v>
      </c>
      <c r="C135" s="782"/>
      <c r="D135" s="782"/>
      <c r="E135" s="782"/>
    </row>
    <row r="136" spans="1:5" s="33" customFormat="1" ht="12" customHeight="1" thickBot="1" x14ac:dyDescent="0.4">
      <c r="A136" s="776" t="s">
        <v>261</v>
      </c>
      <c r="B136" s="781" t="s">
        <v>453</v>
      </c>
      <c r="C136" s="782"/>
      <c r="D136" s="782"/>
      <c r="E136" s="782"/>
    </row>
    <row r="137" spans="1:5" s="33" customFormat="1" ht="12" customHeight="1" thickBot="1" x14ac:dyDescent="0.4">
      <c r="A137" s="728" t="s">
        <v>18</v>
      </c>
      <c r="B137" s="785" t="s">
        <v>445</v>
      </c>
      <c r="C137" s="730">
        <f>SUM(C138:C143)</f>
        <v>0</v>
      </c>
      <c r="D137" s="730">
        <f>SUM(D138:D143)</f>
        <v>0</v>
      </c>
      <c r="E137" s="730">
        <f>SUM(E138:E143)</f>
        <v>0</v>
      </c>
    </row>
    <row r="138" spans="1:5" s="33" customFormat="1" ht="12" customHeight="1" x14ac:dyDescent="0.35">
      <c r="A138" s="732" t="s">
        <v>86</v>
      </c>
      <c r="B138" s="786" t="s">
        <v>454</v>
      </c>
      <c r="C138" s="782"/>
      <c r="D138" s="782"/>
      <c r="E138" s="782"/>
    </row>
    <row r="139" spans="1:5" s="33" customFormat="1" ht="12" customHeight="1" x14ac:dyDescent="0.35">
      <c r="A139" s="732" t="s">
        <v>87</v>
      </c>
      <c r="B139" s="786" t="s">
        <v>446</v>
      </c>
      <c r="C139" s="782"/>
      <c r="D139" s="782"/>
      <c r="E139" s="782"/>
    </row>
    <row r="140" spans="1:5" s="33" customFormat="1" ht="12" customHeight="1" x14ac:dyDescent="0.35">
      <c r="A140" s="732" t="s">
        <v>88</v>
      </c>
      <c r="B140" s="786" t="s">
        <v>447</v>
      </c>
      <c r="C140" s="782"/>
      <c r="D140" s="782"/>
      <c r="E140" s="782"/>
    </row>
    <row r="141" spans="1:5" s="33" customFormat="1" ht="12" customHeight="1" x14ac:dyDescent="0.35">
      <c r="A141" s="732" t="s">
        <v>164</v>
      </c>
      <c r="B141" s="786" t="s">
        <v>448</v>
      </c>
      <c r="C141" s="782"/>
      <c r="D141" s="782"/>
      <c r="E141" s="782"/>
    </row>
    <row r="142" spans="1:5" s="33" customFormat="1" ht="12" customHeight="1" x14ac:dyDescent="0.35">
      <c r="A142" s="732" t="s">
        <v>165</v>
      </c>
      <c r="B142" s="786" t="s">
        <v>449</v>
      </c>
      <c r="C142" s="782"/>
      <c r="D142" s="782"/>
      <c r="E142" s="782"/>
    </row>
    <row r="143" spans="1:5" s="33" customFormat="1" ht="12" customHeight="1" thickBot="1" x14ac:dyDescent="0.4">
      <c r="A143" s="776" t="s">
        <v>166</v>
      </c>
      <c r="B143" s="786" t="s">
        <v>450</v>
      </c>
      <c r="C143" s="782"/>
      <c r="D143" s="782"/>
      <c r="E143" s="782"/>
    </row>
    <row r="144" spans="1:5" s="33" customFormat="1" ht="12" customHeight="1" thickBot="1" x14ac:dyDescent="0.4">
      <c r="A144" s="728" t="s">
        <v>19</v>
      </c>
      <c r="B144" s="785" t="s">
        <v>458</v>
      </c>
      <c r="C144" s="744">
        <f>+C145+C146+C147+C148</f>
        <v>9609391</v>
      </c>
      <c r="D144" s="744">
        <f>+D145+D146+D147+D148</f>
        <v>9609391</v>
      </c>
      <c r="E144" s="744">
        <f>+E145+E146+E147+E148</f>
        <v>9386574</v>
      </c>
    </row>
    <row r="145" spans="1:5" s="33" customFormat="1" ht="12" customHeight="1" x14ac:dyDescent="0.35">
      <c r="A145" s="732" t="s">
        <v>89</v>
      </c>
      <c r="B145" s="786" t="s">
        <v>366</v>
      </c>
      <c r="C145" s="782"/>
      <c r="D145" s="782"/>
      <c r="E145" s="782"/>
    </row>
    <row r="146" spans="1:5" s="33" customFormat="1" ht="12" customHeight="1" x14ac:dyDescent="0.35">
      <c r="A146" s="732" t="s">
        <v>90</v>
      </c>
      <c r="B146" s="786" t="s">
        <v>367</v>
      </c>
      <c r="C146" s="782">
        <v>9609391</v>
      </c>
      <c r="D146" s="782">
        <v>9609391</v>
      </c>
      <c r="E146" s="782">
        <f>9609391-429499+206682</f>
        <v>9386574</v>
      </c>
    </row>
    <row r="147" spans="1:5" s="33" customFormat="1" ht="12" customHeight="1" x14ac:dyDescent="0.35">
      <c r="A147" s="732" t="s">
        <v>281</v>
      </c>
      <c r="B147" s="786" t="s">
        <v>459</v>
      </c>
      <c r="C147" s="782"/>
      <c r="D147" s="782"/>
      <c r="E147" s="782"/>
    </row>
    <row r="148" spans="1:5" s="33" customFormat="1" ht="12" customHeight="1" thickBot="1" x14ac:dyDescent="0.4">
      <c r="A148" s="776" t="s">
        <v>282</v>
      </c>
      <c r="B148" s="787" t="s">
        <v>385</v>
      </c>
      <c r="C148" s="782"/>
      <c r="D148" s="782"/>
      <c r="E148" s="782"/>
    </row>
    <row r="149" spans="1:5" s="33" customFormat="1" ht="12" customHeight="1" thickBot="1" x14ac:dyDescent="0.4">
      <c r="A149" s="728" t="s">
        <v>20</v>
      </c>
      <c r="B149" s="785" t="s">
        <v>460</v>
      </c>
      <c r="C149" s="788">
        <f>SUM(C150:C154)</f>
        <v>0</v>
      </c>
      <c r="D149" s="788">
        <f>SUM(D150:D154)</f>
        <v>0</v>
      </c>
      <c r="E149" s="788">
        <f>SUM(E150:E154)</f>
        <v>0</v>
      </c>
    </row>
    <row r="150" spans="1:5" s="33" customFormat="1" ht="12" customHeight="1" x14ac:dyDescent="0.35">
      <c r="A150" s="732" t="s">
        <v>91</v>
      </c>
      <c r="B150" s="786" t="s">
        <v>455</v>
      </c>
      <c r="C150" s="782"/>
      <c r="D150" s="782"/>
      <c r="E150" s="782"/>
    </row>
    <row r="151" spans="1:5" s="33" customFormat="1" ht="12" customHeight="1" x14ac:dyDescent="0.35">
      <c r="A151" s="732" t="s">
        <v>92</v>
      </c>
      <c r="B151" s="786" t="s">
        <v>462</v>
      </c>
      <c r="C151" s="782"/>
      <c r="D151" s="782"/>
      <c r="E151" s="782"/>
    </row>
    <row r="152" spans="1:5" s="33" customFormat="1" ht="12" customHeight="1" x14ac:dyDescent="0.35">
      <c r="A152" s="732" t="s">
        <v>293</v>
      </c>
      <c r="B152" s="786" t="s">
        <v>457</v>
      </c>
      <c r="C152" s="782"/>
      <c r="D152" s="782"/>
      <c r="E152" s="782"/>
    </row>
    <row r="153" spans="1:5" s="33" customFormat="1" ht="12" customHeight="1" x14ac:dyDescent="0.35">
      <c r="A153" s="732" t="s">
        <v>294</v>
      </c>
      <c r="B153" s="786" t="s">
        <v>463</v>
      </c>
      <c r="C153" s="782"/>
      <c r="D153" s="782"/>
      <c r="E153" s="782"/>
    </row>
    <row r="154" spans="1:5" s="33" customFormat="1" ht="12" customHeight="1" thickBot="1" x14ac:dyDescent="0.4">
      <c r="A154" s="732" t="s">
        <v>461</v>
      </c>
      <c r="B154" s="786" t="s">
        <v>464</v>
      </c>
      <c r="C154" s="782"/>
      <c r="D154" s="782"/>
      <c r="E154" s="782"/>
    </row>
    <row r="155" spans="1:5" s="33" customFormat="1" ht="12" customHeight="1" thickBot="1" x14ac:dyDescent="0.4">
      <c r="A155" s="728" t="s">
        <v>21</v>
      </c>
      <c r="B155" s="785" t="s">
        <v>465</v>
      </c>
      <c r="C155" s="789"/>
      <c r="D155" s="789"/>
      <c r="E155" s="789"/>
    </row>
    <row r="156" spans="1:5" s="33" customFormat="1" ht="12" customHeight="1" thickBot="1" x14ac:dyDescent="0.4">
      <c r="A156" s="728" t="s">
        <v>22</v>
      </c>
      <c r="B156" s="785" t="s">
        <v>540</v>
      </c>
      <c r="C156" s="789">
        <v>192116798</v>
      </c>
      <c r="D156" s="789">
        <f>192116798-558238-2291474+626058</f>
        <v>189893144</v>
      </c>
      <c r="E156" s="789">
        <f>192116798-558238-2291474+626058-15544420-8544974</f>
        <v>165803750</v>
      </c>
    </row>
    <row r="157" spans="1:5" s="33" customFormat="1" ht="15" customHeight="1" thickBot="1" x14ac:dyDescent="0.4">
      <c r="A157" s="728" t="s">
        <v>23</v>
      </c>
      <c r="B157" s="785" t="s">
        <v>468</v>
      </c>
      <c r="C157" s="790">
        <f>+C133+C137+C144+C149+C155+C156</f>
        <v>201726189</v>
      </c>
      <c r="D157" s="790">
        <f>+D133+D137+D144+D149+D155+D156</f>
        <v>199502535</v>
      </c>
      <c r="E157" s="790">
        <f>+E133+E137+E144+E149+E155+E156</f>
        <v>175190324</v>
      </c>
    </row>
    <row r="158" spans="1:5" s="731" customFormat="1" ht="13" customHeight="1" thickBot="1" x14ac:dyDescent="0.4">
      <c r="A158" s="791" t="s">
        <v>24</v>
      </c>
      <c r="B158" s="792" t="s">
        <v>467</v>
      </c>
      <c r="C158" s="790">
        <f>+C132+C157</f>
        <v>1250076372</v>
      </c>
      <c r="D158" s="790">
        <f>+D132+D157</f>
        <v>1264615583</v>
      </c>
      <c r="E158" s="790">
        <f>+E132+E157</f>
        <v>1223447008</v>
      </c>
    </row>
  </sheetData>
  <sheetProtection formatCells="0"/>
  <mergeCells count="2">
    <mergeCell ref="A92:B92"/>
    <mergeCell ref="A93:B93"/>
  </mergeCells>
  <phoneticPr fontId="5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1" orientation="portrait" verticalDpi="300" r:id="rId1"/>
  <headerFooter alignWithMargins="0">
    <oddFooter>&amp;P. oldal, összesen: &amp;N</oddFooter>
  </headerFooter>
  <rowBreaks count="4" manualBreakCount="4">
    <brk id="37" max="16383" man="1"/>
    <brk id="65" max="16383" man="1"/>
    <brk id="90" max="16383" man="1"/>
    <brk id="13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5">
    <tabColor rgb="FF7030A0"/>
  </sheetPr>
  <dimension ref="A1:G160"/>
  <sheetViews>
    <sheetView zoomScale="98" zoomScaleNormal="98" zoomScaleSheetLayoutView="85" workbookViewId="0">
      <selection activeCell="B1" sqref="B1"/>
    </sheetView>
  </sheetViews>
  <sheetFormatPr defaultColWidth="9.296875" defaultRowHeight="15.5" x14ac:dyDescent="0.3"/>
  <cols>
    <col min="1" max="1" width="10.796875" style="793" customWidth="1"/>
    <col min="2" max="2" width="76.296875" style="794" bestFit="1" customWidth="1"/>
    <col min="3" max="5" width="14.796875" style="799" bestFit="1" customWidth="1"/>
    <col min="6" max="16384" width="9.296875" style="721"/>
  </cols>
  <sheetData>
    <row r="1" spans="1:5" s="102" customFormat="1" ht="16" thickBot="1" x14ac:dyDescent="0.35">
      <c r="A1" s="1"/>
      <c r="B1" s="710" t="s">
        <v>744</v>
      </c>
      <c r="C1" s="710"/>
      <c r="D1" s="710"/>
      <c r="E1" s="710"/>
    </row>
    <row r="2" spans="1:5" s="105" customFormat="1" ht="30" x14ac:dyDescent="0.3">
      <c r="A2" s="711" t="s">
        <v>56</v>
      </c>
      <c r="B2" s="712" t="s">
        <v>534</v>
      </c>
      <c r="C2" s="713" t="s">
        <v>49</v>
      </c>
      <c r="D2" s="713" t="s">
        <v>49</v>
      </c>
      <c r="E2" s="713" t="s">
        <v>49</v>
      </c>
    </row>
    <row r="3" spans="1:5" s="105" customFormat="1" thickBot="1" x14ac:dyDescent="0.35">
      <c r="A3" s="714" t="s">
        <v>191</v>
      </c>
      <c r="B3" s="715" t="s">
        <v>423</v>
      </c>
      <c r="C3" s="716" t="s">
        <v>55</v>
      </c>
      <c r="D3" s="716" t="s">
        <v>55</v>
      </c>
      <c r="E3" s="716" t="s">
        <v>55</v>
      </c>
    </row>
    <row r="4" spans="1:5" s="105" customFormat="1" ht="16" thickBot="1" x14ac:dyDescent="0.4">
      <c r="A4" s="717"/>
      <c r="B4" s="717"/>
      <c r="C4" s="718" t="s">
        <v>579</v>
      </c>
      <c r="D4" s="718" t="s">
        <v>579</v>
      </c>
      <c r="E4" s="718" t="s">
        <v>579</v>
      </c>
    </row>
    <row r="5" spans="1:5" ht="16" thickBot="1" x14ac:dyDescent="0.35">
      <c r="A5" s="719" t="s">
        <v>193</v>
      </c>
      <c r="B5" s="720" t="s">
        <v>50</v>
      </c>
      <c r="C5" s="800"/>
      <c r="D5" s="800"/>
      <c r="E5" s="800"/>
    </row>
    <row r="6" spans="1:5" s="33" customFormat="1" ht="45.5" thickBot="1" x14ac:dyDescent="0.4">
      <c r="A6" s="761" t="s">
        <v>64</v>
      </c>
      <c r="B6" s="762" t="s">
        <v>13</v>
      </c>
      <c r="C6" s="677" t="s">
        <v>640</v>
      </c>
      <c r="D6" s="677" t="s">
        <v>724</v>
      </c>
      <c r="E6" s="827" t="s">
        <v>730</v>
      </c>
    </row>
    <row r="7" spans="1:5" s="731" customFormat="1" ht="16" thickBot="1" x14ac:dyDescent="0.4">
      <c r="A7" s="801" t="s">
        <v>482</v>
      </c>
      <c r="B7" s="802" t="s">
        <v>483</v>
      </c>
      <c r="C7" s="803" t="s">
        <v>484</v>
      </c>
      <c r="D7" s="803" t="s">
        <v>484</v>
      </c>
      <c r="E7" s="803" t="s">
        <v>484</v>
      </c>
    </row>
    <row r="8" spans="1:5" s="731" customFormat="1" ht="16" thickBot="1" x14ac:dyDescent="0.4">
      <c r="A8" s="728" t="s">
        <v>14</v>
      </c>
      <c r="B8" s="729" t="s">
        <v>241</v>
      </c>
      <c r="C8" s="730">
        <f>+C9+C10+C11+C12+C13+C14</f>
        <v>0</v>
      </c>
      <c r="D8" s="730">
        <f>+D9+D10+D11+D12+D13+D14</f>
        <v>0</v>
      </c>
      <c r="E8" s="730">
        <f>+E9+E10+E11+E12+E13+E14</f>
        <v>0</v>
      </c>
    </row>
    <row r="9" spans="1:5" s="731" customFormat="1" x14ac:dyDescent="0.35">
      <c r="A9" s="732" t="s">
        <v>93</v>
      </c>
      <c r="B9" s="733" t="s">
        <v>242</v>
      </c>
      <c r="C9" s="734"/>
      <c r="D9" s="734"/>
      <c r="E9" s="734"/>
    </row>
    <row r="10" spans="1:5" s="731" customFormat="1" x14ac:dyDescent="0.35">
      <c r="A10" s="735" t="s">
        <v>94</v>
      </c>
      <c r="B10" s="736" t="s">
        <v>243</v>
      </c>
      <c r="C10" s="737"/>
      <c r="D10" s="737"/>
      <c r="E10" s="737"/>
    </row>
    <row r="11" spans="1:5" s="731" customFormat="1" x14ac:dyDescent="0.35">
      <c r="A11" s="735" t="s">
        <v>95</v>
      </c>
      <c r="B11" s="736" t="s">
        <v>244</v>
      </c>
      <c r="C11" s="737"/>
      <c r="D11" s="737"/>
      <c r="E11" s="737"/>
    </row>
    <row r="12" spans="1:5" s="731" customFormat="1" x14ac:dyDescent="0.35">
      <c r="A12" s="735" t="s">
        <v>96</v>
      </c>
      <c r="B12" s="736" t="s">
        <v>245</v>
      </c>
      <c r="C12" s="737"/>
      <c r="D12" s="737"/>
      <c r="E12" s="737"/>
    </row>
    <row r="13" spans="1:5" s="731" customFormat="1" x14ac:dyDescent="0.35">
      <c r="A13" s="735" t="s">
        <v>139</v>
      </c>
      <c r="B13" s="738" t="s">
        <v>425</v>
      </c>
      <c r="C13" s="737"/>
      <c r="D13" s="737"/>
      <c r="E13" s="737"/>
    </row>
    <row r="14" spans="1:5" s="731" customFormat="1" ht="16" thickBot="1" x14ac:dyDescent="0.4">
      <c r="A14" s="739" t="s">
        <v>97</v>
      </c>
      <c r="B14" s="740" t="s">
        <v>426</v>
      </c>
      <c r="C14" s="737"/>
      <c r="D14" s="737"/>
      <c r="E14" s="737"/>
    </row>
    <row r="15" spans="1:5" s="731" customFormat="1" ht="16" thickBot="1" x14ac:dyDescent="0.4">
      <c r="A15" s="728" t="s">
        <v>15</v>
      </c>
      <c r="B15" s="741" t="s">
        <v>246</v>
      </c>
      <c r="C15" s="730">
        <f>+C16+C17+C18+C19+C20</f>
        <v>0</v>
      </c>
      <c r="D15" s="730">
        <f>+D16+D17+D18+D19+D20</f>
        <v>0</v>
      </c>
      <c r="E15" s="730">
        <f>+E16+E17+E18+E19+E20</f>
        <v>0</v>
      </c>
    </row>
    <row r="16" spans="1:5" s="731" customFormat="1" x14ac:dyDescent="0.35">
      <c r="A16" s="732" t="s">
        <v>99</v>
      </c>
      <c r="B16" s="733" t="s">
        <v>247</v>
      </c>
      <c r="C16" s="734"/>
      <c r="D16" s="734"/>
      <c r="E16" s="734"/>
    </row>
    <row r="17" spans="1:5" s="731" customFormat="1" x14ac:dyDescent="0.35">
      <c r="A17" s="735" t="s">
        <v>100</v>
      </c>
      <c r="B17" s="736" t="s">
        <v>248</v>
      </c>
      <c r="C17" s="737"/>
      <c r="D17" s="737"/>
      <c r="E17" s="737"/>
    </row>
    <row r="18" spans="1:5" s="731" customFormat="1" x14ac:dyDescent="0.35">
      <c r="A18" s="735" t="s">
        <v>101</v>
      </c>
      <c r="B18" s="736" t="s">
        <v>415</v>
      </c>
      <c r="C18" s="737"/>
      <c r="D18" s="737"/>
      <c r="E18" s="737"/>
    </row>
    <row r="19" spans="1:5" s="731" customFormat="1" x14ac:dyDescent="0.35">
      <c r="A19" s="735" t="s">
        <v>102</v>
      </c>
      <c r="B19" s="736" t="s">
        <v>416</v>
      </c>
      <c r="C19" s="737"/>
      <c r="D19" s="737"/>
      <c r="E19" s="737"/>
    </row>
    <row r="20" spans="1:5" s="731" customFormat="1" x14ac:dyDescent="0.35">
      <c r="A20" s="735" t="s">
        <v>103</v>
      </c>
      <c r="B20" s="736" t="s">
        <v>249</v>
      </c>
      <c r="C20" s="737"/>
      <c r="D20" s="737"/>
      <c r="E20" s="737"/>
    </row>
    <row r="21" spans="1:5" s="731" customFormat="1" ht="16" thickBot="1" x14ac:dyDescent="0.4">
      <c r="A21" s="739" t="s">
        <v>112</v>
      </c>
      <c r="B21" s="740" t="s">
        <v>250</v>
      </c>
      <c r="C21" s="742"/>
      <c r="D21" s="742"/>
      <c r="E21" s="742"/>
    </row>
    <row r="22" spans="1:5" s="731" customFormat="1" ht="30.5" thickBot="1" x14ac:dyDescent="0.4">
      <c r="A22" s="728" t="s">
        <v>16</v>
      </c>
      <c r="B22" s="729" t="s">
        <v>251</v>
      </c>
      <c r="C22" s="730">
        <f>+C23+C24+C25+C26+C27</f>
        <v>0</v>
      </c>
      <c r="D22" s="730">
        <f>+D23+D24+D25+D26+D27</f>
        <v>0</v>
      </c>
      <c r="E22" s="730">
        <f>+E23+E24+E25+E26+E27</f>
        <v>0</v>
      </c>
    </row>
    <row r="23" spans="1:5" s="731" customFormat="1" x14ac:dyDescent="0.35">
      <c r="A23" s="732" t="s">
        <v>82</v>
      </c>
      <c r="B23" s="733" t="s">
        <v>252</v>
      </c>
      <c r="C23" s="734"/>
      <c r="D23" s="734"/>
      <c r="E23" s="734"/>
    </row>
    <row r="24" spans="1:5" s="731" customFormat="1" x14ac:dyDescent="0.35">
      <c r="A24" s="735" t="s">
        <v>83</v>
      </c>
      <c r="B24" s="736" t="s">
        <v>253</v>
      </c>
      <c r="C24" s="737"/>
      <c r="D24" s="737"/>
      <c r="E24" s="737"/>
    </row>
    <row r="25" spans="1:5" s="731" customFormat="1" x14ac:dyDescent="0.35">
      <c r="A25" s="735" t="s">
        <v>84</v>
      </c>
      <c r="B25" s="736" t="s">
        <v>417</v>
      </c>
      <c r="C25" s="737"/>
      <c r="D25" s="737"/>
      <c r="E25" s="737"/>
    </row>
    <row r="26" spans="1:5" s="731" customFormat="1" x14ac:dyDescent="0.35">
      <c r="A26" s="735" t="s">
        <v>85</v>
      </c>
      <c r="B26" s="736" t="s">
        <v>418</v>
      </c>
      <c r="C26" s="737"/>
      <c r="D26" s="737"/>
      <c r="E26" s="737"/>
    </row>
    <row r="27" spans="1:5" s="731" customFormat="1" x14ac:dyDescent="0.35">
      <c r="A27" s="735" t="s">
        <v>160</v>
      </c>
      <c r="B27" s="736" t="s">
        <v>254</v>
      </c>
      <c r="C27" s="737"/>
      <c r="D27" s="737"/>
      <c r="E27" s="737"/>
    </row>
    <row r="28" spans="1:5" s="731" customFormat="1" ht="16" thickBot="1" x14ac:dyDescent="0.4">
      <c r="A28" s="739" t="s">
        <v>161</v>
      </c>
      <c r="B28" s="743" t="s">
        <v>255</v>
      </c>
      <c r="C28" s="742"/>
      <c r="D28" s="742"/>
      <c r="E28" s="742"/>
    </row>
    <row r="29" spans="1:5" s="731" customFormat="1" ht="16" thickBot="1" x14ac:dyDescent="0.4">
      <c r="A29" s="728" t="s">
        <v>162</v>
      </c>
      <c r="B29" s="729" t="s">
        <v>256</v>
      </c>
      <c r="C29" s="744">
        <f>+C30+C34+C35+C36</f>
        <v>22017106</v>
      </c>
      <c r="D29" s="744">
        <f>+D30+D34+D35+D36</f>
        <v>22017106</v>
      </c>
      <c r="E29" s="744">
        <f>+E30+E34+E35+E36</f>
        <v>0</v>
      </c>
    </row>
    <row r="30" spans="1:5" s="731" customFormat="1" x14ac:dyDescent="0.35">
      <c r="A30" s="732" t="s">
        <v>257</v>
      </c>
      <c r="B30" s="733" t="s">
        <v>432</v>
      </c>
      <c r="C30" s="745">
        <f>C31+C32+C33</f>
        <v>22017106</v>
      </c>
      <c r="D30" s="745">
        <f>D31+D32+D33</f>
        <v>22017106</v>
      </c>
      <c r="E30" s="745">
        <f>E31+E32+E33</f>
        <v>0</v>
      </c>
    </row>
    <row r="31" spans="1:5" s="731" customFormat="1" x14ac:dyDescent="0.35">
      <c r="A31" s="735" t="s">
        <v>258</v>
      </c>
      <c r="B31" s="736" t="s">
        <v>590</v>
      </c>
      <c r="C31" s="737">
        <v>22017106</v>
      </c>
      <c r="D31" s="737">
        <v>22017106</v>
      </c>
      <c r="E31" s="737">
        <f>22017106-1845716-20171390</f>
        <v>0</v>
      </c>
    </row>
    <row r="32" spans="1:5" s="731" customFormat="1" x14ac:dyDescent="0.35">
      <c r="A32" s="735" t="s">
        <v>259</v>
      </c>
      <c r="B32" s="736" t="s">
        <v>591</v>
      </c>
      <c r="C32" s="737"/>
      <c r="D32" s="737"/>
      <c r="E32" s="737"/>
    </row>
    <row r="33" spans="1:5" s="731" customFormat="1" x14ac:dyDescent="0.35">
      <c r="A33" s="735" t="s">
        <v>430</v>
      </c>
      <c r="B33" s="746" t="s">
        <v>431</v>
      </c>
      <c r="C33" s="737"/>
      <c r="D33" s="737"/>
      <c r="E33" s="737"/>
    </row>
    <row r="34" spans="1:5" s="731" customFormat="1" x14ac:dyDescent="0.35">
      <c r="A34" s="735" t="s">
        <v>260</v>
      </c>
      <c r="B34" s="736" t="s">
        <v>265</v>
      </c>
      <c r="C34" s="737"/>
      <c r="D34" s="737"/>
      <c r="E34" s="737"/>
    </row>
    <row r="35" spans="1:5" s="731" customFormat="1" x14ac:dyDescent="0.35">
      <c r="A35" s="735" t="s">
        <v>261</v>
      </c>
      <c r="B35" s="736" t="s">
        <v>574</v>
      </c>
      <c r="C35" s="737"/>
      <c r="D35" s="737"/>
      <c r="E35" s="737"/>
    </row>
    <row r="36" spans="1:5" s="731" customFormat="1" ht="16" thickBot="1" x14ac:dyDescent="0.4">
      <c r="A36" s="739" t="s">
        <v>262</v>
      </c>
      <c r="B36" s="743" t="s">
        <v>267</v>
      </c>
      <c r="C36" s="742"/>
      <c r="D36" s="742"/>
      <c r="E36" s="742"/>
    </row>
    <row r="37" spans="1:5" s="731" customFormat="1" ht="16" thickBot="1" x14ac:dyDescent="0.4">
      <c r="A37" s="728" t="s">
        <v>18</v>
      </c>
      <c r="B37" s="729" t="s">
        <v>427</v>
      </c>
      <c r="C37" s="730">
        <f>SUM(C38:C48)</f>
        <v>113868200</v>
      </c>
      <c r="D37" s="730">
        <f>SUM(D38:D48)</f>
        <v>113868200</v>
      </c>
      <c r="E37" s="730">
        <f>SUM(E38:E48)</f>
        <v>90831656</v>
      </c>
    </row>
    <row r="38" spans="1:5" s="731" customFormat="1" x14ac:dyDescent="0.35">
      <c r="A38" s="732" t="s">
        <v>86</v>
      </c>
      <c r="B38" s="733" t="s">
        <v>270</v>
      </c>
      <c r="C38" s="734"/>
      <c r="D38" s="734"/>
      <c r="E38" s="734"/>
    </row>
    <row r="39" spans="1:5" s="731" customFormat="1" x14ac:dyDescent="0.35">
      <c r="A39" s="735" t="s">
        <v>87</v>
      </c>
      <c r="B39" s="736" t="s">
        <v>271</v>
      </c>
      <c r="C39" s="737">
        <v>89660000</v>
      </c>
      <c r="D39" s="737">
        <v>89660000</v>
      </c>
      <c r="E39" s="737">
        <f>89660000-234550-3828610-17000000+770900</f>
        <v>69367740</v>
      </c>
    </row>
    <row r="40" spans="1:5" s="731" customFormat="1" x14ac:dyDescent="0.35">
      <c r="A40" s="735" t="s">
        <v>88</v>
      </c>
      <c r="B40" s="736" t="s">
        <v>272</v>
      </c>
      <c r="C40" s="737"/>
      <c r="D40" s="737"/>
      <c r="E40" s="737"/>
    </row>
    <row r="41" spans="1:5" s="731" customFormat="1" x14ac:dyDescent="0.35">
      <c r="A41" s="735" t="s">
        <v>164</v>
      </c>
      <c r="B41" s="736" t="s">
        <v>273</v>
      </c>
      <c r="C41" s="737"/>
      <c r="D41" s="737"/>
      <c r="E41" s="737"/>
    </row>
    <row r="42" spans="1:5" s="731" customFormat="1" x14ac:dyDescent="0.35">
      <c r="A42" s="735" t="s">
        <v>165</v>
      </c>
      <c r="B42" s="736" t="s">
        <v>274</v>
      </c>
      <c r="C42" s="737"/>
      <c r="D42" s="737"/>
      <c r="E42" s="737"/>
    </row>
    <row r="43" spans="1:5" s="731" customFormat="1" x14ac:dyDescent="0.35">
      <c r="A43" s="735" t="s">
        <v>166</v>
      </c>
      <c r="B43" s="736" t="s">
        <v>275</v>
      </c>
      <c r="C43" s="737">
        <v>24208200</v>
      </c>
      <c r="D43" s="737">
        <v>24208200</v>
      </c>
      <c r="E43" s="747">
        <f>24208200+392396-4590000</f>
        <v>20010596</v>
      </c>
    </row>
    <row r="44" spans="1:5" s="731" customFormat="1" x14ac:dyDescent="0.35">
      <c r="A44" s="735" t="s">
        <v>167</v>
      </c>
      <c r="B44" s="736" t="s">
        <v>276</v>
      </c>
      <c r="C44" s="737"/>
      <c r="D44" s="737"/>
      <c r="E44" s="747"/>
    </row>
    <row r="45" spans="1:5" s="731" customFormat="1" x14ac:dyDescent="0.35">
      <c r="A45" s="735" t="s">
        <v>168</v>
      </c>
      <c r="B45" s="736" t="s">
        <v>277</v>
      </c>
      <c r="C45" s="747"/>
      <c r="D45" s="747"/>
      <c r="E45" s="747"/>
    </row>
    <row r="46" spans="1:5" s="731" customFormat="1" x14ac:dyDescent="0.35">
      <c r="A46" s="735" t="s">
        <v>268</v>
      </c>
      <c r="B46" s="736" t="s">
        <v>278</v>
      </c>
      <c r="C46" s="747"/>
      <c r="D46" s="747"/>
      <c r="E46" s="747"/>
    </row>
    <row r="47" spans="1:5" s="731" customFormat="1" x14ac:dyDescent="0.35">
      <c r="A47" s="739" t="s">
        <v>269</v>
      </c>
      <c r="B47" s="743" t="s">
        <v>429</v>
      </c>
      <c r="C47" s="748"/>
      <c r="D47" s="748"/>
      <c r="E47" s="748"/>
    </row>
    <row r="48" spans="1:5" s="731" customFormat="1" ht="16" thickBot="1" x14ac:dyDescent="0.4">
      <c r="A48" s="739" t="s">
        <v>428</v>
      </c>
      <c r="B48" s="740" t="s">
        <v>279</v>
      </c>
      <c r="C48" s="748"/>
      <c r="D48" s="748"/>
      <c r="E48" s="748">
        <f>1453320</f>
        <v>1453320</v>
      </c>
    </row>
    <row r="49" spans="1:5" s="731" customFormat="1" ht="16" thickBot="1" x14ac:dyDescent="0.4">
      <c r="A49" s="728" t="s">
        <v>19</v>
      </c>
      <c r="B49" s="729" t="s">
        <v>280</v>
      </c>
      <c r="C49" s="730">
        <f>SUM(C50:C54)</f>
        <v>0</v>
      </c>
      <c r="D49" s="730">
        <f>SUM(D50:D54)</f>
        <v>0</v>
      </c>
      <c r="E49" s="730">
        <f>SUM(E50:E54)</f>
        <v>0</v>
      </c>
    </row>
    <row r="50" spans="1:5" s="731" customFormat="1" x14ac:dyDescent="0.35">
      <c r="A50" s="732" t="s">
        <v>89</v>
      </c>
      <c r="B50" s="733" t="s">
        <v>284</v>
      </c>
      <c r="C50" s="749"/>
      <c r="D50" s="749"/>
      <c r="E50" s="749"/>
    </row>
    <row r="51" spans="1:5" s="731" customFormat="1" x14ac:dyDescent="0.35">
      <c r="A51" s="735" t="s">
        <v>90</v>
      </c>
      <c r="B51" s="736" t="s">
        <v>285</v>
      </c>
      <c r="C51" s="747"/>
      <c r="D51" s="747"/>
      <c r="E51" s="747"/>
    </row>
    <row r="52" spans="1:5" s="731" customFormat="1" x14ac:dyDescent="0.35">
      <c r="A52" s="735" t="s">
        <v>281</v>
      </c>
      <c r="B52" s="736" t="s">
        <v>286</v>
      </c>
      <c r="C52" s="747"/>
      <c r="D52" s="747"/>
      <c r="E52" s="747"/>
    </row>
    <row r="53" spans="1:5" s="731" customFormat="1" x14ac:dyDescent="0.35">
      <c r="A53" s="735" t="s">
        <v>282</v>
      </c>
      <c r="B53" s="736" t="s">
        <v>287</v>
      </c>
      <c r="C53" s="747"/>
      <c r="D53" s="747"/>
      <c r="E53" s="747"/>
    </row>
    <row r="54" spans="1:5" s="731" customFormat="1" ht="16" thickBot="1" x14ac:dyDescent="0.4">
      <c r="A54" s="739" t="s">
        <v>283</v>
      </c>
      <c r="B54" s="740" t="s">
        <v>288</v>
      </c>
      <c r="C54" s="748"/>
      <c r="D54" s="748"/>
      <c r="E54" s="748"/>
    </row>
    <row r="55" spans="1:5" s="731" customFormat="1" ht="16" thickBot="1" x14ac:dyDescent="0.4">
      <c r="A55" s="728" t="s">
        <v>169</v>
      </c>
      <c r="B55" s="729" t="s">
        <v>289</v>
      </c>
      <c r="C55" s="730">
        <f>SUM(C56:C58)</f>
        <v>0</v>
      </c>
      <c r="D55" s="730">
        <f>SUM(D56:D58)</f>
        <v>0</v>
      </c>
      <c r="E55" s="730">
        <f>SUM(E56:E58)</f>
        <v>0</v>
      </c>
    </row>
    <row r="56" spans="1:5" s="731" customFormat="1" ht="31" x14ac:dyDescent="0.35">
      <c r="A56" s="732" t="s">
        <v>91</v>
      </c>
      <c r="B56" s="733" t="s">
        <v>290</v>
      </c>
      <c r="C56" s="734"/>
      <c r="D56" s="734"/>
      <c r="E56" s="734"/>
    </row>
    <row r="57" spans="1:5" s="731" customFormat="1" ht="31" x14ac:dyDescent="0.35">
      <c r="A57" s="735" t="s">
        <v>92</v>
      </c>
      <c r="B57" s="736" t="s">
        <v>419</v>
      </c>
      <c r="C57" s="737"/>
      <c r="D57" s="737"/>
      <c r="E57" s="737"/>
    </row>
    <row r="58" spans="1:5" s="731" customFormat="1" x14ac:dyDescent="0.35">
      <c r="A58" s="735" t="s">
        <v>293</v>
      </c>
      <c r="B58" s="736" t="s">
        <v>291</v>
      </c>
      <c r="C58" s="737"/>
      <c r="D58" s="737"/>
      <c r="E58" s="737"/>
    </row>
    <row r="59" spans="1:5" s="731" customFormat="1" ht="16" thickBot="1" x14ac:dyDescent="0.4">
      <c r="A59" s="739" t="s">
        <v>294</v>
      </c>
      <c r="B59" s="740" t="s">
        <v>292</v>
      </c>
      <c r="C59" s="742"/>
      <c r="D59" s="742"/>
      <c r="E59" s="742"/>
    </row>
    <row r="60" spans="1:5" s="731" customFormat="1" ht="16" thickBot="1" x14ac:dyDescent="0.4">
      <c r="A60" s="728" t="s">
        <v>21</v>
      </c>
      <c r="B60" s="741" t="s">
        <v>295</v>
      </c>
      <c r="C60" s="730">
        <f>SUM(C61:C63)</f>
        <v>0</v>
      </c>
      <c r="D60" s="730">
        <f>SUM(D61:D63)</f>
        <v>0</v>
      </c>
      <c r="E60" s="730">
        <f>SUM(E61:E63)</f>
        <v>0</v>
      </c>
    </row>
    <row r="61" spans="1:5" s="731" customFormat="1" x14ac:dyDescent="0.35">
      <c r="A61" s="732" t="s">
        <v>170</v>
      </c>
      <c r="B61" s="733" t="s">
        <v>297</v>
      </c>
      <c r="C61" s="747"/>
      <c r="D61" s="747"/>
      <c r="E61" s="747"/>
    </row>
    <row r="62" spans="1:5" s="731" customFormat="1" ht="31" x14ac:dyDescent="0.35">
      <c r="A62" s="735" t="s">
        <v>171</v>
      </c>
      <c r="B62" s="736" t="s">
        <v>420</v>
      </c>
      <c r="C62" s="747"/>
      <c r="D62" s="747"/>
      <c r="E62" s="747"/>
    </row>
    <row r="63" spans="1:5" s="731" customFormat="1" x14ac:dyDescent="0.35">
      <c r="A63" s="735" t="s">
        <v>218</v>
      </c>
      <c r="B63" s="736" t="s">
        <v>298</v>
      </c>
      <c r="C63" s="747"/>
      <c r="D63" s="747"/>
      <c r="E63" s="747"/>
    </row>
    <row r="64" spans="1:5" s="731" customFormat="1" ht="16" thickBot="1" x14ac:dyDescent="0.4">
      <c r="A64" s="739" t="s">
        <v>296</v>
      </c>
      <c r="B64" s="740" t="s">
        <v>299</v>
      </c>
      <c r="C64" s="747"/>
      <c r="D64" s="747"/>
      <c r="E64" s="747"/>
    </row>
    <row r="65" spans="1:5" s="731" customFormat="1" ht="16" thickBot="1" x14ac:dyDescent="0.4">
      <c r="A65" s="750" t="s">
        <v>471</v>
      </c>
      <c r="B65" s="729" t="s">
        <v>300</v>
      </c>
      <c r="C65" s="744">
        <f>+C8+C15+C22+C29+C37+C49+C55+C60</f>
        <v>135885306</v>
      </c>
      <c r="D65" s="744">
        <f>+D8+D15+D22+D29+D37+D49+D55+D60</f>
        <v>135885306</v>
      </c>
      <c r="E65" s="744">
        <f>+E8+E15+E22+E29+E37+E49+E55+E60</f>
        <v>90831656</v>
      </c>
    </row>
    <row r="66" spans="1:5" s="731" customFormat="1" ht="16" thickBot="1" x14ac:dyDescent="0.4">
      <c r="A66" s="751" t="s">
        <v>301</v>
      </c>
      <c r="B66" s="741" t="s">
        <v>302</v>
      </c>
      <c r="C66" s="730">
        <f>SUM(C67:C69)</f>
        <v>0</v>
      </c>
      <c r="D66" s="730">
        <f>SUM(D67:D69)</f>
        <v>0</v>
      </c>
      <c r="E66" s="730">
        <f>SUM(E67:E69)</f>
        <v>0</v>
      </c>
    </row>
    <row r="67" spans="1:5" s="731" customFormat="1" x14ac:dyDescent="0.35">
      <c r="A67" s="732" t="s">
        <v>333</v>
      </c>
      <c r="B67" s="733" t="s">
        <v>303</v>
      </c>
      <c r="C67" s="747"/>
      <c r="D67" s="747"/>
      <c r="E67" s="747"/>
    </row>
    <row r="68" spans="1:5" s="731" customFormat="1" x14ac:dyDescent="0.35">
      <c r="A68" s="735" t="s">
        <v>342</v>
      </c>
      <c r="B68" s="736" t="s">
        <v>304</v>
      </c>
      <c r="C68" s="747"/>
      <c r="D68" s="747"/>
      <c r="E68" s="747"/>
    </row>
    <row r="69" spans="1:5" s="731" customFormat="1" ht="16" thickBot="1" x14ac:dyDescent="0.4">
      <c r="A69" s="739" t="s">
        <v>343</v>
      </c>
      <c r="B69" s="752" t="s">
        <v>456</v>
      </c>
      <c r="C69" s="747"/>
      <c r="D69" s="747"/>
      <c r="E69" s="747"/>
    </row>
    <row r="70" spans="1:5" s="731" customFormat="1" ht="16" thickBot="1" x14ac:dyDescent="0.4">
      <c r="A70" s="751" t="s">
        <v>306</v>
      </c>
      <c r="B70" s="741" t="s">
        <v>307</v>
      </c>
      <c r="C70" s="730">
        <f>SUM(C71:C74)</f>
        <v>0</v>
      </c>
      <c r="D70" s="730">
        <f>SUM(D71:D74)</f>
        <v>0</v>
      </c>
      <c r="E70" s="730">
        <f>SUM(E71:E74)</f>
        <v>0</v>
      </c>
    </row>
    <row r="71" spans="1:5" s="731" customFormat="1" x14ac:dyDescent="0.35">
      <c r="A71" s="732" t="s">
        <v>140</v>
      </c>
      <c r="B71" s="733" t="s">
        <v>308</v>
      </c>
      <c r="C71" s="747"/>
      <c r="D71" s="747"/>
      <c r="E71" s="747"/>
    </row>
    <row r="72" spans="1:5" s="731" customFormat="1" x14ac:dyDescent="0.35">
      <c r="A72" s="735" t="s">
        <v>141</v>
      </c>
      <c r="B72" s="736" t="s">
        <v>309</v>
      </c>
      <c r="C72" s="747"/>
      <c r="D72" s="747"/>
      <c r="E72" s="747"/>
    </row>
    <row r="73" spans="1:5" s="731" customFormat="1" x14ac:dyDescent="0.35">
      <c r="A73" s="735" t="s">
        <v>334</v>
      </c>
      <c r="B73" s="736" t="s">
        <v>310</v>
      </c>
      <c r="C73" s="747"/>
      <c r="D73" s="747"/>
      <c r="E73" s="747"/>
    </row>
    <row r="74" spans="1:5" s="731" customFormat="1" ht="16" thickBot="1" x14ac:dyDescent="0.4">
      <c r="A74" s="739" t="s">
        <v>335</v>
      </c>
      <c r="B74" s="740" t="s">
        <v>311</v>
      </c>
      <c r="C74" s="747"/>
      <c r="D74" s="747"/>
      <c r="E74" s="747"/>
    </row>
    <row r="75" spans="1:5" s="731" customFormat="1" ht="16" thickBot="1" x14ac:dyDescent="0.4">
      <c r="A75" s="751" t="s">
        <v>312</v>
      </c>
      <c r="B75" s="741" t="s">
        <v>313</v>
      </c>
      <c r="C75" s="730">
        <f>SUM(C76:C77)</f>
        <v>0</v>
      </c>
      <c r="D75" s="730">
        <f>SUM(D76:D77)</f>
        <v>0</v>
      </c>
      <c r="E75" s="730">
        <f>SUM(E76:E77)</f>
        <v>0</v>
      </c>
    </row>
    <row r="76" spans="1:5" s="731" customFormat="1" x14ac:dyDescent="0.35">
      <c r="A76" s="732" t="s">
        <v>336</v>
      </c>
      <c r="B76" s="733" t="s">
        <v>314</v>
      </c>
      <c r="C76" s="747"/>
      <c r="D76" s="747"/>
      <c r="E76" s="747"/>
    </row>
    <row r="77" spans="1:5" s="731" customFormat="1" ht="16" thickBot="1" x14ac:dyDescent="0.4">
      <c r="A77" s="739" t="s">
        <v>337</v>
      </c>
      <c r="B77" s="740" t="s">
        <v>315</v>
      </c>
      <c r="C77" s="747"/>
      <c r="D77" s="747"/>
      <c r="E77" s="747"/>
    </row>
    <row r="78" spans="1:5" s="731" customFormat="1" ht="16" thickBot="1" x14ac:dyDescent="0.4">
      <c r="A78" s="751" t="s">
        <v>316</v>
      </c>
      <c r="B78" s="741" t="s">
        <v>317</v>
      </c>
      <c r="C78" s="730">
        <f>SUM(C79:C81)</f>
        <v>0</v>
      </c>
      <c r="D78" s="730">
        <f>SUM(D79:D81)</f>
        <v>0</v>
      </c>
      <c r="E78" s="730">
        <f>SUM(E79:E81)</f>
        <v>0</v>
      </c>
    </row>
    <row r="79" spans="1:5" s="731" customFormat="1" x14ac:dyDescent="0.35">
      <c r="A79" s="732" t="s">
        <v>338</v>
      </c>
      <c r="B79" s="733" t="s">
        <v>318</v>
      </c>
      <c r="C79" s="747"/>
      <c r="D79" s="747"/>
      <c r="E79" s="747"/>
    </row>
    <row r="80" spans="1:5" s="731" customFormat="1" x14ac:dyDescent="0.35">
      <c r="A80" s="735" t="s">
        <v>339</v>
      </c>
      <c r="B80" s="736" t="s">
        <v>319</v>
      </c>
      <c r="C80" s="747"/>
      <c r="D80" s="747"/>
      <c r="E80" s="747"/>
    </row>
    <row r="81" spans="1:7" s="731" customFormat="1" ht="16" thickBot="1" x14ac:dyDescent="0.4">
      <c r="A81" s="739" t="s">
        <v>340</v>
      </c>
      <c r="B81" s="740" t="s">
        <v>320</v>
      </c>
      <c r="C81" s="747"/>
      <c r="D81" s="747"/>
      <c r="E81" s="747"/>
    </row>
    <row r="82" spans="1:7" s="731" customFormat="1" ht="16" thickBot="1" x14ac:dyDescent="0.4">
      <c r="A82" s="751" t="s">
        <v>321</v>
      </c>
      <c r="B82" s="741" t="s">
        <v>341</v>
      </c>
      <c r="C82" s="730">
        <f>SUM(C83:C86)</f>
        <v>0</v>
      </c>
      <c r="D82" s="730">
        <f>SUM(D83:D86)</f>
        <v>0</v>
      </c>
      <c r="E82" s="730">
        <f>SUM(E83:E86)</f>
        <v>0</v>
      </c>
    </row>
    <row r="83" spans="1:7" s="731" customFormat="1" x14ac:dyDescent="0.35">
      <c r="A83" s="753" t="s">
        <v>322</v>
      </c>
      <c r="B83" s="733" t="s">
        <v>323</v>
      </c>
      <c r="C83" s="747"/>
      <c r="D83" s="747"/>
      <c r="E83" s="747"/>
    </row>
    <row r="84" spans="1:7" s="731" customFormat="1" x14ac:dyDescent="0.35">
      <c r="A84" s="754" t="s">
        <v>324</v>
      </c>
      <c r="B84" s="736" t="s">
        <v>325</v>
      </c>
      <c r="C84" s="747"/>
      <c r="D84" s="747"/>
      <c r="E84" s="747"/>
    </row>
    <row r="85" spans="1:7" s="731" customFormat="1" x14ac:dyDescent="0.35">
      <c r="A85" s="754" t="s">
        <v>326</v>
      </c>
      <c r="B85" s="736" t="s">
        <v>327</v>
      </c>
      <c r="C85" s="747"/>
      <c r="D85" s="747"/>
      <c r="E85" s="747"/>
    </row>
    <row r="86" spans="1:7" s="731" customFormat="1" ht="16" thickBot="1" x14ac:dyDescent="0.4">
      <c r="A86" s="755" t="s">
        <v>328</v>
      </c>
      <c r="B86" s="740" t="s">
        <v>329</v>
      </c>
      <c r="C86" s="747"/>
      <c r="D86" s="747"/>
      <c r="E86" s="747"/>
    </row>
    <row r="87" spans="1:7" s="731" customFormat="1" ht="16" thickBot="1" x14ac:dyDescent="0.4">
      <c r="A87" s="751" t="s">
        <v>330</v>
      </c>
      <c r="B87" s="741" t="s">
        <v>470</v>
      </c>
      <c r="C87" s="756"/>
      <c r="D87" s="756"/>
      <c r="E87" s="756"/>
    </row>
    <row r="88" spans="1:7" s="731" customFormat="1" ht="16" thickBot="1" x14ac:dyDescent="0.4">
      <c r="A88" s="751" t="s">
        <v>332</v>
      </c>
      <c r="B88" s="741" t="s">
        <v>331</v>
      </c>
      <c r="C88" s="756"/>
      <c r="D88" s="756"/>
      <c r="E88" s="756"/>
    </row>
    <row r="89" spans="1:7" s="731" customFormat="1" ht="16" thickBot="1" x14ac:dyDescent="0.4">
      <c r="A89" s="751" t="s">
        <v>344</v>
      </c>
      <c r="B89" s="757" t="s">
        <v>473</v>
      </c>
      <c r="C89" s="744">
        <f>+C66+C70+C75+C78+C82+C88+C87</f>
        <v>0</v>
      </c>
      <c r="D89" s="744">
        <f>+D66+D70+D75+D78+D82+D88+D87</f>
        <v>0</v>
      </c>
      <c r="E89" s="744">
        <f>+E66+E70+E75+E78+E82+E88+E87</f>
        <v>0</v>
      </c>
    </row>
    <row r="90" spans="1:7" s="731" customFormat="1" ht="31" thickBot="1" x14ac:dyDescent="0.4">
      <c r="A90" s="758" t="s">
        <v>472</v>
      </c>
      <c r="B90" s="759" t="s">
        <v>474</v>
      </c>
      <c r="C90" s="744">
        <f>+C65+C89</f>
        <v>135885306</v>
      </c>
      <c r="D90" s="744">
        <f>+D65+D89</f>
        <v>135885306</v>
      </c>
      <c r="E90" s="744">
        <f>+E65+E89</f>
        <v>90831656</v>
      </c>
      <c r="G90" s="804"/>
    </row>
    <row r="91" spans="1:7" s="731" customFormat="1" x14ac:dyDescent="0.35">
      <c r="A91" s="71"/>
      <c r="B91" s="72"/>
      <c r="C91" s="566"/>
      <c r="D91" s="566"/>
      <c r="E91" s="566"/>
    </row>
    <row r="92" spans="1:7" s="33" customFormat="1" x14ac:dyDescent="0.35">
      <c r="A92" s="900" t="s">
        <v>42</v>
      </c>
      <c r="B92" s="900"/>
    </row>
    <row r="93" spans="1:7" s="73" customFormat="1" ht="16" thickBot="1" x14ac:dyDescent="0.4">
      <c r="A93" s="901" t="s">
        <v>143</v>
      </c>
      <c r="B93" s="901"/>
      <c r="C93" s="760"/>
      <c r="D93" s="760"/>
      <c r="E93" s="760"/>
    </row>
    <row r="94" spans="1:7" s="33" customFormat="1" ht="45.5" thickBot="1" x14ac:dyDescent="0.4">
      <c r="A94" s="761" t="s">
        <v>64</v>
      </c>
      <c r="B94" s="762" t="s">
        <v>43</v>
      </c>
      <c r="C94" s="677" t="s">
        <v>640</v>
      </c>
      <c r="D94" s="677" t="s">
        <v>724</v>
      </c>
      <c r="E94" s="827" t="s">
        <v>730</v>
      </c>
    </row>
    <row r="95" spans="1:7" s="731" customFormat="1" ht="16" thickBot="1" x14ac:dyDescent="0.4">
      <c r="A95" s="761" t="s">
        <v>482</v>
      </c>
      <c r="B95" s="762" t="s">
        <v>483</v>
      </c>
      <c r="C95" s="763" t="s">
        <v>484</v>
      </c>
      <c r="D95" s="763" t="s">
        <v>484</v>
      </c>
      <c r="E95" s="763" t="s">
        <v>484</v>
      </c>
    </row>
    <row r="96" spans="1:7" s="33" customFormat="1" ht="16" thickBot="1" x14ac:dyDescent="0.4">
      <c r="A96" s="764" t="s">
        <v>14</v>
      </c>
      <c r="B96" s="765" t="s">
        <v>736</v>
      </c>
      <c r="C96" s="766">
        <f>C97+C98+C99+C100+C101+C114</f>
        <v>114320706</v>
      </c>
      <c r="D96" s="766">
        <f>D97+D98+D99+D100+D101+D114</f>
        <v>114320706</v>
      </c>
      <c r="E96" s="766">
        <f>E97+E98+E99+E100+E101+E114</f>
        <v>78512656</v>
      </c>
    </row>
    <row r="97" spans="1:5" s="33" customFormat="1" x14ac:dyDescent="0.35">
      <c r="A97" s="767" t="s">
        <v>93</v>
      </c>
      <c r="B97" s="768" t="s">
        <v>44</v>
      </c>
      <c r="C97" s="769">
        <v>17094400</v>
      </c>
      <c r="D97" s="769">
        <v>17094400</v>
      </c>
      <c r="E97" s="769">
        <f>17094400+171000-322000-2500000</f>
        <v>14443400</v>
      </c>
    </row>
    <row r="98" spans="1:5" s="33" customFormat="1" x14ac:dyDescent="0.35">
      <c r="A98" s="735" t="s">
        <v>94</v>
      </c>
      <c r="B98" s="770" t="s">
        <v>172</v>
      </c>
      <c r="C98" s="737">
        <v>3142995</v>
      </c>
      <c r="D98" s="737">
        <v>3142995</v>
      </c>
      <c r="E98" s="737">
        <f>3142995-83550-437500</f>
        <v>2621945</v>
      </c>
    </row>
    <row r="99" spans="1:5" s="33" customFormat="1" x14ac:dyDescent="0.35">
      <c r="A99" s="735" t="s">
        <v>95</v>
      </c>
      <c r="B99" s="770" t="s">
        <v>131</v>
      </c>
      <c r="C99" s="742">
        <v>94083311</v>
      </c>
      <c r="D99" s="742">
        <v>94083311</v>
      </c>
      <c r="E99" s="742">
        <f>94083311-24000000-8636000</f>
        <v>61447311</v>
      </c>
    </row>
    <row r="100" spans="1:5" s="33" customFormat="1" x14ac:dyDescent="0.35">
      <c r="A100" s="735" t="s">
        <v>96</v>
      </c>
      <c r="B100" s="771" t="s">
        <v>173</v>
      </c>
      <c r="C100" s="742"/>
      <c r="D100" s="742"/>
      <c r="E100" s="742"/>
    </row>
    <row r="101" spans="1:5" s="33" customFormat="1" x14ac:dyDescent="0.35">
      <c r="A101" s="735" t="s">
        <v>107</v>
      </c>
      <c r="B101" s="772" t="s">
        <v>174</v>
      </c>
      <c r="C101" s="742">
        <f>C102+C103+C104+C105+C106+C108+C109+C110+C111+C112+C113</f>
        <v>0</v>
      </c>
      <c r="D101" s="742">
        <f>D102+D103+D104+D105+D106+D108+D109+D110+D111+D112+D113</f>
        <v>0</v>
      </c>
      <c r="E101" s="742">
        <f>E102+E103+E104+E105+E106+E108+E109+E110+E111+E112+E113</f>
        <v>0</v>
      </c>
    </row>
    <row r="102" spans="1:5" s="33" customFormat="1" x14ac:dyDescent="0.35">
      <c r="A102" s="735" t="s">
        <v>97</v>
      </c>
      <c r="B102" s="770" t="s">
        <v>437</v>
      </c>
      <c r="C102" s="742"/>
      <c r="D102" s="742"/>
      <c r="E102" s="742"/>
    </row>
    <row r="103" spans="1:5" s="33" customFormat="1" x14ac:dyDescent="0.35">
      <c r="A103" s="735" t="s">
        <v>98</v>
      </c>
      <c r="B103" s="773" t="s">
        <v>436</v>
      </c>
      <c r="C103" s="742"/>
      <c r="D103" s="742"/>
      <c r="E103" s="742"/>
    </row>
    <row r="104" spans="1:5" s="33" customFormat="1" x14ac:dyDescent="0.35">
      <c r="A104" s="735" t="s">
        <v>108</v>
      </c>
      <c r="B104" s="773" t="s">
        <v>435</v>
      </c>
      <c r="C104" s="742"/>
      <c r="D104" s="742"/>
      <c r="E104" s="742"/>
    </row>
    <row r="105" spans="1:5" s="33" customFormat="1" x14ac:dyDescent="0.35">
      <c r="A105" s="735" t="s">
        <v>109</v>
      </c>
      <c r="B105" s="774" t="s">
        <v>347</v>
      </c>
      <c r="C105" s="742"/>
      <c r="D105" s="742"/>
      <c r="E105" s="742"/>
    </row>
    <row r="106" spans="1:5" s="33" customFormat="1" x14ac:dyDescent="0.35">
      <c r="A106" s="735" t="s">
        <v>110</v>
      </c>
      <c r="B106" s="775" t="s">
        <v>348</v>
      </c>
      <c r="C106" s="742"/>
      <c r="D106" s="742"/>
      <c r="E106" s="742"/>
    </row>
    <row r="107" spans="1:5" s="33" customFormat="1" ht="31" x14ac:dyDescent="0.35">
      <c r="A107" s="735" t="s">
        <v>111</v>
      </c>
      <c r="B107" s="775" t="s">
        <v>349</v>
      </c>
      <c r="C107" s="742"/>
      <c r="D107" s="742"/>
      <c r="E107" s="742"/>
    </row>
    <row r="108" spans="1:5" s="33" customFormat="1" x14ac:dyDescent="0.35">
      <c r="A108" s="735" t="s">
        <v>113</v>
      </c>
      <c r="B108" s="774" t="s">
        <v>350</v>
      </c>
      <c r="C108" s="742"/>
      <c r="D108" s="742"/>
      <c r="E108" s="742"/>
    </row>
    <row r="109" spans="1:5" s="33" customFormat="1" x14ac:dyDescent="0.35">
      <c r="A109" s="735" t="s">
        <v>175</v>
      </c>
      <c r="B109" s="774" t="s">
        <v>351</v>
      </c>
      <c r="C109" s="742"/>
      <c r="D109" s="742"/>
      <c r="E109" s="742"/>
    </row>
    <row r="110" spans="1:5" s="33" customFormat="1" x14ac:dyDescent="0.35">
      <c r="A110" s="735" t="s">
        <v>345</v>
      </c>
      <c r="B110" s="775" t="s">
        <v>352</v>
      </c>
      <c r="C110" s="742"/>
      <c r="D110" s="742"/>
      <c r="E110" s="742"/>
    </row>
    <row r="111" spans="1:5" s="33" customFormat="1" x14ac:dyDescent="0.35">
      <c r="A111" s="776" t="s">
        <v>346</v>
      </c>
      <c r="B111" s="773" t="s">
        <v>353</v>
      </c>
      <c r="C111" s="742"/>
      <c r="D111" s="742"/>
      <c r="E111" s="742"/>
    </row>
    <row r="112" spans="1:5" s="33" customFormat="1" x14ac:dyDescent="0.35">
      <c r="A112" s="735" t="s">
        <v>433</v>
      </c>
      <c r="B112" s="773" t="s">
        <v>354</v>
      </c>
      <c r="C112" s="742"/>
      <c r="D112" s="742"/>
      <c r="E112" s="742"/>
    </row>
    <row r="113" spans="1:5" s="33" customFormat="1" x14ac:dyDescent="0.35">
      <c r="A113" s="739" t="s">
        <v>434</v>
      </c>
      <c r="B113" s="773" t="s">
        <v>355</v>
      </c>
      <c r="C113" s="742"/>
      <c r="D113" s="742"/>
      <c r="E113" s="742"/>
    </row>
    <row r="114" spans="1:5" s="33" customFormat="1" x14ac:dyDescent="0.35">
      <c r="A114" s="735" t="s">
        <v>438</v>
      </c>
      <c r="B114" s="771" t="s">
        <v>45</v>
      </c>
      <c r="C114" s="737">
        <f>C115+C116</f>
        <v>0</v>
      </c>
      <c r="D114" s="737">
        <f>D115+D116</f>
        <v>0</v>
      </c>
      <c r="E114" s="737">
        <f>E115+E116</f>
        <v>0</v>
      </c>
    </row>
    <row r="115" spans="1:5" s="33" customFormat="1" x14ac:dyDescent="0.35">
      <c r="A115" s="735" t="s">
        <v>439</v>
      </c>
      <c r="B115" s="770" t="s">
        <v>441</v>
      </c>
      <c r="C115" s="737"/>
      <c r="D115" s="737"/>
      <c r="E115" s="737"/>
    </row>
    <row r="116" spans="1:5" s="33" customFormat="1" x14ac:dyDescent="0.35">
      <c r="A116" s="735" t="s">
        <v>440</v>
      </c>
      <c r="B116" s="777" t="s">
        <v>442</v>
      </c>
      <c r="C116" s="737"/>
      <c r="D116" s="737"/>
      <c r="E116" s="737"/>
    </row>
    <row r="117" spans="1:5" s="33" customFormat="1" ht="16" thickBot="1" x14ac:dyDescent="0.4">
      <c r="A117" s="807" t="s">
        <v>15</v>
      </c>
      <c r="B117" s="808" t="s">
        <v>737</v>
      </c>
      <c r="C117" s="780">
        <f>+C118+C120+C122</f>
        <v>21564600</v>
      </c>
      <c r="D117" s="780">
        <f>+D118+D120+D122</f>
        <v>21564600</v>
      </c>
      <c r="E117" s="780">
        <f>+E118+E120+E122</f>
        <v>12319000</v>
      </c>
    </row>
    <row r="118" spans="1:5" s="33" customFormat="1" x14ac:dyDescent="0.35">
      <c r="A118" s="732" t="s">
        <v>99</v>
      </c>
      <c r="B118" s="770" t="s">
        <v>217</v>
      </c>
      <c r="C118" s="734">
        <v>21564600</v>
      </c>
      <c r="D118" s="734">
        <v>21564600</v>
      </c>
      <c r="E118" s="734">
        <f>21564600-9245600</f>
        <v>12319000</v>
      </c>
    </row>
    <row r="119" spans="1:5" s="33" customFormat="1" x14ac:dyDescent="0.35">
      <c r="A119" s="732" t="s">
        <v>100</v>
      </c>
      <c r="B119" s="781" t="s">
        <v>359</v>
      </c>
      <c r="C119" s="734"/>
      <c r="D119" s="734"/>
      <c r="E119" s="734"/>
    </row>
    <row r="120" spans="1:5" s="33" customFormat="1" x14ac:dyDescent="0.35">
      <c r="A120" s="732" t="s">
        <v>101</v>
      </c>
      <c r="B120" s="781" t="s">
        <v>176</v>
      </c>
      <c r="C120" s="737"/>
      <c r="D120" s="737"/>
      <c r="E120" s="737"/>
    </row>
    <row r="121" spans="1:5" s="33" customFormat="1" x14ac:dyDescent="0.35">
      <c r="A121" s="732" t="s">
        <v>102</v>
      </c>
      <c r="B121" s="781" t="s">
        <v>360</v>
      </c>
      <c r="C121" s="782"/>
      <c r="D121" s="782"/>
      <c r="E121" s="782"/>
    </row>
    <row r="122" spans="1:5" s="33" customFormat="1" x14ac:dyDescent="0.35">
      <c r="A122" s="732" t="s">
        <v>103</v>
      </c>
      <c r="B122" s="740" t="s">
        <v>219</v>
      </c>
      <c r="C122" s="782">
        <f>C123+C124+C125+C126+C127+C128+C129+C130</f>
        <v>0</v>
      </c>
      <c r="D122" s="782">
        <f>D123+D124+D125+D126+D127+D128+D129+D130</f>
        <v>0</v>
      </c>
      <c r="E122" s="782">
        <f>E123+E124+E125+E126+E127+E128+E129+E130</f>
        <v>0</v>
      </c>
    </row>
    <row r="123" spans="1:5" s="33" customFormat="1" x14ac:dyDescent="0.35">
      <c r="A123" s="732" t="s">
        <v>112</v>
      </c>
      <c r="B123" s="738" t="s">
        <v>421</v>
      </c>
      <c r="C123" s="782"/>
      <c r="D123" s="782"/>
      <c r="E123" s="782"/>
    </row>
    <row r="124" spans="1:5" s="33" customFormat="1" x14ac:dyDescent="0.35">
      <c r="A124" s="732" t="s">
        <v>114</v>
      </c>
      <c r="B124" s="783" t="s">
        <v>365</v>
      </c>
      <c r="C124" s="782"/>
      <c r="D124" s="782"/>
      <c r="E124" s="782"/>
    </row>
    <row r="125" spans="1:5" s="33" customFormat="1" ht="31" x14ac:dyDescent="0.35">
      <c r="A125" s="732" t="s">
        <v>177</v>
      </c>
      <c r="B125" s="775" t="s">
        <v>349</v>
      </c>
      <c r="C125" s="782"/>
      <c r="D125" s="782"/>
      <c r="E125" s="782"/>
    </row>
    <row r="126" spans="1:5" s="33" customFormat="1" x14ac:dyDescent="0.35">
      <c r="A126" s="732" t="s">
        <v>178</v>
      </c>
      <c r="B126" s="775" t="s">
        <v>364</v>
      </c>
      <c r="C126" s="782"/>
      <c r="D126" s="782"/>
      <c r="E126" s="782"/>
    </row>
    <row r="127" spans="1:5" s="33" customFormat="1" x14ac:dyDescent="0.35">
      <c r="A127" s="732" t="s">
        <v>179</v>
      </c>
      <c r="B127" s="775" t="s">
        <v>363</v>
      </c>
      <c r="C127" s="782"/>
      <c r="D127" s="782"/>
      <c r="E127" s="782"/>
    </row>
    <row r="128" spans="1:5" s="33" customFormat="1" x14ac:dyDescent="0.35">
      <c r="A128" s="732" t="s">
        <v>356</v>
      </c>
      <c r="B128" s="775" t="s">
        <v>352</v>
      </c>
      <c r="C128" s="782"/>
      <c r="D128" s="782"/>
      <c r="E128" s="782"/>
    </row>
    <row r="129" spans="1:5" s="33" customFormat="1" x14ac:dyDescent="0.35">
      <c r="A129" s="732" t="s">
        <v>357</v>
      </c>
      <c r="B129" s="775" t="s">
        <v>362</v>
      </c>
      <c r="C129" s="782"/>
      <c r="D129" s="782"/>
      <c r="E129" s="782"/>
    </row>
    <row r="130" spans="1:5" s="33" customFormat="1" ht="16" thickBot="1" x14ac:dyDescent="0.4">
      <c r="A130" s="776" t="s">
        <v>358</v>
      </c>
      <c r="B130" s="775" t="s">
        <v>361</v>
      </c>
      <c r="C130" s="784"/>
      <c r="D130" s="784"/>
      <c r="E130" s="784"/>
    </row>
    <row r="131" spans="1:5" s="33" customFormat="1" ht="16" thickBot="1" x14ac:dyDescent="0.4">
      <c r="A131" s="728" t="s">
        <v>16</v>
      </c>
      <c r="B131" s="785" t="s">
        <v>443</v>
      </c>
      <c r="C131" s="730">
        <f>+C96+C117</f>
        <v>135885306</v>
      </c>
      <c r="D131" s="730">
        <f>+D96+D117</f>
        <v>135885306</v>
      </c>
      <c r="E131" s="730">
        <f>+E96+E117</f>
        <v>90831656</v>
      </c>
    </row>
    <row r="132" spans="1:5" s="33" customFormat="1" ht="16" thickBot="1" x14ac:dyDescent="0.4">
      <c r="A132" s="728" t="s">
        <v>17</v>
      </c>
      <c r="B132" s="785" t="s">
        <v>444</v>
      </c>
      <c r="C132" s="730">
        <f>+C133+C134+C135</f>
        <v>0</v>
      </c>
      <c r="D132" s="730">
        <f>+D133+D134+D135</f>
        <v>0</v>
      </c>
      <c r="E132" s="730">
        <f>+E133+E134+E135</f>
        <v>0</v>
      </c>
    </row>
    <row r="133" spans="1:5" s="33" customFormat="1" x14ac:dyDescent="0.35">
      <c r="A133" s="732" t="s">
        <v>257</v>
      </c>
      <c r="B133" s="781" t="s">
        <v>451</v>
      </c>
      <c r="C133" s="782"/>
      <c r="D133" s="782"/>
      <c r="E133" s="782"/>
    </row>
    <row r="134" spans="1:5" s="33" customFormat="1" x14ac:dyDescent="0.35">
      <c r="A134" s="732" t="s">
        <v>260</v>
      </c>
      <c r="B134" s="781" t="s">
        <v>452</v>
      </c>
      <c r="C134" s="782"/>
      <c r="D134" s="782"/>
      <c r="E134" s="782"/>
    </row>
    <row r="135" spans="1:5" s="33" customFormat="1" ht="16" thickBot="1" x14ac:dyDescent="0.4">
      <c r="A135" s="776" t="s">
        <v>261</v>
      </c>
      <c r="B135" s="781" t="s">
        <v>453</v>
      </c>
      <c r="C135" s="782"/>
      <c r="D135" s="782"/>
      <c r="E135" s="782"/>
    </row>
    <row r="136" spans="1:5" s="33" customFormat="1" ht="16" thickBot="1" x14ac:dyDescent="0.4">
      <c r="A136" s="728" t="s">
        <v>18</v>
      </c>
      <c r="B136" s="785" t="s">
        <v>445</v>
      </c>
      <c r="C136" s="730">
        <f>SUM(C137:C142)</f>
        <v>0</v>
      </c>
      <c r="D136" s="730">
        <f>SUM(D137:D142)</f>
        <v>0</v>
      </c>
      <c r="E136" s="730">
        <f>SUM(E137:E142)</f>
        <v>0</v>
      </c>
    </row>
    <row r="137" spans="1:5" s="33" customFormat="1" x14ac:dyDescent="0.35">
      <c r="A137" s="732" t="s">
        <v>86</v>
      </c>
      <c r="B137" s="786" t="s">
        <v>454</v>
      </c>
      <c r="C137" s="782"/>
      <c r="D137" s="782"/>
      <c r="E137" s="782"/>
    </row>
    <row r="138" spans="1:5" s="33" customFormat="1" x14ac:dyDescent="0.35">
      <c r="A138" s="732" t="s">
        <v>87</v>
      </c>
      <c r="B138" s="786" t="s">
        <v>446</v>
      </c>
      <c r="C138" s="782"/>
      <c r="D138" s="782"/>
      <c r="E138" s="782"/>
    </row>
    <row r="139" spans="1:5" s="33" customFormat="1" x14ac:dyDescent="0.35">
      <c r="A139" s="732" t="s">
        <v>88</v>
      </c>
      <c r="B139" s="786" t="s">
        <v>447</v>
      </c>
      <c r="C139" s="782"/>
      <c r="D139" s="782"/>
      <c r="E139" s="782"/>
    </row>
    <row r="140" spans="1:5" s="33" customFormat="1" x14ac:dyDescent="0.35">
      <c r="A140" s="732" t="s">
        <v>164</v>
      </c>
      <c r="B140" s="786" t="s">
        <v>448</v>
      </c>
      <c r="C140" s="782"/>
      <c r="D140" s="782"/>
      <c r="E140" s="782"/>
    </row>
    <row r="141" spans="1:5" s="33" customFormat="1" x14ac:dyDescent="0.35">
      <c r="A141" s="732" t="s">
        <v>165</v>
      </c>
      <c r="B141" s="786" t="s">
        <v>449</v>
      </c>
      <c r="C141" s="782"/>
      <c r="D141" s="782"/>
      <c r="E141" s="782"/>
    </row>
    <row r="142" spans="1:5" s="33" customFormat="1" ht="16" thickBot="1" x14ac:dyDescent="0.4">
      <c r="A142" s="776" t="s">
        <v>166</v>
      </c>
      <c r="B142" s="786" t="s">
        <v>450</v>
      </c>
      <c r="C142" s="782"/>
      <c r="D142" s="782"/>
      <c r="E142" s="782"/>
    </row>
    <row r="143" spans="1:5" s="33" customFormat="1" ht="16" thickBot="1" x14ac:dyDescent="0.4">
      <c r="A143" s="728" t="s">
        <v>19</v>
      </c>
      <c r="B143" s="785" t="s">
        <v>458</v>
      </c>
      <c r="C143" s="744">
        <f>+C144+C145+C146+C147</f>
        <v>0</v>
      </c>
      <c r="D143" s="744">
        <f>+D144+D145+D146+D147</f>
        <v>0</v>
      </c>
      <c r="E143" s="744">
        <f>+E144+E145+E146+E147</f>
        <v>0</v>
      </c>
    </row>
    <row r="144" spans="1:5" s="33" customFormat="1" x14ac:dyDescent="0.35">
      <c r="A144" s="732" t="s">
        <v>89</v>
      </c>
      <c r="B144" s="786" t="s">
        <v>366</v>
      </c>
      <c r="C144" s="782"/>
      <c r="D144" s="782"/>
      <c r="E144" s="782"/>
    </row>
    <row r="145" spans="1:5" s="33" customFormat="1" x14ac:dyDescent="0.35">
      <c r="A145" s="732" t="s">
        <v>90</v>
      </c>
      <c r="B145" s="786" t="s">
        <v>367</v>
      </c>
      <c r="C145" s="782"/>
      <c r="D145" s="782"/>
      <c r="E145" s="782"/>
    </row>
    <row r="146" spans="1:5" s="33" customFormat="1" x14ac:dyDescent="0.35">
      <c r="A146" s="732" t="s">
        <v>281</v>
      </c>
      <c r="B146" s="786" t="s">
        <v>459</v>
      </c>
      <c r="C146" s="782"/>
      <c r="D146" s="782"/>
      <c r="E146" s="782"/>
    </row>
    <row r="147" spans="1:5" s="33" customFormat="1" ht="16" thickBot="1" x14ac:dyDescent="0.4">
      <c r="A147" s="776" t="s">
        <v>282</v>
      </c>
      <c r="B147" s="787" t="s">
        <v>385</v>
      </c>
      <c r="C147" s="782"/>
      <c r="D147" s="782"/>
      <c r="E147" s="782"/>
    </row>
    <row r="148" spans="1:5" s="33" customFormat="1" ht="16" thickBot="1" x14ac:dyDescent="0.4">
      <c r="A148" s="728" t="s">
        <v>20</v>
      </c>
      <c r="B148" s="785" t="s">
        <v>460</v>
      </c>
      <c r="C148" s="788">
        <f>SUM(C149:C153)</f>
        <v>0</v>
      </c>
      <c r="D148" s="788">
        <f>SUM(D149:D153)</f>
        <v>0</v>
      </c>
      <c r="E148" s="788">
        <f>SUM(E149:E153)</f>
        <v>0</v>
      </c>
    </row>
    <row r="149" spans="1:5" s="33" customFormat="1" x14ac:dyDescent="0.35">
      <c r="A149" s="732" t="s">
        <v>91</v>
      </c>
      <c r="B149" s="786" t="s">
        <v>455</v>
      </c>
      <c r="C149" s="782"/>
      <c r="D149" s="782"/>
      <c r="E149" s="782"/>
    </row>
    <row r="150" spans="1:5" s="33" customFormat="1" x14ac:dyDescent="0.35">
      <c r="A150" s="732" t="s">
        <v>92</v>
      </c>
      <c r="B150" s="786" t="s">
        <v>462</v>
      </c>
      <c r="C150" s="782"/>
      <c r="D150" s="782"/>
      <c r="E150" s="782"/>
    </row>
    <row r="151" spans="1:5" s="33" customFormat="1" x14ac:dyDescent="0.35">
      <c r="A151" s="732" t="s">
        <v>293</v>
      </c>
      <c r="B151" s="786" t="s">
        <v>457</v>
      </c>
      <c r="C151" s="782"/>
      <c r="D151" s="782"/>
      <c r="E151" s="782"/>
    </row>
    <row r="152" spans="1:5" s="33" customFormat="1" ht="31" x14ac:dyDescent="0.35">
      <c r="A152" s="732" t="s">
        <v>294</v>
      </c>
      <c r="B152" s="786" t="s">
        <v>463</v>
      </c>
      <c r="C152" s="782"/>
      <c r="D152" s="782"/>
      <c r="E152" s="782"/>
    </row>
    <row r="153" spans="1:5" s="33" customFormat="1" ht="16" thickBot="1" x14ac:dyDescent="0.4">
      <c r="A153" s="732" t="s">
        <v>461</v>
      </c>
      <c r="B153" s="786" t="s">
        <v>464</v>
      </c>
      <c r="C153" s="782"/>
      <c r="D153" s="782"/>
      <c r="E153" s="782"/>
    </row>
    <row r="154" spans="1:5" s="33" customFormat="1" ht="16" thickBot="1" x14ac:dyDescent="0.4">
      <c r="A154" s="728" t="s">
        <v>21</v>
      </c>
      <c r="B154" s="785" t="s">
        <v>465</v>
      </c>
      <c r="C154" s="789"/>
      <c r="D154" s="789"/>
      <c r="E154" s="789"/>
    </row>
    <row r="155" spans="1:5" s="33" customFormat="1" ht="16" thickBot="1" x14ac:dyDescent="0.4">
      <c r="A155" s="728" t="s">
        <v>22</v>
      </c>
      <c r="B155" s="785" t="s">
        <v>466</v>
      </c>
      <c r="C155" s="789"/>
      <c r="D155" s="789"/>
      <c r="E155" s="789"/>
    </row>
    <row r="156" spans="1:5" s="33" customFormat="1" ht="16" thickBot="1" x14ac:dyDescent="0.4">
      <c r="A156" s="728" t="s">
        <v>23</v>
      </c>
      <c r="B156" s="785" t="s">
        <v>468</v>
      </c>
      <c r="C156" s="790">
        <f>+C132+C136+C143+C148+C154+C155</f>
        <v>0</v>
      </c>
      <c r="D156" s="790">
        <f>+D132+D136+D143+D148+D154+D155</f>
        <v>0</v>
      </c>
      <c r="E156" s="790">
        <f>+E132+E136+E143+E148+E154+E155</f>
        <v>0</v>
      </c>
    </row>
    <row r="157" spans="1:5" s="731" customFormat="1" ht="16" thickBot="1" x14ac:dyDescent="0.4">
      <c r="A157" s="791" t="s">
        <v>24</v>
      </c>
      <c r="B157" s="792" t="s">
        <v>467</v>
      </c>
      <c r="C157" s="790">
        <f>+C131+C156</f>
        <v>135885306</v>
      </c>
      <c r="D157" s="790">
        <f>+D131+D156</f>
        <v>135885306</v>
      </c>
      <c r="E157" s="790">
        <f>+E131+E156</f>
        <v>90831656</v>
      </c>
    </row>
    <row r="160" spans="1:5" x14ac:dyDescent="0.3">
      <c r="C160" s="809">
        <f>C90-C157</f>
        <v>0</v>
      </c>
      <c r="D160" s="809">
        <f>D90-D157</f>
        <v>0</v>
      </c>
      <c r="E160" s="809">
        <f>E90-E157</f>
        <v>0</v>
      </c>
    </row>
  </sheetData>
  <sheetProtection formatCells="0"/>
  <mergeCells count="2">
    <mergeCell ref="A92:B92"/>
    <mergeCell ref="A93:B93"/>
  </mergeCells>
  <phoneticPr fontId="5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9" orientation="portrait" verticalDpi="300" r:id="rId1"/>
  <headerFooter alignWithMargins="0">
    <oddFooter>&amp;P. oldal, összesen: &amp;N</oddFooter>
  </headerFooter>
  <rowBreaks count="3" manualBreakCount="3">
    <brk id="49" max="16383" man="1"/>
    <brk id="90" max="16383" man="1"/>
    <brk id="13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6">
    <tabColor rgb="FF7030A0"/>
  </sheetPr>
  <dimension ref="A1:E158"/>
  <sheetViews>
    <sheetView zoomScaleNormal="100" zoomScaleSheetLayoutView="85" workbookViewId="0">
      <selection activeCell="B1" sqref="B1"/>
    </sheetView>
  </sheetViews>
  <sheetFormatPr defaultColWidth="9.296875" defaultRowHeight="13" x14ac:dyDescent="0.3"/>
  <cols>
    <col min="1" max="1" width="19.5" style="28" customWidth="1"/>
    <col min="2" max="2" width="72" style="9" customWidth="1"/>
    <col min="3" max="5" width="25" style="29" customWidth="1"/>
    <col min="6" max="16384" width="9.296875" style="109"/>
  </cols>
  <sheetData>
    <row r="1" spans="1:5" s="102" customFormat="1" ht="16.5" customHeight="1" thickBot="1" x14ac:dyDescent="0.35">
      <c r="A1" s="1"/>
      <c r="B1" s="103" t="s">
        <v>745</v>
      </c>
      <c r="C1" s="103"/>
      <c r="D1" s="103"/>
      <c r="E1" s="103"/>
    </row>
    <row r="2" spans="1:5" s="105" customFormat="1" ht="21" customHeight="1" x14ac:dyDescent="0.3">
      <c r="A2" s="2" t="s">
        <v>56</v>
      </c>
      <c r="B2" s="3" t="s">
        <v>535</v>
      </c>
      <c r="C2" s="104" t="s">
        <v>49</v>
      </c>
      <c r="D2" s="104" t="s">
        <v>49</v>
      </c>
      <c r="E2" s="104" t="s">
        <v>49</v>
      </c>
    </row>
    <row r="3" spans="1:5" s="105" customFormat="1" ht="15.5" thickBot="1" x14ac:dyDescent="0.35">
      <c r="A3" s="106" t="s">
        <v>191</v>
      </c>
      <c r="B3" s="4" t="s">
        <v>518</v>
      </c>
      <c r="C3" s="107" t="s">
        <v>424</v>
      </c>
      <c r="D3" s="107" t="s">
        <v>424</v>
      </c>
      <c r="E3" s="107" t="s">
        <v>424</v>
      </c>
    </row>
    <row r="4" spans="1:5" s="108" customFormat="1" ht="16" customHeight="1" thickBot="1" x14ac:dyDescent="0.4">
      <c r="A4" s="5"/>
      <c r="B4" s="5"/>
      <c r="C4" s="6" t="s">
        <v>579</v>
      </c>
      <c r="D4" s="6" t="s">
        <v>579</v>
      </c>
      <c r="E4" s="6" t="s">
        <v>579</v>
      </c>
    </row>
    <row r="5" spans="1:5" ht="26.5" thickBot="1" x14ac:dyDescent="0.35">
      <c r="A5" s="7" t="s">
        <v>193</v>
      </c>
      <c r="B5" s="8" t="s">
        <v>50</v>
      </c>
      <c r="C5" s="517" t="s">
        <v>640</v>
      </c>
      <c r="D5" s="517" t="s">
        <v>724</v>
      </c>
      <c r="E5" s="654" t="s">
        <v>730</v>
      </c>
    </row>
    <row r="6" spans="1:5" s="110" customFormat="1" ht="13" customHeight="1" thickBot="1" x14ac:dyDescent="0.35">
      <c r="A6" s="10" t="s">
        <v>482</v>
      </c>
      <c r="B6" s="11" t="s">
        <v>483</v>
      </c>
      <c r="C6" s="12" t="s">
        <v>484</v>
      </c>
      <c r="D6" s="12" t="s">
        <v>484</v>
      </c>
      <c r="E6" s="12" t="s">
        <v>484</v>
      </c>
    </row>
    <row r="7" spans="1:5" s="110" customFormat="1" ht="16" customHeight="1" thickBot="1" x14ac:dyDescent="0.35">
      <c r="A7" s="13"/>
      <c r="B7" s="14" t="s">
        <v>51</v>
      </c>
      <c r="C7" s="111"/>
      <c r="D7" s="111"/>
      <c r="E7" s="111"/>
    </row>
    <row r="8" spans="1:5" s="110" customFormat="1" ht="12" customHeight="1" thickBot="1" x14ac:dyDescent="0.35">
      <c r="A8" s="74" t="s">
        <v>14</v>
      </c>
      <c r="B8" s="40" t="s">
        <v>241</v>
      </c>
      <c r="C8" s="41">
        <f>+C9+C10+C11+C12+C13+C14</f>
        <v>0</v>
      </c>
      <c r="D8" s="41">
        <f>+D9+D10+D11+D12+D13+D14</f>
        <v>0</v>
      </c>
      <c r="E8" s="41">
        <f>+E9+E10+E11+E12+E13+E14</f>
        <v>0</v>
      </c>
    </row>
    <row r="9" spans="1:5" s="189" customFormat="1" ht="12" customHeight="1" x14ac:dyDescent="0.25">
      <c r="A9" s="188" t="s">
        <v>93</v>
      </c>
      <c r="B9" s="44" t="s">
        <v>242</v>
      </c>
      <c r="C9" s="45"/>
      <c r="D9" s="45"/>
      <c r="E9" s="45"/>
    </row>
    <row r="10" spans="1:5" s="191" customFormat="1" ht="12" customHeight="1" x14ac:dyDescent="0.25">
      <c r="A10" s="190" t="s">
        <v>94</v>
      </c>
      <c r="B10" s="47" t="s">
        <v>243</v>
      </c>
      <c r="C10" s="48"/>
      <c r="D10" s="48"/>
      <c r="E10" s="48"/>
    </row>
    <row r="11" spans="1:5" s="191" customFormat="1" ht="12" customHeight="1" x14ac:dyDescent="0.25">
      <c r="A11" s="190" t="s">
        <v>95</v>
      </c>
      <c r="B11" s="47" t="s">
        <v>244</v>
      </c>
      <c r="C11" s="48"/>
      <c r="D11" s="48"/>
      <c r="E11" s="48"/>
    </row>
    <row r="12" spans="1:5" s="191" customFormat="1" ht="12" customHeight="1" x14ac:dyDescent="0.25">
      <c r="A12" s="190" t="s">
        <v>96</v>
      </c>
      <c r="B12" s="47" t="s">
        <v>245</v>
      </c>
      <c r="C12" s="48"/>
      <c r="D12" s="48"/>
      <c r="E12" s="48"/>
    </row>
    <row r="13" spans="1:5" s="191" customFormat="1" ht="12" customHeight="1" x14ac:dyDescent="0.25">
      <c r="A13" s="190" t="s">
        <v>139</v>
      </c>
      <c r="B13" s="47" t="s">
        <v>496</v>
      </c>
      <c r="C13" s="48"/>
      <c r="D13" s="48"/>
      <c r="E13" s="48"/>
    </row>
    <row r="14" spans="1:5" s="189" customFormat="1" ht="12" customHeight="1" thickBot="1" x14ac:dyDescent="0.3">
      <c r="A14" s="192" t="s">
        <v>97</v>
      </c>
      <c r="B14" s="54" t="s">
        <v>426</v>
      </c>
      <c r="C14" s="48"/>
      <c r="D14" s="48"/>
      <c r="E14" s="48"/>
    </row>
    <row r="15" spans="1:5" s="189" customFormat="1" ht="12" customHeight="1" thickBot="1" x14ac:dyDescent="0.35">
      <c r="A15" s="74" t="s">
        <v>15</v>
      </c>
      <c r="B15" s="52" t="s">
        <v>246</v>
      </c>
      <c r="C15" s="41">
        <f>+C16+C17+C18+C19+C20</f>
        <v>0</v>
      </c>
      <c r="D15" s="41">
        <f>+D16+D17+D18+D19+D20</f>
        <v>0</v>
      </c>
      <c r="E15" s="41">
        <f>+E16+E17+E18+E19+E20</f>
        <v>0</v>
      </c>
    </row>
    <row r="16" spans="1:5" s="189" customFormat="1" ht="12" customHeight="1" x14ac:dyDescent="0.25">
      <c r="A16" s="188" t="s">
        <v>99</v>
      </c>
      <c r="B16" s="44" t="s">
        <v>247</v>
      </c>
      <c r="C16" s="45"/>
      <c r="D16" s="45"/>
      <c r="E16" s="45"/>
    </row>
    <row r="17" spans="1:5" s="189" customFormat="1" ht="12" customHeight="1" x14ac:dyDescent="0.25">
      <c r="A17" s="190" t="s">
        <v>100</v>
      </c>
      <c r="B17" s="47" t="s">
        <v>248</v>
      </c>
      <c r="C17" s="48"/>
      <c r="D17" s="48"/>
      <c r="E17" s="48"/>
    </row>
    <row r="18" spans="1:5" s="189" customFormat="1" ht="12" customHeight="1" x14ac:dyDescent="0.25">
      <c r="A18" s="190" t="s">
        <v>101</v>
      </c>
      <c r="B18" s="47" t="s">
        <v>415</v>
      </c>
      <c r="C18" s="48"/>
      <c r="D18" s="48"/>
      <c r="E18" s="48"/>
    </row>
    <row r="19" spans="1:5" s="189" customFormat="1" ht="12" customHeight="1" x14ac:dyDescent="0.25">
      <c r="A19" s="190" t="s">
        <v>102</v>
      </c>
      <c r="B19" s="47" t="s">
        <v>416</v>
      </c>
      <c r="C19" s="48"/>
      <c r="D19" s="48"/>
      <c r="E19" s="48"/>
    </row>
    <row r="20" spans="1:5" s="189" customFormat="1" ht="12" customHeight="1" x14ac:dyDescent="0.25">
      <c r="A20" s="190" t="s">
        <v>103</v>
      </c>
      <c r="B20" s="47" t="s">
        <v>249</v>
      </c>
      <c r="C20" s="48"/>
      <c r="D20" s="48"/>
      <c r="E20" s="48"/>
    </row>
    <row r="21" spans="1:5" s="191" customFormat="1" ht="12" customHeight="1" thickBot="1" x14ac:dyDescent="0.3">
      <c r="A21" s="192" t="s">
        <v>112</v>
      </c>
      <c r="B21" s="54" t="s">
        <v>250</v>
      </c>
      <c r="C21" s="53"/>
      <c r="D21" s="53"/>
      <c r="E21" s="53"/>
    </row>
    <row r="22" spans="1:5" s="191" customFormat="1" ht="12" customHeight="1" thickBot="1" x14ac:dyDescent="0.35">
      <c r="A22" s="74" t="s">
        <v>16</v>
      </c>
      <c r="B22" s="40" t="s">
        <v>251</v>
      </c>
      <c r="C22" s="41">
        <f>+C23+C24+C25+C26+C27</f>
        <v>0</v>
      </c>
      <c r="D22" s="41">
        <f>+D23+D24+D25+D26+D27</f>
        <v>0</v>
      </c>
      <c r="E22" s="41">
        <f>+E23+E24+E25+E26+E27</f>
        <v>0</v>
      </c>
    </row>
    <row r="23" spans="1:5" s="191" customFormat="1" ht="12" customHeight="1" x14ac:dyDescent="0.25">
      <c r="A23" s="188" t="s">
        <v>82</v>
      </c>
      <c r="B23" s="44" t="s">
        <v>252</v>
      </c>
      <c r="C23" s="45"/>
      <c r="D23" s="45"/>
      <c r="E23" s="45"/>
    </row>
    <row r="24" spans="1:5" s="189" customFormat="1" ht="12" customHeight="1" x14ac:dyDescent="0.25">
      <c r="A24" s="190" t="s">
        <v>83</v>
      </c>
      <c r="B24" s="47" t="s">
        <v>253</v>
      </c>
      <c r="C24" s="48"/>
      <c r="D24" s="48"/>
      <c r="E24" s="48"/>
    </row>
    <row r="25" spans="1:5" s="191" customFormat="1" ht="12" customHeight="1" x14ac:dyDescent="0.25">
      <c r="A25" s="190" t="s">
        <v>84</v>
      </c>
      <c r="B25" s="47" t="s">
        <v>417</v>
      </c>
      <c r="C25" s="48"/>
      <c r="D25" s="48"/>
      <c r="E25" s="48"/>
    </row>
    <row r="26" spans="1:5" s="191" customFormat="1" ht="12" customHeight="1" x14ac:dyDescent="0.25">
      <c r="A26" s="190" t="s">
        <v>85</v>
      </c>
      <c r="B26" s="47" t="s">
        <v>418</v>
      </c>
      <c r="C26" s="48"/>
      <c r="D26" s="48"/>
      <c r="E26" s="48"/>
    </row>
    <row r="27" spans="1:5" s="191" customFormat="1" ht="12" customHeight="1" x14ac:dyDescent="0.25">
      <c r="A27" s="190" t="s">
        <v>160</v>
      </c>
      <c r="B27" s="47" t="s">
        <v>254</v>
      </c>
      <c r="C27" s="48"/>
      <c r="D27" s="48"/>
      <c r="E27" s="48"/>
    </row>
    <row r="28" spans="1:5" s="191" customFormat="1" ht="12" customHeight="1" thickBot="1" x14ac:dyDescent="0.3">
      <c r="A28" s="192" t="s">
        <v>161</v>
      </c>
      <c r="B28" s="54" t="s">
        <v>255</v>
      </c>
      <c r="C28" s="53"/>
      <c r="D28" s="53"/>
      <c r="E28" s="53"/>
    </row>
    <row r="29" spans="1:5" s="191" customFormat="1" ht="12" customHeight="1" thickBot="1" x14ac:dyDescent="0.35">
      <c r="A29" s="74" t="s">
        <v>162</v>
      </c>
      <c r="B29" s="40" t="s">
        <v>256</v>
      </c>
      <c r="C29" s="55">
        <f>+C30+C34+C35+C36</f>
        <v>0</v>
      </c>
      <c r="D29" s="55">
        <f>+D30+D34+D35+D36</f>
        <v>0</v>
      </c>
      <c r="E29" s="55">
        <f>+E30+E34+E35+E36</f>
        <v>0</v>
      </c>
    </row>
    <row r="30" spans="1:5" s="191" customFormat="1" ht="12" customHeight="1" x14ac:dyDescent="0.25">
      <c r="A30" s="188" t="s">
        <v>257</v>
      </c>
      <c r="B30" s="44" t="s">
        <v>497</v>
      </c>
      <c r="C30" s="56">
        <f>+C31+C32+C33</f>
        <v>0</v>
      </c>
      <c r="D30" s="56">
        <f>+D31+D32+D33</f>
        <v>0</v>
      </c>
      <c r="E30" s="56">
        <f>+E31+E32+E33</f>
        <v>0</v>
      </c>
    </row>
    <row r="31" spans="1:5" s="191" customFormat="1" ht="12" customHeight="1" x14ac:dyDescent="0.25">
      <c r="A31" s="190" t="s">
        <v>258</v>
      </c>
      <c r="B31" s="47" t="s">
        <v>263</v>
      </c>
      <c r="C31" s="48"/>
      <c r="D31" s="48"/>
      <c r="E31" s="48"/>
    </row>
    <row r="32" spans="1:5" s="191" customFormat="1" ht="12" customHeight="1" x14ac:dyDescent="0.25">
      <c r="A32" s="190" t="s">
        <v>259</v>
      </c>
      <c r="B32" s="47" t="s">
        <v>264</v>
      </c>
      <c r="C32" s="48"/>
      <c r="D32" s="48"/>
      <c r="E32" s="48"/>
    </row>
    <row r="33" spans="1:5" s="191" customFormat="1" ht="12" customHeight="1" x14ac:dyDescent="0.25">
      <c r="A33" s="190" t="s">
        <v>430</v>
      </c>
      <c r="B33" s="57" t="s">
        <v>431</v>
      </c>
      <c r="C33" s="48"/>
      <c r="D33" s="48"/>
      <c r="E33" s="48"/>
    </row>
    <row r="34" spans="1:5" s="191" customFormat="1" ht="12" customHeight="1" x14ac:dyDescent="0.25">
      <c r="A34" s="190" t="s">
        <v>260</v>
      </c>
      <c r="B34" s="47" t="s">
        <v>265</v>
      </c>
      <c r="C34" s="48"/>
      <c r="D34" s="48"/>
      <c r="E34" s="48"/>
    </row>
    <row r="35" spans="1:5" s="191" customFormat="1" ht="12" customHeight="1" x14ac:dyDescent="0.25">
      <c r="A35" s="190" t="s">
        <v>261</v>
      </c>
      <c r="B35" s="47" t="s">
        <v>266</v>
      </c>
      <c r="C35" s="48"/>
      <c r="D35" s="48"/>
      <c r="E35" s="48"/>
    </row>
    <row r="36" spans="1:5" s="191" customFormat="1" ht="12" customHeight="1" thickBot="1" x14ac:dyDescent="0.3">
      <c r="A36" s="192" t="s">
        <v>262</v>
      </c>
      <c r="B36" s="54" t="s">
        <v>267</v>
      </c>
      <c r="C36" s="53"/>
      <c r="D36" s="53"/>
      <c r="E36" s="53"/>
    </row>
    <row r="37" spans="1:5" s="191" customFormat="1" ht="12" customHeight="1" thickBot="1" x14ac:dyDescent="0.35">
      <c r="A37" s="74" t="s">
        <v>18</v>
      </c>
      <c r="B37" s="40" t="s">
        <v>427</v>
      </c>
      <c r="C37" s="41">
        <f>SUM(C38:C48)</f>
        <v>0</v>
      </c>
      <c r="D37" s="41">
        <f>SUM(D38:D48)</f>
        <v>0</v>
      </c>
      <c r="E37" s="41">
        <f>SUM(E38:E48)</f>
        <v>0</v>
      </c>
    </row>
    <row r="38" spans="1:5" s="191" customFormat="1" ht="12" customHeight="1" x14ac:dyDescent="0.25">
      <c r="A38" s="188" t="s">
        <v>86</v>
      </c>
      <c r="B38" s="44" t="s">
        <v>270</v>
      </c>
      <c r="C38" s="45"/>
      <c r="D38" s="45"/>
      <c r="E38" s="45"/>
    </row>
    <row r="39" spans="1:5" s="191" customFormat="1" ht="12" customHeight="1" x14ac:dyDescent="0.25">
      <c r="A39" s="190" t="s">
        <v>87</v>
      </c>
      <c r="B39" s="47" t="s">
        <v>271</v>
      </c>
      <c r="C39" s="48"/>
      <c r="D39" s="48"/>
      <c r="E39" s="48"/>
    </row>
    <row r="40" spans="1:5" s="191" customFormat="1" ht="12" customHeight="1" x14ac:dyDescent="0.25">
      <c r="A40" s="190" t="s">
        <v>88</v>
      </c>
      <c r="B40" s="47" t="s">
        <v>272</v>
      </c>
      <c r="C40" s="48"/>
      <c r="D40" s="48"/>
      <c r="E40" s="48"/>
    </row>
    <row r="41" spans="1:5" s="191" customFormat="1" ht="12" customHeight="1" x14ac:dyDescent="0.25">
      <c r="A41" s="190" t="s">
        <v>164</v>
      </c>
      <c r="B41" s="47" t="s">
        <v>273</v>
      </c>
      <c r="C41" s="48"/>
      <c r="D41" s="48"/>
      <c r="E41" s="48"/>
    </row>
    <row r="42" spans="1:5" s="191" customFormat="1" ht="12" customHeight="1" x14ac:dyDescent="0.25">
      <c r="A42" s="190" t="s">
        <v>165</v>
      </c>
      <c r="B42" s="47" t="s">
        <v>274</v>
      </c>
      <c r="C42" s="48"/>
      <c r="D42" s="48"/>
      <c r="E42" s="48"/>
    </row>
    <row r="43" spans="1:5" s="191" customFormat="1" ht="12" customHeight="1" x14ac:dyDescent="0.25">
      <c r="A43" s="190" t="s">
        <v>166</v>
      </c>
      <c r="B43" s="47" t="s">
        <v>275</v>
      </c>
      <c r="C43" s="48"/>
      <c r="D43" s="48"/>
      <c r="E43" s="48"/>
    </row>
    <row r="44" spans="1:5" s="191" customFormat="1" ht="12" customHeight="1" x14ac:dyDescent="0.25">
      <c r="A44" s="190" t="s">
        <v>167</v>
      </c>
      <c r="B44" s="47" t="s">
        <v>276</v>
      </c>
      <c r="C44" s="48"/>
      <c r="D44" s="48"/>
      <c r="E44" s="48"/>
    </row>
    <row r="45" spans="1:5" s="191" customFormat="1" ht="12" customHeight="1" x14ac:dyDescent="0.25">
      <c r="A45" s="190" t="s">
        <v>168</v>
      </c>
      <c r="B45" s="47" t="s">
        <v>277</v>
      </c>
      <c r="C45" s="48"/>
      <c r="D45" s="48"/>
      <c r="E45" s="48"/>
    </row>
    <row r="46" spans="1:5" s="191" customFormat="1" ht="12" customHeight="1" x14ac:dyDescent="0.25">
      <c r="A46" s="190" t="s">
        <v>268</v>
      </c>
      <c r="B46" s="47" t="s">
        <v>278</v>
      </c>
      <c r="C46" s="58"/>
      <c r="D46" s="58"/>
      <c r="E46" s="58"/>
    </row>
    <row r="47" spans="1:5" s="191" customFormat="1" ht="12" customHeight="1" x14ac:dyDescent="0.25">
      <c r="A47" s="192" t="s">
        <v>269</v>
      </c>
      <c r="B47" s="54" t="s">
        <v>429</v>
      </c>
      <c r="C47" s="59"/>
      <c r="D47" s="59"/>
      <c r="E47" s="59"/>
    </row>
    <row r="48" spans="1:5" s="191" customFormat="1" ht="12" customHeight="1" thickBot="1" x14ac:dyDescent="0.3">
      <c r="A48" s="192" t="s">
        <v>428</v>
      </c>
      <c r="B48" s="54" t="s">
        <v>279</v>
      </c>
      <c r="C48" s="59"/>
      <c r="D48" s="59"/>
      <c r="E48" s="59"/>
    </row>
    <row r="49" spans="1:5" s="191" customFormat="1" ht="12" customHeight="1" thickBot="1" x14ac:dyDescent="0.35">
      <c r="A49" s="74" t="s">
        <v>19</v>
      </c>
      <c r="B49" s="40" t="s">
        <v>280</v>
      </c>
      <c r="C49" s="41">
        <f>SUM(C50:C54)</f>
        <v>0</v>
      </c>
      <c r="D49" s="41">
        <f>SUM(D50:D54)</f>
        <v>0</v>
      </c>
      <c r="E49" s="41">
        <f>SUM(E50:E54)</f>
        <v>0</v>
      </c>
    </row>
    <row r="50" spans="1:5" s="191" customFormat="1" ht="12" customHeight="1" x14ac:dyDescent="0.25">
      <c r="A50" s="188" t="s">
        <v>89</v>
      </c>
      <c r="B50" s="44" t="s">
        <v>284</v>
      </c>
      <c r="C50" s="60"/>
      <c r="D50" s="60"/>
      <c r="E50" s="60"/>
    </row>
    <row r="51" spans="1:5" s="191" customFormat="1" ht="12" customHeight="1" x14ac:dyDescent="0.25">
      <c r="A51" s="190" t="s">
        <v>90</v>
      </c>
      <c r="B51" s="47" t="s">
        <v>285</v>
      </c>
      <c r="C51" s="58"/>
      <c r="D51" s="58"/>
      <c r="E51" s="58"/>
    </row>
    <row r="52" spans="1:5" s="191" customFormat="1" ht="12" customHeight="1" x14ac:dyDescent="0.25">
      <c r="A52" s="190" t="s">
        <v>281</v>
      </c>
      <c r="B52" s="47" t="s">
        <v>286</v>
      </c>
      <c r="C52" s="58"/>
      <c r="D52" s="58"/>
      <c r="E52" s="58"/>
    </row>
    <row r="53" spans="1:5" s="191" customFormat="1" ht="12" customHeight="1" x14ac:dyDescent="0.25">
      <c r="A53" s="190" t="s">
        <v>282</v>
      </c>
      <c r="B53" s="47" t="s">
        <v>287</v>
      </c>
      <c r="C53" s="58"/>
      <c r="D53" s="58"/>
      <c r="E53" s="58"/>
    </row>
    <row r="54" spans="1:5" s="191" customFormat="1" ht="12" customHeight="1" thickBot="1" x14ac:dyDescent="0.3">
      <c r="A54" s="192" t="s">
        <v>283</v>
      </c>
      <c r="B54" s="54" t="s">
        <v>288</v>
      </c>
      <c r="C54" s="59"/>
      <c r="D54" s="59"/>
      <c r="E54" s="59"/>
    </row>
    <row r="55" spans="1:5" s="191" customFormat="1" ht="12" customHeight="1" thickBot="1" x14ac:dyDescent="0.35">
      <c r="A55" s="74" t="s">
        <v>169</v>
      </c>
      <c r="B55" s="40" t="s">
        <v>289</v>
      </c>
      <c r="C55" s="41">
        <f>SUM(C56:C58)</f>
        <v>0</v>
      </c>
      <c r="D55" s="41">
        <f>SUM(D56:D58)</f>
        <v>0</v>
      </c>
      <c r="E55" s="41">
        <f>SUM(E56:E58)</f>
        <v>0</v>
      </c>
    </row>
    <row r="56" spans="1:5" s="191" customFormat="1" ht="12" customHeight="1" x14ac:dyDescent="0.25">
      <c r="A56" s="188" t="s">
        <v>91</v>
      </c>
      <c r="B56" s="44" t="s">
        <v>290</v>
      </c>
      <c r="C56" s="45"/>
      <c r="D56" s="45"/>
      <c r="E56" s="45"/>
    </row>
    <row r="57" spans="1:5" s="191" customFormat="1" ht="12" customHeight="1" x14ac:dyDescent="0.25">
      <c r="A57" s="190" t="s">
        <v>92</v>
      </c>
      <c r="B57" s="47" t="s">
        <v>419</v>
      </c>
      <c r="C57" s="48"/>
      <c r="D57" s="48"/>
      <c r="E57" s="48"/>
    </row>
    <row r="58" spans="1:5" s="191" customFormat="1" ht="12" customHeight="1" x14ac:dyDescent="0.25">
      <c r="A58" s="190" t="s">
        <v>293</v>
      </c>
      <c r="B58" s="47" t="s">
        <v>291</v>
      </c>
      <c r="C58" s="48"/>
      <c r="D58" s="48"/>
      <c r="E58" s="48"/>
    </row>
    <row r="59" spans="1:5" s="191" customFormat="1" ht="12" customHeight="1" thickBot="1" x14ac:dyDescent="0.3">
      <c r="A59" s="192" t="s">
        <v>294</v>
      </c>
      <c r="B59" s="54" t="s">
        <v>292</v>
      </c>
      <c r="C59" s="53"/>
      <c r="D59" s="53"/>
      <c r="E59" s="53"/>
    </row>
    <row r="60" spans="1:5" s="191" customFormat="1" ht="12" customHeight="1" thickBot="1" x14ac:dyDescent="0.35">
      <c r="A60" s="74" t="s">
        <v>21</v>
      </c>
      <c r="B60" s="52" t="s">
        <v>295</v>
      </c>
      <c r="C60" s="41">
        <f>SUM(C61:C63)</f>
        <v>0</v>
      </c>
      <c r="D60" s="41">
        <f>SUM(D61:D63)</f>
        <v>0</v>
      </c>
      <c r="E60" s="41">
        <f>SUM(E61:E63)</f>
        <v>0</v>
      </c>
    </row>
    <row r="61" spans="1:5" s="191" customFormat="1" ht="12" customHeight="1" x14ac:dyDescent="0.25">
      <c r="A61" s="188" t="s">
        <v>170</v>
      </c>
      <c r="B61" s="44" t="s">
        <v>297</v>
      </c>
      <c r="C61" s="58"/>
      <c r="D61" s="58"/>
      <c r="E61" s="58"/>
    </row>
    <row r="62" spans="1:5" s="191" customFormat="1" ht="12" customHeight="1" x14ac:dyDescent="0.25">
      <c r="A62" s="190" t="s">
        <v>171</v>
      </c>
      <c r="B62" s="47" t="s">
        <v>420</v>
      </c>
      <c r="C62" s="58"/>
      <c r="D62" s="58"/>
      <c r="E62" s="58"/>
    </row>
    <row r="63" spans="1:5" s="191" customFormat="1" ht="12" customHeight="1" x14ac:dyDescent="0.25">
      <c r="A63" s="190" t="s">
        <v>218</v>
      </c>
      <c r="B63" s="47" t="s">
        <v>298</v>
      </c>
      <c r="C63" s="58"/>
      <c r="D63" s="58"/>
      <c r="E63" s="58"/>
    </row>
    <row r="64" spans="1:5" s="191" customFormat="1" ht="12" customHeight="1" thickBot="1" x14ac:dyDescent="0.3">
      <c r="A64" s="192" t="s">
        <v>296</v>
      </c>
      <c r="B64" s="54" t="s">
        <v>299</v>
      </c>
      <c r="C64" s="58"/>
      <c r="D64" s="58"/>
      <c r="E64" s="58"/>
    </row>
    <row r="65" spans="1:5" s="191" customFormat="1" ht="12" customHeight="1" thickBot="1" x14ac:dyDescent="0.35">
      <c r="A65" s="74" t="s">
        <v>22</v>
      </c>
      <c r="B65" s="40" t="s">
        <v>300</v>
      </c>
      <c r="C65" s="55">
        <f>+C8+C15+C22+C29+C37+C49+C55+C60</f>
        <v>0</v>
      </c>
      <c r="D65" s="55">
        <f>+D8+D15+D22+D29+D37+D49+D55+D60</f>
        <v>0</v>
      </c>
      <c r="E65" s="55">
        <f>+E8+E15+E22+E29+E37+E49+E55+E60</f>
        <v>0</v>
      </c>
    </row>
    <row r="66" spans="1:5" s="191" customFormat="1" ht="12" customHeight="1" thickBot="1" x14ac:dyDescent="0.3">
      <c r="A66" s="193" t="s">
        <v>389</v>
      </c>
      <c r="B66" s="52" t="s">
        <v>302</v>
      </c>
      <c r="C66" s="41">
        <f>SUM(C67:C69)</f>
        <v>0</v>
      </c>
      <c r="D66" s="41">
        <f>SUM(D67:D69)</f>
        <v>0</v>
      </c>
      <c r="E66" s="41">
        <f>SUM(E67:E69)</f>
        <v>0</v>
      </c>
    </row>
    <row r="67" spans="1:5" s="191" customFormat="1" ht="12" customHeight="1" x14ac:dyDescent="0.25">
      <c r="A67" s="188" t="s">
        <v>333</v>
      </c>
      <c r="B67" s="44" t="s">
        <v>303</v>
      </c>
      <c r="C67" s="58"/>
      <c r="D67" s="58"/>
      <c r="E67" s="58"/>
    </row>
    <row r="68" spans="1:5" s="191" customFormat="1" ht="12" customHeight="1" x14ac:dyDescent="0.25">
      <c r="A68" s="190" t="s">
        <v>342</v>
      </c>
      <c r="B68" s="47" t="s">
        <v>304</v>
      </c>
      <c r="C68" s="58"/>
      <c r="D68" s="58"/>
      <c r="E68" s="58"/>
    </row>
    <row r="69" spans="1:5" s="191" customFormat="1" ht="12" customHeight="1" thickBot="1" x14ac:dyDescent="0.3">
      <c r="A69" s="192" t="s">
        <v>343</v>
      </c>
      <c r="B69" s="194" t="s">
        <v>305</v>
      </c>
      <c r="C69" s="58"/>
      <c r="D69" s="58"/>
      <c r="E69" s="58"/>
    </row>
    <row r="70" spans="1:5" s="191" customFormat="1" ht="12" customHeight="1" thickBot="1" x14ac:dyDescent="0.3">
      <c r="A70" s="193" t="s">
        <v>306</v>
      </c>
      <c r="B70" s="52" t="s">
        <v>307</v>
      </c>
      <c r="C70" s="41">
        <f>SUM(C71:C74)</f>
        <v>0</v>
      </c>
      <c r="D70" s="41">
        <f>SUM(D71:D74)</f>
        <v>0</v>
      </c>
      <c r="E70" s="41">
        <f>SUM(E71:E74)</f>
        <v>0</v>
      </c>
    </row>
    <row r="71" spans="1:5" s="191" customFormat="1" ht="12" customHeight="1" x14ac:dyDescent="0.25">
      <c r="A71" s="188" t="s">
        <v>140</v>
      </c>
      <c r="B71" s="44" t="s">
        <v>308</v>
      </c>
      <c r="C71" s="58"/>
      <c r="D71" s="58"/>
      <c r="E71" s="58"/>
    </row>
    <row r="72" spans="1:5" s="191" customFormat="1" ht="12" customHeight="1" x14ac:dyDescent="0.25">
      <c r="A72" s="190" t="s">
        <v>141</v>
      </c>
      <c r="B72" s="47" t="s">
        <v>309</v>
      </c>
      <c r="C72" s="58"/>
      <c r="D72" s="58"/>
      <c r="E72" s="58"/>
    </row>
    <row r="73" spans="1:5" s="191" customFormat="1" ht="12" customHeight="1" x14ac:dyDescent="0.25">
      <c r="A73" s="190" t="s">
        <v>334</v>
      </c>
      <c r="B73" s="47" t="s">
        <v>310</v>
      </c>
      <c r="C73" s="58"/>
      <c r="D73" s="58"/>
      <c r="E73" s="58"/>
    </row>
    <row r="74" spans="1:5" s="191" customFormat="1" ht="12" customHeight="1" thickBot="1" x14ac:dyDescent="0.3">
      <c r="A74" s="192" t="s">
        <v>335</v>
      </c>
      <c r="B74" s="54" t="s">
        <v>311</v>
      </c>
      <c r="C74" s="58"/>
      <c r="D74" s="58"/>
      <c r="E74" s="58"/>
    </row>
    <row r="75" spans="1:5" s="191" customFormat="1" ht="12" customHeight="1" thickBot="1" x14ac:dyDescent="0.3">
      <c r="A75" s="193" t="s">
        <v>312</v>
      </c>
      <c r="B75" s="52" t="s">
        <v>313</v>
      </c>
      <c r="C75" s="41">
        <f>SUM(C76:C77)</f>
        <v>0</v>
      </c>
      <c r="D75" s="41">
        <f>SUM(D76:D77)</f>
        <v>0</v>
      </c>
      <c r="E75" s="41">
        <f>SUM(E76:E77)</f>
        <v>0</v>
      </c>
    </row>
    <row r="76" spans="1:5" s="191" customFormat="1" ht="12" customHeight="1" x14ac:dyDescent="0.25">
      <c r="A76" s="188" t="s">
        <v>336</v>
      </c>
      <c r="B76" s="44" t="s">
        <v>314</v>
      </c>
      <c r="C76" s="58"/>
      <c r="D76" s="58"/>
      <c r="E76" s="58"/>
    </row>
    <row r="77" spans="1:5" s="191" customFormat="1" ht="12" customHeight="1" thickBot="1" x14ac:dyDescent="0.3">
      <c r="A77" s="192" t="s">
        <v>337</v>
      </c>
      <c r="B77" s="54" t="s">
        <v>315</v>
      </c>
      <c r="C77" s="58"/>
      <c r="D77" s="58"/>
      <c r="E77" s="58"/>
    </row>
    <row r="78" spans="1:5" s="189" customFormat="1" ht="12" customHeight="1" thickBot="1" x14ac:dyDescent="0.3">
      <c r="A78" s="193" t="s">
        <v>316</v>
      </c>
      <c r="B78" s="52" t="s">
        <v>317</v>
      </c>
      <c r="C78" s="41">
        <f>SUM(C79:C81)</f>
        <v>0</v>
      </c>
      <c r="D78" s="41">
        <f>SUM(D79:D81)</f>
        <v>0</v>
      </c>
      <c r="E78" s="41">
        <f>SUM(E79:E81)</f>
        <v>0</v>
      </c>
    </row>
    <row r="79" spans="1:5" s="191" customFormat="1" ht="12" customHeight="1" x14ac:dyDescent="0.25">
      <c r="A79" s="188" t="s">
        <v>338</v>
      </c>
      <c r="B79" s="44" t="s">
        <v>318</v>
      </c>
      <c r="C79" s="58"/>
      <c r="D79" s="58"/>
      <c r="E79" s="58"/>
    </row>
    <row r="80" spans="1:5" s="191" customFormat="1" ht="12" customHeight="1" x14ac:dyDescent="0.25">
      <c r="A80" s="190" t="s">
        <v>339</v>
      </c>
      <c r="B80" s="47" t="s">
        <v>319</v>
      </c>
      <c r="C80" s="58"/>
      <c r="D80" s="58"/>
      <c r="E80" s="58"/>
    </row>
    <row r="81" spans="1:5" s="191" customFormat="1" ht="12" customHeight="1" thickBot="1" x14ac:dyDescent="0.3">
      <c r="A81" s="192" t="s">
        <v>340</v>
      </c>
      <c r="B81" s="54" t="s">
        <v>320</v>
      </c>
      <c r="C81" s="58"/>
      <c r="D81" s="58"/>
      <c r="E81" s="58"/>
    </row>
    <row r="82" spans="1:5" s="191" customFormat="1" ht="12" customHeight="1" thickBot="1" x14ac:dyDescent="0.3">
      <c r="A82" s="193" t="s">
        <v>321</v>
      </c>
      <c r="B82" s="52" t="s">
        <v>341</v>
      </c>
      <c r="C82" s="41">
        <f>SUM(C83:C86)</f>
        <v>0</v>
      </c>
      <c r="D82" s="41">
        <f>SUM(D83:D86)</f>
        <v>0</v>
      </c>
      <c r="E82" s="41">
        <f>SUM(E83:E86)</f>
        <v>0</v>
      </c>
    </row>
    <row r="83" spans="1:5" s="191" customFormat="1" ht="12" customHeight="1" x14ac:dyDescent="0.25">
      <c r="A83" s="195" t="s">
        <v>322</v>
      </c>
      <c r="B83" s="44" t="s">
        <v>323</v>
      </c>
      <c r="C83" s="58"/>
      <c r="D83" s="58"/>
      <c r="E83" s="58"/>
    </row>
    <row r="84" spans="1:5" s="191" customFormat="1" ht="12" customHeight="1" x14ac:dyDescent="0.25">
      <c r="A84" s="196" t="s">
        <v>324</v>
      </c>
      <c r="B84" s="47" t="s">
        <v>325</v>
      </c>
      <c r="C84" s="58"/>
      <c r="D84" s="58"/>
      <c r="E84" s="58"/>
    </row>
    <row r="85" spans="1:5" s="191" customFormat="1" ht="12" customHeight="1" x14ac:dyDescent="0.25">
      <c r="A85" s="196" t="s">
        <v>326</v>
      </c>
      <c r="B85" s="47" t="s">
        <v>327</v>
      </c>
      <c r="C85" s="58"/>
      <c r="D85" s="58"/>
      <c r="E85" s="58"/>
    </row>
    <row r="86" spans="1:5" s="189" customFormat="1" ht="12" customHeight="1" thickBot="1" x14ac:dyDescent="0.3">
      <c r="A86" s="197" t="s">
        <v>328</v>
      </c>
      <c r="B86" s="54" t="s">
        <v>329</v>
      </c>
      <c r="C86" s="58"/>
      <c r="D86" s="58"/>
      <c r="E86" s="58"/>
    </row>
    <row r="87" spans="1:5" s="189" customFormat="1" ht="12" customHeight="1" thickBot="1" x14ac:dyDescent="0.3">
      <c r="A87" s="193" t="s">
        <v>330</v>
      </c>
      <c r="B87" s="52" t="s">
        <v>470</v>
      </c>
      <c r="C87" s="67"/>
      <c r="D87" s="67"/>
      <c r="E87" s="67"/>
    </row>
    <row r="88" spans="1:5" s="189" customFormat="1" ht="12" customHeight="1" thickBot="1" x14ac:dyDescent="0.3">
      <c r="A88" s="193" t="s">
        <v>498</v>
      </c>
      <c r="B88" s="52" t="s">
        <v>331</v>
      </c>
      <c r="C88" s="67"/>
      <c r="D88" s="67"/>
      <c r="E88" s="67"/>
    </row>
    <row r="89" spans="1:5" s="189" customFormat="1" ht="12" customHeight="1" thickBot="1" x14ac:dyDescent="0.3">
      <c r="A89" s="193" t="s">
        <v>499</v>
      </c>
      <c r="B89" s="68" t="s">
        <v>473</v>
      </c>
      <c r="C89" s="55">
        <f>+C66+C70+C75+C78+C82+C88+C87</f>
        <v>0</v>
      </c>
      <c r="D89" s="55">
        <f>+D66+D70+D75+D78+D82+D88+D87</f>
        <v>0</v>
      </c>
      <c r="E89" s="55">
        <f>+E66+E70+E75+E78+E82+E88+E87</f>
        <v>0</v>
      </c>
    </row>
    <row r="90" spans="1:5" s="189" customFormat="1" ht="12" customHeight="1" thickBot="1" x14ac:dyDescent="0.3">
      <c r="A90" s="198" t="s">
        <v>500</v>
      </c>
      <c r="B90" s="70" t="s">
        <v>501</v>
      </c>
      <c r="C90" s="55">
        <f>+C65+C89</f>
        <v>0</v>
      </c>
      <c r="D90" s="55">
        <f>+D65+D89</f>
        <v>0</v>
      </c>
      <c r="E90" s="55">
        <f>+E65+E89</f>
        <v>0</v>
      </c>
    </row>
    <row r="91" spans="1:5" s="191" customFormat="1" ht="15" customHeight="1" thickBot="1" x14ac:dyDescent="0.35">
      <c r="A91" s="22"/>
      <c r="B91" s="23"/>
      <c r="C91" s="24"/>
      <c r="D91" s="24"/>
      <c r="E91" s="24"/>
    </row>
    <row r="92" spans="1:5" s="110" customFormat="1" ht="26.5" thickBot="1" x14ac:dyDescent="0.35">
      <c r="A92" s="25"/>
      <c r="B92" s="26" t="s">
        <v>52</v>
      </c>
      <c r="C92" s="517" t="s">
        <v>640</v>
      </c>
      <c r="D92" s="517" t="s">
        <v>724</v>
      </c>
      <c r="E92" s="654" t="s">
        <v>730</v>
      </c>
    </row>
    <row r="93" spans="1:5" s="199" customFormat="1" ht="12" customHeight="1" thickBot="1" x14ac:dyDescent="0.35">
      <c r="A93" s="36" t="s">
        <v>14</v>
      </c>
      <c r="B93" s="77" t="s">
        <v>612</v>
      </c>
      <c r="C93" s="78">
        <f>+C94+C95+C96+C97+C98+C111</f>
        <v>0</v>
      </c>
      <c r="D93" s="78">
        <f>+D94+D95+D96+D97+D98+D111</f>
        <v>0</v>
      </c>
      <c r="E93" s="78">
        <f>+E94+E95+E96+E97+E98+E111</f>
        <v>0</v>
      </c>
    </row>
    <row r="94" spans="1:5" ht="12" customHeight="1" x14ac:dyDescent="0.3">
      <c r="A94" s="200" t="s">
        <v>93</v>
      </c>
      <c r="B94" s="15" t="s">
        <v>44</v>
      </c>
      <c r="C94" s="80"/>
      <c r="D94" s="80"/>
      <c r="E94" s="80"/>
    </row>
    <row r="95" spans="1:5" ht="12" customHeight="1" x14ac:dyDescent="0.3">
      <c r="A95" s="190" t="s">
        <v>94</v>
      </c>
      <c r="B95" s="16" t="s">
        <v>172</v>
      </c>
      <c r="C95" s="48"/>
      <c r="D95" s="48"/>
      <c r="E95" s="48"/>
    </row>
    <row r="96" spans="1:5" ht="12" customHeight="1" x14ac:dyDescent="0.3">
      <c r="A96" s="190" t="s">
        <v>95</v>
      </c>
      <c r="B96" s="16" t="s">
        <v>131</v>
      </c>
      <c r="C96" s="53"/>
      <c r="D96" s="53"/>
      <c r="E96" s="53"/>
    </row>
    <row r="97" spans="1:5" ht="12" customHeight="1" x14ac:dyDescent="0.3">
      <c r="A97" s="190" t="s">
        <v>96</v>
      </c>
      <c r="B97" s="81" t="s">
        <v>173</v>
      </c>
      <c r="C97" s="53"/>
      <c r="D97" s="53"/>
      <c r="E97" s="53"/>
    </row>
    <row r="98" spans="1:5" ht="12" customHeight="1" x14ac:dyDescent="0.3">
      <c r="A98" s="190" t="s">
        <v>107</v>
      </c>
      <c r="B98" s="82" t="s">
        <v>174</v>
      </c>
      <c r="C98" s="53"/>
      <c r="D98" s="53"/>
      <c r="E98" s="53"/>
    </row>
    <row r="99" spans="1:5" ht="12" customHeight="1" x14ac:dyDescent="0.3">
      <c r="A99" s="190" t="s">
        <v>97</v>
      </c>
      <c r="B99" s="16" t="s">
        <v>502</v>
      </c>
      <c r="C99" s="53"/>
      <c r="D99" s="53"/>
      <c r="E99" s="53"/>
    </row>
    <row r="100" spans="1:5" ht="12" customHeight="1" x14ac:dyDescent="0.25">
      <c r="A100" s="190" t="s">
        <v>98</v>
      </c>
      <c r="B100" s="84" t="s">
        <v>436</v>
      </c>
      <c r="C100" s="53"/>
      <c r="D100" s="53"/>
      <c r="E100" s="53"/>
    </row>
    <row r="101" spans="1:5" ht="12" customHeight="1" x14ac:dyDescent="0.25">
      <c r="A101" s="190" t="s">
        <v>108</v>
      </c>
      <c r="B101" s="84" t="s">
        <v>435</v>
      </c>
      <c r="C101" s="53"/>
      <c r="D101" s="53"/>
      <c r="E101" s="53"/>
    </row>
    <row r="102" spans="1:5" ht="12" customHeight="1" x14ac:dyDescent="0.25">
      <c r="A102" s="190" t="s">
        <v>109</v>
      </c>
      <c r="B102" s="84" t="s">
        <v>347</v>
      </c>
      <c r="C102" s="53"/>
      <c r="D102" s="53"/>
      <c r="E102" s="53"/>
    </row>
    <row r="103" spans="1:5" ht="12" customHeight="1" x14ac:dyDescent="0.3">
      <c r="A103" s="190" t="s">
        <v>110</v>
      </c>
      <c r="B103" s="85" t="s">
        <v>348</v>
      </c>
      <c r="C103" s="53"/>
      <c r="D103" s="53"/>
      <c r="E103" s="53"/>
    </row>
    <row r="104" spans="1:5" ht="12" customHeight="1" x14ac:dyDescent="0.3">
      <c r="A104" s="190" t="s">
        <v>111</v>
      </c>
      <c r="B104" s="85" t="s">
        <v>349</v>
      </c>
      <c r="C104" s="53"/>
      <c r="D104" s="53"/>
      <c r="E104" s="53"/>
    </row>
    <row r="105" spans="1:5" ht="12" customHeight="1" x14ac:dyDescent="0.25">
      <c r="A105" s="190" t="s">
        <v>113</v>
      </c>
      <c r="B105" s="84" t="s">
        <v>350</v>
      </c>
      <c r="C105" s="53"/>
      <c r="D105" s="53"/>
      <c r="E105" s="53"/>
    </row>
    <row r="106" spans="1:5" ht="12" customHeight="1" x14ac:dyDescent="0.25">
      <c r="A106" s="190" t="s">
        <v>175</v>
      </c>
      <c r="B106" s="84" t="s">
        <v>351</v>
      </c>
      <c r="C106" s="53"/>
      <c r="D106" s="53"/>
      <c r="E106" s="53"/>
    </row>
    <row r="107" spans="1:5" ht="12" customHeight="1" x14ac:dyDescent="0.3">
      <c r="A107" s="190" t="s">
        <v>345</v>
      </c>
      <c r="B107" s="85" t="s">
        <v>352</v>
      </c>
      <c r="C107" s="53"/>
      <c r="D107" s="53"/>
      <c r="E107" s="53"/>
    </row>
    <row r="108" spans="1:5" ht="12" customHeight="1" x14ac:dyDescent="0.3">
      <c r="A108" s="201" t="s">
        <v>346</v>
      </c>
      <c r="B108" s="83" t="s">
        <v>353</v>
      </c>
      <c r="C108" s="53"/>
      <c r="D108" s="53"/>
      <c r="E108" s="53"/>
    </row>
    <row r="109" spans="1:5" ht="12" customHeight="1" x14ac:dyDescent="0.3">
      <c r="A109" s="190" t="s">
        <v>433</v>
      </c>
      <c r="B109" s="83" t="s">
        <v>354</v>
      </c>
      <c r="C109" s="53"/>
      <c r="D109" s="53"/>
      <c r="E109" s="53"/>
    </row>
    <row r="110" spans="1:5" ht="12" customHeight="1" x14ac:dyDescent="0.3">
      <c r="A110" s="190" t="s">
        <v>434</v>
      </c>
      <c r="B110" s="85" t="s">
        <v>355</v>
      </c>
      <c r="C110" s="48"/>
      <c r="D110" s="48"/>
      <c r="E110" s="48"/>
    </row>
    <row r="111" spans="1:5" ht="12" customHeight="1" x14ac:dyDescent="0.3">
      <c r="A111" s="190" t="s">
        <v>438</v>
      </c>
      <c r="B111" s="81" t="s">
        <v>45</v>
      </c>
      <c r="C111" s="48"/>
      <c r="D111" s="48"/>
      <c r="E111" s="48"/>
    </row>
    <row r="112" spans="1:5" ht="12" customHeight="1" x14ac:dyDescent="0.3">
      <c r="A112" s="192" t="s">
        <v>439</v>
      </c>
      <c r="B112" s="16" t="s">
        <v>503</v>
      </c>
      <c r="C112" s="53"/>
      <c r="D112" s="53"/>
      <c r="E112" s="53"/>
    </row>
    <row r="113" spans="1:5" ht="12" customHeight="1" thickBot="1" x14ac:dyDescent="0.35">
      <c r="A113" s="202" t="s">
        <v>440</v>
      </c>
      <c r="B113" s="203" t="s">
        <v>504</v>
      </c>
      <c r="C113" s="89"/>
      <c r="D113" s="89"/>
      <c r="E113" s="89"/>
    </row>
    <row r="114" spans="1:5" ht="12" customHeight="1" thickBot="1" x14ac:dyDescent="0.35">
      <c r="A114" s="74" t="s">
        <v>15</v>
      </c>
      <c r="B114" s="101" t="s">
        <v>609</v>
      </c>
      <c r="C114" s="41">
        <f>+C115+C117+C119</f>
        <v>0</v>
      </c>
      <c r="D114" s="41">
        <f>+D115+D117+D119</f>
        <v>0</v>
      </c>
      <c r="E114" s="41">
        <f>+E115+E117+E119</f>
        <v>0</v>
      </c>
    </row>
    <row r="115" spans="1:5" ht="12" customHeight="1" x14ac:dyDescent="0.3">
      <c r="A115" s="188" t="s">
        <v>99</v>
      </c>
      <c r="B115" s="16" t="s">
        <v>217</v>
      </c>
      <c r="C115" s="45"/>
      <c r="D115" s="45"/>
      <c r="E115" s="45"/>
    </row>
    <row r="116" spans="1:5" ht="12" customHeight="1" x14ac:dyDescent="0.3">
      <c r="A116" s="188" t="s">
        <v>100</v>
      </c>
      <c r="B116" s="92" t="s">
        <v>359</v>
      </c>
      <c r="C116" s="45"/>
      <c r="D116" s="45"/>
      <c r="E116" s="45"/>
    </row>
    <row r="117" spans="1:5" ht="12" customHeight="1" x14ac:dyDescent="0.3">
      <c r="A117" s="188" t="s">
        <v>101</v>
      </c>
      <c r="B117" s="92" t="s">
        <v>176</v>
      </c>
      <c r="C117" s="48"/>
      <c r="D117" s="48"/>
      <c r="E117" s="48"/>
    </row>
    <row r="118" spans="1:5" ht="12" customHeight="1" x14ac:dyDescent="0.3">
      <c r="A118" s="188" t="s">
        <v>102</v>
      </c>
      <c r="B118" s="92" t="s">
        <v>360</v>
      </c>
      <c r="C118" s="93"/>
      <c r="D118" s="93"/>
      <c r="E118" s="93"/>
    </row>
    <row r="119" spans="1:5" ht="12" customHeight="1" x14ac:dyDescent="0.3">
      <c r="A119" s="188" t="s">
        <v>103</v>
      </c>
      <c r="B119" s="51" t="s">
        <v>219</v>
      </c>
      <c r="C119" s="93"/>
      <c r="D119" s="93"/>
      <c r="E119" s="93"/>
    </row>
    <row r="120" spans="1:5" ht="12" customHeight="1" x14ac:dyDescent="0.3">
      <c r="A120" s="188" t="s">
        <v>112</v>
      </c>
      <c r="B120" s="49" t="s">
        <v>421</v>
      </c>
      <c r="C120" s="93"/>
      <c r="D120" s="93"/>
      <c r="E120" s="93"/>
    </row>
    <row r="121" spans="1:5" ht="12" customHeight="1" x14ac:dyDescent="0.3">
      <c r="A121" s="188" t="s">
        <v>114</v>
      </c>
      <c r="B121" s="94" t="s">
        <v>365</v>
      </c>
      <c r="C121" s="93"/>
      <c r="D121" s="93"/>
      <c r="E121" s="93"/>
    </row>
    <row r="122" spans="1:5" ht="12" customHeight="1" x14ac:dyDescent="0.3">
      <c r="A122" s="188" t="s">
        <v>177</v>
      </c>
      <c r="B122" s="85" t="s">
        <v>349</v>
      </c>
      <c r="C122" s="93"/>
      <c r="D122" s="93"/>
      <c r="E122" s="93"/>
    </row>
    <row r="123" spans="1:5" ht="12" customHeight="1" x14ac:dyDescent="0.3">
      <c r="A123" s="188" t="s">
        <v>178</v>
      </c>
      <c r="B123" s="85" t="s">
        <v>364</v>
      </c>
      <c r="C123" s="93"/>
      <c r="D123" s="93"/>
      <c r="E123" s="93"/>
    </row>
    <row r="124" spans="1:5" ht="12" customHeight="1" x14ac:dyDescent="0.3">
      <c r="A124" s="188" t="s">
        <v>179</v>
      </c>
      <c r="B124" s="85" t="s">
        <v>363</v>
      </c>
      <c r="C124" s="93"/>
      <c r="D124" s="93"/>
      <c r="E124" s="93"/>
    </row>
    <row r="125" spans="1:5" ht="12" customHeight="1" x14ac:dyDescent="0.3">
      <c r="A125" s="188" t="s">
        <v>356</v>
      </c>
      <c r="B125" s="85" t="s">
        <v>352</v>
      </c>
      <c r="C125" s="93"/>
      <c r="D125" s="93"/>
      <c r="E125" s="93"/>
    </row>
    <row r="126" spans="1:5" ht="12" customHeight="1" x14ac:dyDescent="0.3">
      <c r="A126" s="188" t="s">
        <v>357</v>
      </c>
      <c r="B126" s="85" t="s">
        <v>362</v>
      </c>
      <c r="C126" s="93"/>
      <c r="D126" s="93"/>
      <c r="E126" s="93"/>
    </row>
    <row r="127" spans="1:5" ht="12" customHeight="1" thickBot="1" x14ac:dyDescent="0.35">
      <c r="A127" s="201" t="s">
        <v>358</v>
      </c>
      <c r="B127" s="85" t="s">
        <v>361</v>
      </c>
      <c r="C127" s="95"/>
      <c r="D127" s="95"/>
      <c r="E127" s="95"/>
    </row>
    <row r="128" spans="1:5" ht="12" customHeight="1" thickBot="1" x14ac:dyDescent="0.35">
      <c r="A128" s="74" t="s">
        <v>16</v>
      </c>
      <c r="B128" s="19" t="s">
        <v>443</v>
      </c>
      <c r="C128" s="41">
        <f>+C93+C114</f>
        <v>0</v>
      </c>
      <c r="D128" s="41">
        <f>+D93+D114</f>
        <v>0</v>
      </c>
      <c r="E128" s="41">
        <f>+E93+E114</f>
        <v>0</v>
      </c>
    </row>
    <row r="129" spans="1:5" ht="12" customHeight="1" thickBot="1" x14ac:dyDescent="0.35">
      <c r="A129" s="74" t="s">
        <v>17</v>
      </c>
      <c r="B129" s="19" t="s">
        <v>444</v>
      </c>
      <c r="C129" s="41">
        <f>+C130+C131+C132</f>
        <v>0</v>
      </c>
      <c r="D129" s="41">
        <f>+D130+D131+D132</f>
        <v>0</v>
      </c>
      <c r="E129" s="41">
        <f>+E130+E131+E132</f>
        <v>0</v>
      </c>
    </row>
    <row r="130" spans="1:5" s="199" customFormat="1" ht="12" customHeight="1" x14ac:dyDescent="0.3">
      <c r="A130" s="188" t="s">
        <v>257</v>
      </c>
      <c r="B130" s="18" t="s">
        <v>507</v>
      </c>
      <c r="C130" s="93"/>
      <c r="D130" s="93"/>
      <c r="E130" s="93"/>
    </row>
    <row r="131" spans="1:5" ht="12" customHeight="1" x14ac:dyDescent="0.3">
      <c r="A131" s="188" t="s">
        <v>260</v>
      </c>
      <c r="B131" s="18" t="s">
        <v>452</v>
      </c>
      <c r="C131" s="93"/>
      <c r="D131" s="93"/>
      <c r="E131" s="93"/>
    </row>
    <row r="132" spans="1:5" ht="12" customHeight="1" thickBot="1" x14ac:dyDescent="0.35">
      <c r="A132" s="201" t="s">
        <v>261</v>
      </c>
      <c r="B132" s="17" t="s">
        <v>506</v>
      </c>
      <c r="C132" s="93"/>
      <c r="D132" s="93"/>
      <c r="E132" s="93"/>
    </row>
    <row r="133" spans="1:5" ht="12" customHeight="1" thickBot="1" x14ac:dyDescent="0.35">
      <c r="A133" s="74" t="s">
        <v>18</v>
      </c>
      <c r="B133" s="19" t="s">
        <v>445</v>
      </c>
      <c r="C133" s="41">
        <f>+C134+C135+C136+C137+C138+C139</f>
        <v>0</v>
      </c>
      <c r="D133" s="41">
        <f>+D134+D135+D136+D137+D138+D139</f>
        <v>0</v>
      </c>
      <c r="E133" s="41">
        <f>+E134+E135+E136+E137+E138+E139</f>
        <v>0</v>
      </c>
    </row>
    <row r="134" spans="1:5" ht="12" customHeight="1" x14ac:dyDescent="0.3">
      <c r="A134" s="188" t="s">
        <v>86</v>
      </c>
      <c r="B134" s="18" t="s">
        <v>454</v>
      </c>
      <c r="C134" s="93"/>
      <c r="D134" s="93"/>
      <c r="E134" s="93"/>
    </row>
    <row r="135" spans="1:5" ht="12" customHeight="1" x14ac:dyDescent="0.3">
      <c r="A135" s="188" t="s">
        <v>87</v>
      </c>
      <c r="B135" s="18" t="s">
        <v>446</v>
      </c>
      <c r="C135" s="93"/>
      <c r="D135" s="93"/>
      <c r="E135" s="93"/>
    </row>
    <row r="136" spans="1:5" ht="12" customHeight="1" x14ac:dyDescent="0.3">
      <c r="A136" s="188" t="s">
        <v>88</v>
      </c>
      <c r="B136" s="18" t="s">
        <v>447</v>
      </c>
      <c r="C136" s="93"/>
      <c r="D136" s="93"/>
      <c r="E136" s="93"/>
    </row>
    <row r="137" spans="1:5" ht="12" customHeight="1" x14ac:dyDescent="0.3">
      <c r="A137" s="188" t="s">
        <v>164</v>
      </c>
      <c r="B137" s="18" t="s">
        <v>505</v>
      </c>
      <c r="C137" s="93"/>
      <c r="D137" s="93"/>
      <c r="E137" s="93"/>
    </row>
    <row r="138" spans="1:5" ht="12" customHeight="1" x14ac:dyDescent="0.3">
      <c r="A138" s="188" t="s">
        <v>165</v>
      </c>
      <c r="B138" s="18" t="s">
        <v>449</v>
      </c>
      <c r="C138" s="93"/>
      <c r="D138" s="93"/>
      <c r="E138" s="93"/>
    </row>
    <row r="139" spans="1:5" s="199" customFormat="1" ht="12" customHeight="1" thickBot="1" x14ac:dyDescent="0.35">
      <c r="A139" s="201" t="s">
        <v>166</v>
      </c>
      <c r="B139" s="17" t="s">
        <v>450</v>
      </c>
      <c r="C139" s="93"/>
      <c r="D139" s="93"/>
      <c r="E139" s="93"/>
    </row>
    <row r="140" spans="1:5" ht="12" customHeight="1" thickBot="1" x14ac:dyDescent="0.35">
      <c r="A140" s="74" t="s">
        <v>19</v>
      </c>
      <c r="B140" s="19" t="s">
        <v>531</v>
      </c>
      <c r="C140" s="55">
        <f>+C141+C142+C144+C145+C143</f>
        <v>0</v>
      </c>
      <c r="D140" s="55">
        <f>+D141+D142+D144+D145+D143</f>
        <v>0</v>
      </c>
      <c r="E140" s="55">
        <f>+E141+E142+E144+E145+E143</f>
        <v>0</v>
      </c>
    </row>
    <row r="141" spans="1:5" x14ac:dyDescent="0.3">
      <c r="A141" s="188" t="s">
        <v>89</v>
      </c>
      <c r="B141" s="18" t="s">
        <v>366</v>
      </c>
      <c r="C141" s="93"/>
      <c r="D141" s="93"/>
      <c r="E141" s="93"/>
    </row>
    <row r="142" spans="1:5" ht="12" customHeight="1" x14ac:dyDescent="0.3">
      <c r="A142" s="188" t="s">
        <v>90</v>
      </c>
      <c r="B142" s="18" t="s">
        <v>367</v>
      </c>
      <c r="C142" s="93"/>
      <c r="D142" s="93"/>
      <c r="E142" s="93"/>
    </row>
    <row r="143" spans="1:5" s="199" customFormat="1" ht="12" customHeight="1" x14ac:dyDescent="0.3">
      <c r="A143" s="188" t="s">
        <v>281</v>
      </c>
      <c r="B143" s="18" t="s">
        <v>530</v>
      </c>
      <c r="C143" s="93"/>
      <c r="D143" s="93"/>
      <c r="E143" s="93"/>
    </row>
    <row r="144" spans="1:5" s="199" customFormat="1" ht="12" customHeight="1" x14ac:dyDescent="0.3">
      <c r="A144" s="188" t="s">
        <v>282</v>
      </c>
      <c r="B144" s="18" t="s">
        <v>459</v>
      </c>
      <c r="C144" s="93"/>
      <c r="D144" s="93"/>
      <c r="E144" s="93"/>
    </row>
    <row r="145" spans="1:5" s="199" customFormat="1" ht="12" customHeight="1" thickBot="1" x14ac:dyDescent="0.35">
      <c r="A145" s="201" t="s">
        <v>283</v>
      </c>
      <c r="B145" s="17" t="s">
        <v>385</v>
      </c>
      <c r="C145" s="93"/>
      <c r="D145" s="93"/>
      <c r="E145" s="93"/>
    </row>
    <row r="146" spans="1:5" s="199" customFormat="1" ht="12" customHeight="1" thickBot="1" x14ac:dyDescent="0.35">
      <c r="A146" s="74" t="s">
        <v>20</v>
      </c>
      <c r="B146" s="19" t="s">
        <v>460</v>
      </c>
      <c r="C146" s="96">
        <f>+C147+C148+C149+C150+C151</f>
        <v>0</v>
      </c>
      <c r="D146" s="96">
        <f>+D147+D148+D149+D150+D151</f>
        <v>0</v>
      </c>
      <c r="E146" s="96">
        <f>+E147+E148+E149+E150+E151</f>
        <v>0</v>
      </c>
    </row>
    <row r="147" spans="1:5" s="199" customFormat="1" ht="12" customHeight="1" x14ac:dyDescent="0.3">
      <c r="A147" s="188" t="s">
        <v>91</v>
      </c>
      <c r="B147" s="18" t="s">
        <v>455</v>
      </c>
      <c r="C147" s="93"/>
      <c r="D147" s="93"/>
      <c r="E147" s="93"/>
    </row>
    <row r="148" spans="1:5" s="199" customFormat="1" ht="12" customHeight="1" x14ac:dyDescent="0.3">
      <c r="A148" s="188" t="s">
        <v>92</v>
      </c>
      <c r="B148" s="18" t="s">
        <v>462</v>
      </c>
      <c r="C148" s="93"/>
      <c r="D148" s="93"/>
      <c r="E148" s="93"/>
    </row>
    <row r="149" spans="1:5" s="199" customFormat="1" ht="12" customHeight="1" x14ac:dyDescent="0.3">
      <c r="A149" s="188" t="s">
        <v>293</v>
      </c>
      <c r="B149" s="18" t="s">
        <v>457</v>
      </c>
      <c r="C149" s="93"/>
      <c r="D149" s="93"/>
      <c r="E149" s="93"/>
    </row>
    <row r="150" spans="1:5" ht="12.75" customHeight="1" x14ac:dyDescent="0.3">
      <c r="A150" s="188" t="s">
        <v>294</v>
      </c>
      <c r="B150" s="18" t="s">
        <v>508</v>
      </c>
      <c r="C150" s="93"/>
      <c r="D150" s="93"/>
      <c r="E150" s="93"/>
    </row>
    <row r="151" spans="1:5" ht="12.75" customHeight="1" thickBot="1" x14ac:dyDescent="0.35">
      <c r="A151" s="201" t="s">
        <v>461</v>
      </c>
      <c r="B151" s="17" t="s">
        <v>464</v>
      </c>
      <c r="C151" s="95"/>
      <c r="D151" s="95"/>
      <c r="E151" s="95"/>
    </row>
    <row r="152" spans="1:5" ht="12.75" customHeight="1" thickBot="1" x14ac:dyDescent="0.35">
      <c r="A152" s="204" t="s">
        <v>21</v>
      </c>
      <c r="B152" s="19" t="s">
        <v>465</v>
      </c>
      <c r="C152" s="96"/>
      <c r="D152" s="96"/>
      <c r="E152" s="96"/>
    </row>
    <row r="153" spans="1:5" ht="12" customHeight="1" thickBot="1" x14ac:dyDescent="0.35">
      <c r="A153" s="204" t="s">
        <v>22</v>
      </c>
      <c r="B153" s="19" t="s">
        <v>466</v>
      </c>
      <c r="C153" s="96"/>
      <c r="D153" s="96"/>
      <c r="E153" s="96"/>
    </row>
    <row r="154" spans="1:5" ht="15" customHeight="1" thickBot="1" x14ac:dyDescent="0.35">
      <c r="A154" s="74" t="s">
        <v>23</v>
      </c>
      <c r="B154" s="19" t="s">
        <v>468</v>
      </c>
      <c r="C154" s="97">
        <f>+C129+C133+C140+C146+C152+C153</f>
        <v>0</v>
      </c>
      <c r="D154" s="97">
        <f>+D129+D133+D140+D146+D152+D153</f>
        <v>0</v>
      </c>
      <c r="E154" s="97">
        <f>+E129+E133+E140+E146+E152+E153</f>
        <v>0</v>
      </c>
    </row>
    <row r="155" spans="1:5" ht="13.5" thickBot="1" x14ac:dyDescent="0.35">
      <c r="A155" s="205" t="s">
        <v>24</v>
      </c>
      <c r="B155" s="100" t="s">
        <v>467</v>
      </c>
      <c r="C155" s="97">
        <f>+C128+C154</f>
        <v>0</v>
      </c>
      <c r="D155" s="97">
        <f>+D128+D154</f>
        <v>0</v>
      </c>
      <c r="E155" s="97">
        <f>+E128+E154</f>
        <v>0</v>
      </c>
    </row>
    <row r="156" spans="1:5" ht="15" customHeight="1" thickBot="1" x14ac:dyDescent="0.35"/>
    <row r="157" spans="1:5" ht="14.25" customHeight="1" thickBot="1" x14ac:dyDescent="0.35">
      <c r="A157" s="30" t="s">
        <v>509</v>
      </c>
      <c r="B157" s="31"/>
      <c r="C157" s="32"/>
      <c r="D157" s="32"/>
      <c r="E157" s="32"/>
    </row>
    <row r="158" spans="1:5" ht="13.5" thickBot="1" x14ac:dyDescent="0.35">
      <c r="A158" s="30" t="s">
        <v>194</v>
      </c>
      <c r="B158" s="31"/>
      <c r="C158" s="32"/>
      <c r="D158" s="32"/>
      <c r="E158" s="32"/>
    </row>
  </sheetData>
  <sheetProtection formatCells="0"/>
  <phoneticPr fontId="5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9" orientation="portrait" verticalDpi="300" r:id="rId1"/>
  <headerFooter alignWithMargins="0">
    <oddFooter>&amp;P. oldal, összesen: &amp;N</oddFooter>
  </headerFooter>
  <rowBreaks count="3" manualBreakCount="3">
    <brk id="65" max="16383" man="1"/>
    <brk id="90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E61"/>
  <sheetViews>
    <sheetView topLeftCell="B1" zoomScaleNormal="100" workbookViewId="0">
      <selection activeCell="B1" sqref="B1"/>
    </sheetView>
  </sheetViews>
  <sheetFormatPr defaultColWidth="9.296875" defaultRowHeight="15.5" x14ac:dyDescent="0.3"/>
  <cols>
    <col min="1" max="1" width="39.796875" style="894" bestFit="1" customWidth="1"/>
    <col min="2" max="2" width="77.19921875" style="849" bestFit="1" customWidth="1"/>
    <col min="3" max="3" width="20.796875" style="849" bestFit="1" customWidth="1"/>
    <col min="4" max="5" width="24.296875" style="849" bestFit="1" customWidth="1"/>
    <col min="6" max="16384" width="9.296875" style="849"/>
  </cols>
  <sheetData>
    <row r="1" spans="1:5" s="406" customFormat="1" ht="21" customHeight="1" thickBot="1" x14ac:dyDescent="0.35">
      <c r="A1" s="404"/>
      <c r="B1" s="839" t="s">
        <v>746</v>
      </c>
      <c r="C1" s="839"/>
      <c r="D1" s="839"/>
      <c r="E1" s="839"/>
    </row>
    <row r="2" spans="1:5" s="409" customFormat="1" ht="33" customHeight="1" x14ac:dyDescent="0.3">
      <c r="A2" s="840" t="s">
        <v>192</v>
      </c>
      <c r="B2" s="841" t="s">
        <v>536</v>
      </c>
      <c r="C2" s="842" t="s">
        <v>54</v>
      </c>
      <c r="D2" s="842" t="s">
        <v>54</v>
      </c>
      <c r="E2" s="842" t="s">
        <v>54</v>
      </c>
    </row>
    <row r="3" spans="1:5" s="409" customFormat="1" thickBot="1" x14ac:dyDescent="0.35">
      <c r="A3" s="843" t="s">
        <v>191</v>
      </c>
      <c r="B3" s="844" t="s">
        <v>393</v>
      </c>
      <c r="C3" s="845" t="s">
        <v>54</v>
      </c>
      <c r="D3" s="845" t="s">
        <v>54</v>
      </c>
      <c r="E3" s="845" t="s">
        <v>54</v>
      </c>
    </row>
    <row r="4" spans="1:5" s="409" customFormat="1" ht="16" customHeight="1" thickBot="1" x14ac:dyDescent="0.4">
      <c r="C4" s="846" t="s">
        <v>579</v>
      </c>
      <c r="D4" s="846" t="s">
        <v>579</v>
      </c>
      <c r="E4" s="846" t="s">
        <v>579</v>
      </c>
    </row>
    <row r="5" spans="1:5" ht="44.5" customHeight="1" thickBot="1" x14ac:dyDescent="0.35">
      <c r="A5" s="847" t="s">
        <v>193</v>
      </c>
      <c r="B5" s="848" t="s">
        <v>50</v>
      </c>
      <c r="C5" s="827" t="s">
        <v>640</v>
      </c>
      <c r="D5" s="827" t="s">
        <v>724</v>
      </c>
      <c r="E5" s="827" t="s">
        <v>730</v>
      </c>
    </row>
    <row r="6" spans="1:5" s="418" customFormat="1" ht="13" customHeight="1" thickBot="1" x14ac:dyDescent="0.35">
      <c r="A6" s="850" t="s">
        <v>482</v>
      </c>
      <c r="B6" s="851" t="s">
        <v>483</v>
      </c>
      <c r="C6" s="852" t="s">
        <v>484</v>
      </c>
      <c r="D6" s="852" t="s">
        <v>484</v>
      </c>
      <c r="E6" s="852" t="s">
        <v>484</v>
      </c>
    </row>
    <row r="7" spans="1:5" s="418" customFormat="1" ht="16" customHeight="1" thickBot="1" x14ac:dyDescent="0.35">
      <c r="A7" s="853"/>
      <c r="B7" s="854" t="s">
        <v>51</v>
      </c>
      <c r="C7" s="855"/>
      <c r="D7" s="855"/>
      <c r="E7" s="855"/>
    </row>
    <row r="8" spans="1:5" s="858" customFormat="1" ht="12" customHeight="1" thickBot="1" x14ac:dyDescent="0.35">
      <c r="A8" s="850" t="s">
        <v>14</v>
      </c>
      <c r="B8" s="856" t="s">
        <v>510</v>
      </c>
      <c r="C8" s="857">
        <f>SUM(C9:C19)</f>
        <v>605010</v>
      </c>
      <c r="D8" s="857">
        <f>SUM(D9:D19)</f>
        <v>605010</v>
      </c>
      <c r="E8" s="857">
        <f>SUM(E9:E19)</f>
        <v>605010</v>
      </c>
    </row>
    <row r="9" spans="1:5" s="858" customFormat="1" ht="12" customHeight="1" x14ac:dyDescent="0.3">
      <c r="A9" s="859" t="s">
        <v>93</v>
      </c>
      <c r="B9" s="860" t="s">
        <v>270</v>
      </c>
      <c r="C9" s="861"/>
      <c r="D9" s="861"/>
      <c r="E9" s="861"/>
    </row>
    <row r="10" spans="1:5" s="858" customFormat="1" ht="12" customHeight="1" x14ac:dyDescent="0.3">
      <c r="A10" s="862" t="s">
        <v>94</v>
      </c>
      <c r="B10" s="863" t="s">
        <v>271</v>
      </c>
      <c r="C10" s="864"/>
      <c r="D10" s="864"/>
      <c r="E10" s="864"/>
    </row>
    <row r="11" spans="1:5" s="858" customFormat="1" ht="12" customHeight="1" x14ac:dyDescent="0.3">
      <c r="A11" s="862" t="s">
        <v>95</v>
      </c>
      <c r="B11" s="863" t="s">
        <v>272</v>
      </c>
      <c r="C11" s="864">
        <v>600000</v>
      </c>
      <c r="D11" s="864">
        <v>600000</v>
      </c>
      <c r="E11" s="864">
        <v>600000</v>
      </c>
    </row>
    <row r="12" spans="1:5" s="858" customFormat="1" ht="12" customHeight="1" x14ac:dyDescent="0.3">
      <c r="A12" s="862" t="s">
        <v>96</v>
      </c>
      <c r="B12" s="863" t="s">
        <v>273</v>
      </c>
      <c r="C12" s="864"/>
      <c r="D12" s="864"/>
      <c r="E12" s="864"/>
    </row>
    <row r="13" spans="1:5" s="858" customFormat="1" ht="12" customHeight="1" x14ac:dyDescent="0.3">
      <c r="A13" s="862" t="s">
        <v>139</v>
      </c>
      <c r="B13" s="863" t="s">
        <v>274</v>
      </c>
      <c r="C13" s="864"/>
      <c r="D13" s="864"/>
      <c r="E13" s="864"/>
    </row>
    <row r="14" spans="1:5" s="858" customFormat="1" ht="12" customHeight="1" x14ac:dyDescent="0.3">
      <c r="A14" s="862" t="s">
        <v>97</v>
      </c>
      <c r="B14" s="863" t="s">
        <v>394</v>
      </c>
      <c r="C14" s="864"/>
      <c r="D14" s="864"/>
      <c r="E14" s="864"/>
    </row>
    <row r="15" spans="1:5" s="858" customFormat="1" ht="12" customHeight="1" x14ac:dyDescent="0.3">
      <c r="A15" s="862" t="s">
        <v>98</v>
      </c>
      <c r="B15" s="865" t="s">
        <v>395</v>
      </c>
      <c r="C15" s="864"/>
      <c r="D15" s="864"/>
      <c r="E15" s="864"/>
    </row>
    <row r="16" spans="1:5" s="858" customFormat="1" ht="12" customHeight="1" x14ac:dyDescent="0.3">
      <c r="A16" s="862" t="s">
        <v>108</v>
      </c>
      <c r="B16" s="863" t="s">
        <v>277</v>
      </c>
      <c r="C16" s="866">
        <v>10</v>
      </c>
      <c r="D16" s="866">
        <v>10</v>
      </c>
      <c r="E16" s="866">
        <v>10</v>
      </c>
    </row>
    <row r="17" spans="1:5" s="867" customFormat="1" ht="12" customHeight="1" x14ac:dyDescent="0.3">
      <c r="A17" s="862" t="s">
        <v>109</v>
      </c>
      <c r="B17" s="863" t="s">
        <v>278</v>
      </c>
      <c r="C17" s="864"/>
      <c r="D17" s="864"/>
      <c r="E17" s="864"/>
    </row>
    <row r="18" spans="1:5" s="867" customFormat="1" ht="12" customHeight="1" x14ac:dyDescent="0.3">
      <c r="A18" s="862" t="s">
        <v>110</v>
      </c>
      <c r="B18" s="863" t="s">
        <v>429</v>
      </c>
      <c r="C18" s="868"/>
      <c r="D18" s="868"/>
      <c r="E18" s="868"/>
    </row>
    <row r="19" spans="1:5" s="867" customFormat="1" ht="12" customHeight="1" thickBot="1" x14ac:dyDescent="0.35">
      <c r="A19" s="862" t="s">
        <v>111</v>
      </c>
      <c r="B19" s="865" t="s">
        <v>279</v>
      </c>
      <c r="C19" s="868">
        <v>5000</v>
      </c>
      <c r="D19" s="868">
        <v>5000</v>
      </c>
      <c r="E19" s="868">
        <v>5000</v>
      </c>
    </row>
    <row r="20" spans="1:5" s="858" customFormat="1" ht="12" customHeight="1" thickBot="1" x14ac:dyDescent="0.35">
      <c r="A20" s="850" t="s">
        <v>15</v>
      </c>
      <c r="B20" s="856" t="s">
        <v>396</v>
      </c>
      <c r="C20" s="857">
        <f>SUM(C21:C23)</f>
        <v>0</v>
      </c>
      <c r="D20" s="857">
        <f>SUM(D21:D23)</f>
        <v>0</v>
      </c>
      <c r="E20" s="857">
        <f>SUM(E21:E23)</f>
        <v>0</v>
      </c>
    </row>
    <row r="21" spans="1:5" s="867" customFormat="1" ht="12" customHeight="1" x14ac:dyDescent="0.3">
      <c r="A21" s="862" t="s">
        <v>99</v>
      </c>
      <c r="B21" s="869" t="s">
        <v>247</v>
      </c>
      <c r="C21" s="864"/>
      <c r="D21" s="864"/>
      <c r="E21" s="864"/>
    </row>
    <row r="22" spans="1:5" s="867" customFormat="1" ht="12" customHeight="1" x14ac:dyDescent="0.3">
      <c r="A22" s="862" t="s">
        <v>100</v>
      </c>
      <c r="B22" s="863" t="s">
        <v>397</v>
      </c>
      <c r="C22" s="864"/>
      <c r="D22" s="864"/>
      <c r="E22" s="864"/>
    </row>
    <row r="23" spans="1:5" s="867" customFormat="1" ht="12" customHeight="1" x14ac:dyDescent="0.3">
      <c r="A23" s="862" t="s">
        <v>101</v>
      </c>
      <c r="B23" s="863" t="s">
        <v>398</v>
      </c>
      <c r="C23" s="864"/>
      <c r="D23" s="864"/>
      <c r="E23" s="864"/>
    </row>
    <row r="24" spans="1:5" s="867" customFormat="1" ht="12" customHeight="1" thickBot="1" x14ac:dyDescent="0.35">
      <c r="A24" s="862" t="s">
        <v>102</v>
      </c>
      <c r="B24" s="863" t="s">
        <v>511</v>
      </c>
      <c r="C24" s="864"/>
      <c r="D24" s="864"/>
      <c r="E24" s="864"/>
    </row>
    <row r="25" spans="1:5" s="867" customFormat="1" ht="12" customHeight="1" thickBot="1" x14ac:dyDescent="0.35">
      <c r="A25" s="870" t="s">
        <v>16</v>
      </c>
      <c r="B25" s="871" t="s">
        <v>163</v>
      </c>
      <c r="C25" s="872">
        <v>1200000</v>
      </c>
      <c r="D25" s="872">
        <v>1200000</v>
      </c>
      <c r="E25" s="872">
        <v>1200000</v>
      </c>
    </row>
    <row r="26" spans="1:5" s="867" customFormat="1" ht="12" customHeight="1" thickBot="1" x14ac:dyDescent="0.35">
      <c r="A26" s="870" t="s">
        <v>17</v>
      </c>
      <c r="B26" s="871" t="s">
        <v>512</v>
      </c>
      <c r="C26" s="857">
        <f>+C27+C28+C29</f>
        <v>0</v>
      </c>
      <c r="D26" s="857">
        <f>+D27+D28+D29</f>
        <v>0</v>
      </c>
      <c r="E26" s="857">
        <f>+E27+E28+E29</f>
        <v>0</v>
      </c>
    </row>
    <row r="27" spans="1:5" s="867" customFormat="1" ht="12" customHeight="1" x14ac:dyDescent="0.3">
      <c r="A27" s="873" t="s">
        <v>257</v>
      </c>
      <c r="B27" s="874" t="s">
        <v>252</v>
      </c>
      <c r="C27" s="875"/>
      <c r="D27" s="875"/>
      <c r="E27" s="875"/>
    </row>
    <row r="28" spans="1:5" s="867" customFormat="1" ht="12" customHeight="1" x14ac:dyDescent="0.3">
      <c r="A28" s="873" t="s">
        <v>260</v>
      </c>
      <c r="B28" s="874" t="s">
        <v>397</v>
      </c>
      <c r="C28" s="864"/>
      <c r="D28" s="864"/>
      <c r="E28" s="864"/>
    </row>
    <row r="29" spans="1:5" s="867" customFormat="1" ht="12" customHeight="1" x14ac:dyDescent="0.3">
      <c r="A29" s="873" t="s">
        <v>261</v>
      </c>
      <c r="B29" s="876" t="s">
        <v>400</v>
      </c>
      <c r="C29" s="864"/>
      <c r="D29" s="864"/>
      <c r="E29" s="864"/>
    </row>
    <row r="30" spans="1:5" s="867" customFormat="1" ht="12" customHeight="1" thickBot="1" x14ac:dyDescent="0.35">
      <c r="A30" s="862" t="s">
        <v>262</v>
      </c>
      <c r="B30" s="877" t="s">
        <v>513</v>
      </c>
      <c r="C30" s="878"/>
      <c r="D30" s="878"/>
      <c r="E30" s="878"/>
    </row>
    <row r="31" spans="1:5" s="867" customFormat="1" ht="12" customHeight="1" thickBot="1" x14ac:dyDescent="0.35">
      <c r="A31" s="870" t="s">
        <v>18</v>
      </c>
      <c r="B31" s="871" t="s">
        <v>401</v>
      </c>
      <c r="C31" s="857">
        <f>+C32+C33+C34</f>
        <v>0</v>
      </c>
      <c r="D31" s="857">
        <f>+D32+D33+D34</f>
        <v>0</v>
      </c>
      <c r="E31" s="857">
        <f>+E32+E33+E34</f>
        <v>0</v>
      </c>
    </row>
    <row r="32" spans="1:5" s="867" customFormat="1" ht="12" customHeight="1" x14ac:dyDescent="0.3">
      <c r="A32" s="873" t="s">
        <v>86</v>
      </c>
      <c r="B32" s="874" t="s">
        <v>284</v>
      </c>
      <c r="C32" s="875"/>
      <c r="D32" s="875"/>
      <c r="E32" s="875"/>
    </row>
    <row r="33" spans="1:5" s="867" customFormat="1" ht="12" customHeight="1" x14ac:dyDescent="0.3">
      <c r="A33" s="873" t="s">
        <v>87</v>
      </c>
      <c r="B33" s="876" t="s">
        <v>285</v>
      </c>
      <c r="C33" s="879"/>
      <c r="D33" s="879"/>
      <c r="E33" s="879"/>
    </row>
    <row r="34" spans="1:5" s="867" customFormat="1" ht="12" customHeight="1" thickBot="1" x14ac:dyDescent="0.35">
      <c r="A34" s="862" t="s">
        <v>88</v>
      </c>
      <c r="B34" s="877" t="s">
        <v>286</v>
      </c>
      <c r="C34" s="878"/>
      <c r="D34" s="878"/>
      <c r="E34" s="878"/>
    </row>
    <row r="35" spans="1:5" s="858" customFormat="1" ht="12" customHeight="1" thickBot="1" x14ac:dyDescent="0.35">
      <c r="A35" s="870" t="s">
        <v>19</v>
      </c>
      <c r="B35" s="871" t="s">
        <v>371</v>
      </c>
      <c r="C35" s="872"/>
      <c r="D35" s="872"/>
      <c r="E35" s="872"/>
    </row>
    <row r="36" spans="1:5" s="858" customFormat="1" ht="12" customHeight="1" thickBot="1" x14ac:dyDescent="0.35">
      <c r="A36" s="870" t="s">
        <v>20</v>
      </c>
      <c r="B36" s="871" t="s">
        <v>402</v>
      </c>
      <c r="C36" s="880"/>
      <c r="D36" s="880"/>
      <c r="E36" s="880"/>
    </row>
    <row r="37" spans="1:5" s="858" customFormat="1" ht="12" customHeight="1" thickBot="1" x14ac:dyDescent="0.35">
      <c r="A37" s="850" t="s">
        <v>21</v>
      </c>
      <c r="B37" s="871" t="s">
        <v>403</v>
      </c>
      <c r="C37" s="881">
        <f>+C8+C20+C25+C26+C31+C35+C36</f>
        <v>1805010</v>
      </c>
      <c r="D37" s="881">
        <f>+D8+D20+D25+D26+D31+D35+D36</f>
        <v>1805010</v>
      </c>
      <c r="E37" s="881">
        <f>+E8+E20+E25+E26+E31+E35+E36</f>
        <v>1805010</v>
      </c>
    </row>
    <row r="38" spans="1:5" s="858" customFormat="1" ht="12" customHeight="1" thickBot="1" x14ac:dyDescent="0.35">
      <c r="A38" s="882" t="s">
        <v>22</v>
      </c>
      <c r="B38" s="871" t="s">
        <v>404</v>
      </c>
      <c r="C38" s="881">
        <f>+C39+C40+C41</f>
        <v>136428105</v>
      </c>
      <c r="D38" s="881">
        <f>+D39+D40+D41</f>
        <v>137054163</v>
      </c>
      <c r="E38" s="881">
        <f>+E39+E40+E41</f>
        <v>128509189</v>
      </c>
    </row>
    <row r="39" spans="1:5" s="858" customFormat="1" ht="12" customHeight="1" x14ac:dyDescent="0.3">
      <c r="A39" s="873" t="s">
        <v>405</v>
      </c>
      <c r="B39" s="874" t="s">
        <v>226</v>
      </c>
      <c r="C39" s="875"/>
      <c r="D39" s="875">
        <v>2291474</v>
      </c>
      <c r="E39" s="875">
        <v>2291474</v>
      </c>
    </row>
    <row r="40" spans="1:5" s="858" customFormat="1" ht="12" customHeight="1" x14ac:dyDescent="0.3">
      <c r="A40" s="873" t="s">
        <v>406</v>
      </c>
      <c r="B40" s="876" t="s">
        <v>0</v>
      </c>
      <c r="C40" s="879"/>
      <c r="D40" s="879"/>
      <c r="E40" s="879"/>
    </row>
    <row r="41" spans="1:5" s="867" customFormat="1" ht="12" customHeight="1" thickBot="1" x14ac:dyDescent="0.35">
      <c r="A41" s="862" t="s">
        <v>407</v>
      </c>
      <c r="B41" s="877" t="s">
        <v>408</v>
      </c>
      <c r="C41" s="878">
        <v>136428105</v>
      </c>
      <c r="D41" s="878">
        <f>136428105-2291474+9701500-9701500+626058</f>
        <v>134762689</v>
      </c>
      <c r="E41" s="878">
        <f>136428105-2291474+9701500-9701500+626058-8544974</f>
        <v>126217715</v>
      </c>
    </row>
    <row r="42" spans="1:5" s="867" customFormat="1" ht="15" customHeight="1" thickBot="1" x14ac:dyDescent="0.35">
      <c r="A42" s="882" t="s">
        <v>23</v>
      </c>
      <c r="B42" s="883" t="s">
        <v>409</v>
      </c>
      <c r="C42" s="884">
        <f>C37+C38</f>
        <v>138233115</v>
      </c>
      <c r="D42" s="884">
        <f>D37+D38</f>
        <v>138859173</v>
      </c>
      <c r="E42" s="884">
        <f>E37+E38</f>
        <v>130314199</v>
      </c>
    </row>
    <row r="43" spans="1:5" s="867" customFormat="1" ht="15" customHeight="1" x14ac:dyDescent="0.3">
      <c r="A43" s="885"/>
      <c r="B43" s="886"/>
      <c r="C43" s="887"/>
      <c r="D43" s="887"/>
      <c r="E43" s="887"/>
    </row>
    <row r="44" spans="1:5" ht="16" thickBot="1" x14ac:dyDescent="0.35">
      <c r="A44" s="888"/>
      <c r="B44" s="867"/>
      <c r="C44" s="889"/>
      <c r="D44" s="889"/>
      <c r="E44" s="889"/>
    </row>
    <row r="45" spans="1:5" s="418" customFormat="1" ht="16.5" customHeight="1" thickBot="1" x14ac:dyDescent="0.35">
      <c r="A45" s="847"/>
      <c r="B45" s="890" t="s">
        <v>52</v>
      </c>
      <c r="C45" s="884"/>
      <c r="D45" s="884"/>
      <c r="E45" s="884"/>
    </row>
    <row r="46" spans="1:5" s="858" customFormat="1" ht="12" customHeight="1" thickBot="1" x14ac:dyDescent="0.35">
      <c r="A46" s="870" t="s">
        <v>14</v>
      </c>
      <c r="B46" s="871" t="s">
        <v>410</v>
      </c>
      <c r="C46" s="857">
        <f>SUM(C47:C51)</f>
        <v>137788615</v>
      </c>
      <c r="D46" s="857">
        <f>SUM(D47:D51)</f>
        <v>138414673</v>
      </c>
      <c r="E46" s="857">
        <f>SUM(E47:E51)</f>
        <v>129869699</v>
      </c>
    </row>
    <row r="47" spans="1:5" ht="12" customHeight="1" x14ac:dyDescent="0.3">
      <c r="A47" s="862" t="s">
        <v>93</v>
      </c>
      <c r="B47" s="869" t="s">
        <v>44</v>
      </c>
      <c r="C47" s="875">
        <v>93062711</v>
      </c>
      <c r="D47" s="875">
        <f>93062711+472496</f>
        <v>93535207</v>
      </c>
      <c r="E47" s="875">
        <f>93062711+472496-6666599</f>
        <v>86868608</v>
      </c>
    </row>
    <row r="48" spans="1:5" ht="12" customHeight="1" x14ac:dyDescent="0.3">
      <c r="A48" s="862" t="s">
        <v>94</v>
      </c>
      <c r="B48" s="863" t="s">
        <v>172</v>
      </c>
      <c r="C48" s="891">
        <v>17002243</v>
      </c>
      <c r="D48" s="891">
        <f>17002243+153562</f>
        <v>17155805</v>
      </c>
      <c r="E48" s="891">
        <f>17002243+153562-1878375</f>
        <v>15277430</v>
      </c>
    </row>
    <row r="49" spans="1:5" ht="12" customHeight="1" x14ac:dyDescent="0.3">
      <c r="A49" s="862" t="s">
        <v>95</v>
      </c>
      <c r="B49" s="863" t="s">
        <v>131</v>
      </c>
      <c r="C49" s="891">
        <v>27723661</v>
      </c>
      <c r="D49" s="891">
        <v>27723661</v>
      </c>
      <c r="E49" s="891">
        <v>27723661</v>
      </c>
    </row>
    <row r="50" spans="1:5" ht="12" customHeight="1" x14ac:dyDescent="0.3">
      <c r="A50" s="862" t="s">
        <v>96</v>
      </c>
      <c r="B50" s="863" t="s">
        <v>173</v>
      </c>
      <c r="C50" s="891"/>
      <c r="D50" s="891"/>
      <c r="E50" s="891"/>
    </row>
    <row r="51" spans="1:5" ht="12" customHeight="1" thickBot="1" x14ac:dyDescent="0.35">
      <c r="A51" s="862" t="s">
        <v>139</v>
      </c>
      <c r="B51" s="863" t="s">
        <v>174</v>
      </c>
      <c r="C51" s="891"/>
      <c r="D51" s="891"/>
      <c r="E51" s="891"/>
    </row>
    <row r="52" spans="1:5" ht="12" customHeight="1" thickBot="1" x14ac:dyDescent="0.35">
      <c r="A52" s="870" t="s">
        <v>15</v>
      </c>
      <c r="B52" s="871" t="s">
        <v>411</v>
      </c>
      <c r="C52" s="857">
        <f>SUM(C53:C55)</f>
        <v>444500</v>
      </c>
      <c r="D52" s="857">
        <f>SUM(D53:D55)</f>
        <v>444500</v>
      </c>
      <c r="E52" s="857">
        <f>SUM(E53:E55)</f>
        <v>444500</v>
      </c>
    </row>
    <row r="53" spans="1:5" s="858" customFormat="1" ht="12" customHeight="1" x14ac:dyDescent="0.3">
      <c r="A53" s="862" t="s">
        <v>99</v>
      </c>
      <c r="B53" s="869" t="s">
        <v>217</v>
      </c>
      <c r="C53" s="875">
        <v>444500</v>
      </c>
      <c r="D53" s="875">
        <v>444500</v>
      </c>
      <c r="E53" s="875">
        <v>444500</v>
      </c>
    </row>
    <row r="54" spans="1:5" ht="12" customHeight="1" x14ac:dyDescent="0.3">
      <c r="A54" s="862" t="s">
        <v>100</v>
      </c>
      <c r="B54" s="863" t="s">
        <v>176</v>
      </c>
      <c r="C54" s="891"/>
      <c r="D54" s="891"/>
      <c r="E54" s="891"/>
    </row>
    <row r="55" spans="1:5" ht="12" customHeight="1" x14ac:dyDescent="0.3">
      <c r="A55" s="862" t="s">
        <v>101</v>
      </c>
      <c r="B55" s="863" t="s">
        <v>53</v>
      </c>
      <c r="C55" s="891"/>
      <c r="D55" s="891"/>
      <c r="E55" s="891"/>
    </row>
    <row r="56" spans="1:5" ht="12" customHeight="1" thickBot="1" x14ac:dyDescent="0.35">
      <c r="A56" s="862" t="s">
        <v>102</v>
      </c>
      <c r="B56" s="863" t="s">
        <v>514</v>
      </c>
      <c r="C56" s="891"/>
      <c r="D56" s="891"/>
      <c r="E56" s="891"/>
    </row>
    <row r="57" spans="1:5" ht="15" customHeight="1" thickBot="1" x14ac:dyDescent="0.35">
      <c r="A57" s="870" t="s">
        <v>16</v>
      </c>
      <c r="B57" s="871" t="s">
        <v>10</v>
      </c>
      <c r="C57" s="872"/>
      <c r="D57" s="872"/>
      <c r="E57" s="872"/>
    </row>
    <row r="58" spans="1:5" ht="16" thickBot="1" x14ac:dyDescent="0.35">
      <c r="A58" s="870" t="s">
        <v>17</v>
      </c>
      <c r="B58" s="892" t="s">
        <v>519</v>
      </c>
      <c r="C58" s="893">
        <f>+C46+C52+C57</f>
        <v>138233115</v>
      </c>
      <c r="D58" s="893">
        <f>+D46+D52+D57</f>
        <v>138859173</v>
      </c>
      <c r="E58" s="893">
        <f>+E46+E52+E57</f>
        <v>130314199</v>
      </c>
    </row>
    <row r="59" spans="1:5" ht="15" customHeight="1" thickBot="1" x14ac:dyDescent="0.35">
      <c r="C59" s="895"/>
      <c r="D59" s="895"/>
      <c r="E59" s="895"/>
    </row>
    <row r="60" spans="1:5" ht="14.25" customHeight="1" thickBot="1" x14ac:dyDescent="0.35">
      <c r="A60" s="896" t="s">
        <v>509</v>
      </c>
      <c r="B60" s="897"/>
      <c r="C60" s="898">
        <v>21</v>
      </c>
      <c r="D60" s="898">
        <v>21</v>
      </c>
      <c r="E60" s="898">
        <v>21</v>
      </c>
    </row>
    <row r="61" spans="1:5" ht="16" thickBot="1" x14ac:dyDescent="0.35">
      <c r="A61" s="896" t="s">
        <v>194</v>
      </c>
      <c r="B61" s="897"/>
      <c r="C61" s="898"/>
      <c r="D61" s="898"/>
      <c r="E61" s="89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8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E61"/>
  <sheetViews>
    <sheetView topLeftCell="B1" zoomScaleNormal="100" workbookViewId="0">
      <selection activeCell="B1" sqref="B1"/>
    </sheetView>
  </sheetViews>
  <sheetFormatPr defaultColWidth="9.296875" defaultRowHeight="13" x14ac:dyDescent="0.3"/>
  <cols>
    <col min="1" max="1" width="13.796875" style="829" customWidth="1"/>
    <col min="2" max="2" width="79.19921875" style="828" customWidth="1"/>
    <col min="3" max="5" width="25" style="828" customWidth="1"/>
    <col min="6" max="16384" width="9.296875" style="828"/>
  </cols>
  <sheetData>
    <row r="1" spans="1:5" s="406" customFormat="1" ht="21" customHeight="1" thickBot="1" x14ac:dyDescent="0.35">
      <c r="A1" s="404"/>
      <c r="B1" s="405" t="s">
        <v>747</v>
      </c>
      <c r="C1" s="405"/>
      <c r="D1" s="405"/>
      <c r="E1" s="405"/>
    </row>
    <row r="2" spans="1:5" s="409" customFormat="1" ht="34.5" customHeight="1" x14ac:dyDescent="0.3">
      <c r="A2" s="407" t="s">
        <v>192</v>
      </c>
      <c r="B2" s="408" t="s">
        <v>550</v>
      </c>
      <c r="C2" s="542" t="s">
        <v>54</v>
      </c>
      <c r="D2" s="542" t="s">
        <v>54</v>
      </c>
      <c r="E2" s="542" t="s">
        <v>54</v>
      </c>
    </row>
    <row r="3" spans="1:5" s="409" customFormat="1" ht="23.5" thickBot="1" x14ac:dyDescent="0.35">
      <c r="A3" s="410" t="s">
        <v>191</v>
      </c>
      <c r="B3" s="411" t="s">
        <v>393</v>
      </c>
      <c r="C3" s="543" t="s">
        <v>49</v>
      </c>
      <c r="D3" s="543" t="s">
        <v>49</v>
      </c>
      <c r="E3" s="543" t="s">
        <v>49</v>
      </c>
    </row>
    <row r="4" spans="1:5" s="413" customFormat="1" ht="16" customHeight="1" thickBot="1" x14ac:dyDescent="0.4">
      <c r="A4" s="412"/>
      <c r="B4" s="412"/>
      <c r="C4" s="544" t="s">
        <v>579</v>
      </c>
      <c r="D4" s="544" t="s">
        <v>579</v>
      </c>
      <c r="E4" s="544" t="s">
        <v>579</v>
      </c>
    </row>
    <row r="5" spans="1:5" ht="23.5" thickBot="1" x14ac:dyDescent="0.35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730</v>
      </c>
    </row>
    <row r="6" spans="1:5" s="418" customFormat="1" ht="13" customHeight="1" thickBot="1" x14ac:dyDescent="0.35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6" customHeight="1" thickBot="1" x14ac:dyDescent="0.35">
      <c r="A7" s="419"/>
      <c r="B7" s="420" t="s">
        <v>51</v>
      </c>
      <c r="C7" s="546"/>
      <c r="D7" s="546"/>
      <c r="E7" s="546"/>
    </row>
    <row r="8" spans="1:5" s="422" customFormat="1" ht="12" customHeight="1" thickBot="1" x14ac:dyDescent="0.35">
      <c r="A8" s="416" t="s">
        <v>14</v>
      </c>
      <c r="B8" s="421" t="s">
        <v>510</v>
      </c>
      <c r="C8" s="547">
        <f>SUM(C9:C19)</f>
        <v>605010</v>
      </c>
      <c r="D8" s="547">
        <f>SUM(D9:D19)</f>
        <v>605010</v>
      </c>
      <c r="E8" s="547">
        <f>SUM(E9:E19)</f>
        <v>605010</v>
      </c>
    </row>
    <row r="9" spans="1:5" s="422" customFormat="1" ht="12" customHeight="1" x14ac:dyDescent="0.3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 x14ac:dyDescent="0.3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 x14ac:dyDescent="0.3">
      <c r="A11" s="425" t="s">
        <v>95</v>
      </c>
      <c r="B11" s="426" t="s">
        <v>272</v>
      </c>
      <c r="C11" s="549">
        <v>600000</v>
      </c>
      <c r="D11" s="549">
        <v>600000</v>
      </c>
      <c r="E11" s="549">
        <v>600000</v>
      </c>
    </row>
    <row r="12" spans="1:5" s="422" customFormat="1" ht="12" customHeight="1" x14ac:dyDescent="0.3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 x14ac:dyDescent="0.3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 x14ac:dyDescent="0.3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 x14ac:dyDescent="0.3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 x14ac:dyDescent="0.3">
      <c r="A16" s="425" t="s">
        <v>108</v>
      </c>
      <c r="B16" s="426" t="s">
        <v>277</v>
      </c>
      <c r="C16" s="550">
        <v>10</v>
      </c>
      <c r="D16" s="550">
        <v>10</v>
      </c>
      <c r="E16" s="550">
        <v>10</v>
      </c>
    </row>
    <row r="17" spans="1:5" s="428" customFormat="1" ht="12" customHeight="1" x14ac:dyDescent="0.3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 x14ac:dyDescent="0.3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 x14ac:dyDescent="0.35">
      <c r="A19" s="425" t="s">
        <v>111</v>
      </c>
      <c r="B19" s="427" t="s">
        <v>279</v>
      </c>
      <c r="C19" s="551">
        <v>5000</v>
      </c>
      <c r="D19" s="551">
        <v>5000</v>
      </c>
      <c r="E19" s="551">
        <v>5000</v>
      </c>
    </row>
    <row r="20" spans="1:5" s="422" customFormat="1" ht="12" customHeight="1" thickBot="1" x14ac:dyDescent="0.35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 x14ac:dyDescent="0.3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 x14ac:dyDescent="0.3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 x14ac:dyDescent="0.3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 x14ac:dyDescent="0.35">
      <c r="A24" s="425" t="s">
        <v>102</v>
      </c>
      <c r="B24" s="426" t="s">
        <v>511</v>
      </c>
      <c r="C24" s="549"/>
      <c r="D24" s="549"/>
      <c r="E24" s="549"/>
    </row>
    <row r="25" spans="1:5" s="428" customFormat="1" ht="12" customHeight="1" thickBot="1" x14ac:dyDescent="0.35">
      <c r="A25" s="430" t="s">
        <v>16</v>
      </c>
      <c r="B25" s="431" t="s">
        <v>163</v>
      </c>
      <c r="C25" s="552">
        <v>650000</v>
      </c>
      <c r="D25" s="552">
        <v>650000</v>
      </c>
      <c r="E25" s="552">
        <v>650000</v>
      </c>
    </row>
    <row r="26" spans="1:5" s="428" customFormat="1" ht="12" customHeight="1" thickBot="1" x14ac:dyDescent="0.35">
      <c r="A26" s="430" t="s">
        <v>17</v>
      </c>
      <c r="B26" s="431" t="s">
        <v>512</v>
      </c>
      <c r="C26" s="547">
        <f>+C27+C28+C29</f>
        <v>0</v>
      </c>
      <c r="D26" s="547">
        <f>+D27+D28+D29</f>
        <v>0</v>
      </c>
      <c r="E26" s="547">
        <f>+E27+E28+E29</f>
        <v>0</v>
      </c>
    </row>
    <row r="27" spans="1:5" s="428" customFormat="1" ht="12" customHeight="1" x14ac:dyDescent="0.3">
      <c r="A27" s="432" t="s">
        <v>257</v>
      </c>
      <c r="B27" s="433" t="s">
        <v>252</v>
      </c>
      <c r="C27" s="553"/>
      <c r="D27" s="553"/>
      <c r="E27" s="553"/>
    </row>
    <row r="28" spans="1:5" s="428" customFormat="1" ht="12" customHeight="1" x14ac:dyDescent="0.3">
      <c r="A28" s="432" t="s">
        <v>260</v>
      </c>
      <c r="B28" s="433" t="s">
        <v>397</v>
      </c>
      <c r="C28" s="549"/>
      <c r="D28" s="549"/>
      <c r="E28" s="549"/>
    </row>
    <row r="29" spans="1:5" s="428" customFormat="1" ht="12" customHeight="1" x14ac:dyDescent="0.3">
      <c r="A29" s="432" t="s">
        <v>261</v>
      </c>
      <c r="B29" s="434" t="s">
        <v>400</v>
      </c>
      <c r="C29" s="549"/>
      <c r="D29" s="549"/>
      <c r="E29" s="549"/>
    </row>
    <row r="30" spans="1:5" s="428" customFormat="1" ht="12" customHeight="1" thickBot="1" x14ac:dyDescent="0.35">
      <c r="A30" s="425" t="s">
        <v>262</v>
      </c>
      <c r="B30" s="435" t="s">
        <v>513</v>
      </c>
      <c r="C30" s="555"/>
      <c r="D30" s="555"/>
      <c r="E30" s="555"/>
    </row>
    <row r="31" spans="1:5" s="428" customFormat="1" ht="12" customHeight="1" thickBot="1" x14ac:dyDescent="0.35">
      <c r="A31" s="430" t="s">
        <v>18</v>
      </c>
      <c r="B31" s="431" t="s">
        <v>401</v>
      </c>
      <c r="C31" s="547">
        <f>+C32+C33+C34</f>
        <v>0</v>
      </c>
      <c r="D31" s="547">
        <f>+D32+D33+D34</f>
        <v>0</v>
      </c>
      <c r="E31" s="547">
        <f>+E32+E33+E34</f>
        <v>0</v>
      </c>
    </row>
    <row r="32" spans="1:5" s="428" customFormat="1" ht="12" customHeight="1" x14ac:dyDescent="0.3">
      <c r="A32" s="432" t="s">
        <v>86</v>
      </c>
      <c r="B32" s="433" t="s">
        <v>284</v>
      </c>
      <c r="C32" s="553"/>
      <c r="D32" s="553"/>
      <c r="E32" s="553"/>
    </row>
    <row r="33" spans="1:5" s="428" customFormat="1" ht="12" customHeight="1" x14ac:dyDescent="0.3">
      <c r="A33" s="432" t="s">
        <v>87</v>
      </c>
      <c r="B33" s="434" t="s">
        <v>285</v>
      </c>
      <c r="C33" s="554"/>
      <c r="D33" s="554"/>
      <c r="E33" s="554"/>
    </row>
    <row r="34" spans="1:5" s="428" customFormat="1" ht="12" customHeight="1" thickBot="1" x14ac:dyDescent="0.35">
      <c r="A34" s="425" t="s">
        <v>88</v>
      </c>
      <c r="B34" s="435" t="s">
        <v>286</v>
      </c>
      <c r="C34" s="555"/>
      <c r="D34" s="555"/>
      <c r="E34" s="555"/>
    </row>
    <row r="35" spans="1:5" s="422" customFormat="1" ht="12" customHeight="1" thickBot="1" x14ac:dyDescent="0.35">
      <c r="A35" s="430" t="s">
        <v>19</v>
      </c>
      <c r="B35" s="431" t="s">
        <v>371</v>
      </c>
      <c r="C35" s="552"/>
      <c r="D35" s="552"/>
      <c r="E35" s="552"/>
    </row>
    <row r="36" spans="1:5" s="422" customFormat="1" ht="12" customHeight="1" thickBot="1" x14ac:dyDescent="0.35">
      <c r="A36" s="430" t="s">
        <v>20</v>
      </c>
      <c r="B36" s="431" t="s">
        <v>402</v>
      </c>
      <c r="C36" s="556"/>
      <c r="D36" s="556"/>
      <c r="E36" s="556"/>
    </row>
    <row r="37" spans="1:5" s="422" customFormat="1" ht="12" customHeight="1" thickBot="1" x14ac:dyDescent="0.35">
      <c r="A37" s="416" t="s">
        <v>21</v>
      </c>
      <c r="B37" s="431" t="s">
        <v>403</v>
      </c>
      <c r="C37" s="557">
        <f>+C8+C20+C25+C26+C31+C35+C36</f>
        <v>1255010</v>
      </c>
      <c r="D37" s="557">
        <f>+D8+D20+D25+D26+D31+D35+D36</f>
        <v>1255010</v>
      </c>
      <c r="E37" s="557">
        <f>+E8+E20+E25+E26+E31+E35+E36</f>
        <v>1255010</v>
      </c>
    </row>
    <row r="38" spans="1:5" s="422" customFormat="1" ht="12" customHeight="1" thickBot="1" x14ac:dyDescent="0.35">
      <c r="A38" s="436" t="s">
        <v>22</v>
      </c>
      <c r="B38" s="431" t="s">
        <v>404</v>
      </c>
      <c r="C38" s="557">
        <f>+C39+C40+C41</f>
        <v>79992067</v>
      </c>
      <c r="D38" s="557">
        <f>+D39+D40+D41</f>
        <v>80340598</v>
      </c>
      <c r="E38" s="557">
        <f>+E39+E40+E41</f>
        <v>75543770</v>
      </c>
    </row>
    <row r="39" spans="1:5" s="422" customFormat="1" ht="12" customHeight="1" x14ac:dyDescent="0.3">
      <c r="A39" s="432" t="s">
        <v>405</v>
      </c>
      <c r="B39" s="433" t="s">
        <v>226</v>
      </c>
      <c r="C39" s="553"/>
      <c r="D39" s="553">
        <v>2291474</v>
      </c>
      <c r="E39" s="553">
        <v>2291474</v>
      </c>
    </row>
    <row r="40" spans="1:5" s="422" customFormat="1" ht="12" customHeight="1" x14ac:dyDescent="0.3">
      <c r="A40" s="432" t="s">
        <v>406</v>
      </c>
      <c r="B40" s="434" t="s">
        <v>0</v>
      </c>
      <c r="C40" s="554"/>
      <c r="D40" s="554"/>
      <c r="E40" s="554"/>
    </row>
    <row r="41" spans="1:5" s="428" customFormat="1" ht="12" customHeight="1" thickBot="1" x14ac:dyDescent="0.35">
      <c r="A41" s="425" t="s">
        <v>407</v>
      </c>
      <c r="B41" s="435" t="s">
        <v>408</v>
      </c>
      <c r="C41" s="555">
        <v>79992067</v>
      </c>
      <c r="D41" s="555">
        <f>79992067-2291474+6322108-6322108+348531</f>
        <v>78049124</v>
      </c>
      <c r="E41" s="555">
        <f>79992067-2291474+6322108-6322108+348531-4796828</f>
        <v>73252296</v>
      </c>
    </row>
    <row r="42" spans="1:5" s="428" customFormat="1" ht="15" customHeight="1" thickBot="1" x14ac:dyDescent="0.3">
      <c r="A42" s="436" t="s">
        <v>23</v>
      </c>
      <c r="B42" s="437" t="s">
        <v>409</v>
      </c>
      <c r="C42" s="558">
        <f>C37+C38</f>
        <v>81247077</v>
      </c>
      <c r="D42" s="558">
        <f>D37+D38</f>
        <v>81595608</v>
      </c>
      <c r="E42" s="558">
        <f>E37+E38</f>
        <v>76798780</v>
      </c>
    </row>
    <row r="43" spans="1:5" s="428" customFormat="1" ht="15" customHeight="1" x14ac:dyDescent="0.3">
      <c r="A43" s="438"/>
      <c r="B43" s="439"/>
      <c r="C43" s="559"/>
      <c r="D43" s="559"/>
      <c r="E43" s="559"/>
    </row>
    <row r="44" spans="1:5" ht="13.5" thickBot="1" x14ac:dyDescent="0.35">
      <c r="A44" s="440"/>
      <c r="B44" s="441"/>
      <c r="C44" s="560"/>
      <c r="D44" s="560"/>
      <c r="E44" s="560"/>
    </row>
    <row r="45" spans="1:5" s="418" customFormat="1" ht="16.5" customHeight="1" thickBot="1" x14ac:dyDescent="0.35">
      <c r="A45" s="442"/>
      <c r="B45" s="443" t="s">
        <v>52</v>
      </c>
      <c r="C45" s="558"/>
      <c r="D45" s="558"/>
      <c r="E45" s="558"/>
    </row>
    <row r="46" spans="1:5" s="444" customFormat="1" ht="12" customHeight="1" thickBot="1" x14ac:dyDescent="0.35">
      <c r="A46" s="430" t="s">
        <v>14</v>
      </c>
      <c r="B46" s="431" t="s">
        <v>410</v>
      </c>
      <c r="C46" s="547">
        <f>SUM(C47:C51)</f>
        <v>80866077</v>
      </c>
      <c r="D46" s="547">
        <f>SUM(D47:D51)</f>
        <v>81214608</v>
      </c>
      <c r="E46" s="547">
        <f>SUM(E47:E51)</f>
        <v>76417780</v>
      </c>
    </row>
    <row r="47" spans="1:5" ht="12" customHeight="1" x14ac:dyDescent="0.3">
      <c r="A47" s="425" t="s">
        <v>93</v>
      </c>
      <c r="B47" s="429" t="s">
        <v>44</v>
      </c>
      <c r="C47" s="553">
        <v>49846858</v>
      </c>
      <c r="D47" s="553">
        <f>49846858+263042</f>
        <v>50109900</v>
      </c>
      <c r="E47" s="553">
        <f>49846858+263042-3757669</f>
        <v>46352231</v>
      </c>
    </row>
    <row r="48" spans="1:5" ht="12" customHeight="1" x14ac:dyDescent="0.3">
      <c r="A48" s="425" t="s">
        <v>94</v>
      </c>
      <c r="B48" s="426" t="s">
        <v>172</v>
      </c>
      <c r="C48" s="561">
        <v>9210598</v>
      </c>
      <c r="D48" s="561">
        <f>9210598+85489</f>
        <v>9296087</v>
      </c>
      <c r="E48" s="561">
        <f>9210598+85489-1039159</f>
        <v>8256928</v>
      </c>
    </row>
    <row r="49" spans="1:5" ht="12" customHeight="1" x14ac:dyDescent="0.3">
      <c r="A49" s="425" t="s">
        <v>95</v>
      </c>
      <c r="B49" s="426" t="s">
        <v>131</v>
      </c>
      <c r="C49" s="561">
        <v>21808621</v>
      </c>
      <c r="D49" s="561">
        <v>21808621</v>
      </c>
      <c r="E49" s="561">
        <v>21808621</v>
      </c>
    </row>
    <row r="50" spans="1:5" ht="12" customHeight="1" x14ac:dyDescent="0.3">
      <c r="A50" s="425" t="s">
        <v>96</v>
      </c>
      <c r="B50" s="426" t="s">
        <v>173</v>
      </c>
      <c r="C50" s="561"/>
      <c r="D50" s="561"/>
      <c r="E50" s="561"/>
    </row>
    <row r="51" spans="1:5" ht="12" customHeight="1" thickBot="1" x14ac:dyDescent="0.35">
      <c r="A51" s="425" t="s">
        <v>139</v>
      </c>
      <c r="B51" s="426" t="s">
        <v>174</v>
      </c>
      <c r="C51" s="561"/>
      <c r="D51" s="561"/>
      <c r="E51" s="561"/>
    </row>
    <row r="52" spans="1:5" ht="12" customHeight="1" thickBot="1" x14ac:dyDescent="0.35">
      <c r="A52" s="430" t="s">
        <v>15</v>
      </c>
      <c r="B52" s="431" t="s">
        <v>411</v>
      </c>
      <c r="C52" s="547">
        <f>SUM(C53:C55)</f>
        <v>381000</v>
      </c>
      <c r="D52" s="547">
        <f>SUM(D53:D55)</f>
        <v>381000</v>
      </c>
      <c r="E52" s="547">
        <f>SUM(E53:E55)</f>
        <v>381000</v>
      </c>
    </row>
    <row r="53" spans="1:5" s="444" customFormat="1" ht="12" customHeight="1" x14ac:dyDescent="0.3">
      <c r="A53" s="425" t="s">
        <v>99</v>
      </c>
      <c r="B53" s="429" t="s">
        <v>217</v>
      </c>
      <c r="C53" s="553">
        <v>381000</v>
      </c>
      <c r="D53" s="553">
        <v>381000</v>
      </c>
      <c r="E53" s="553">
        <v>381000</v>
      </c>
    </row>
    <row r="54" spans="1:5" ht="12" customHeight="1" x14ac:dyDescent="0.3">
      <c r="A54" s="425" t="s">
        <v>100</v>
      </c>
      <c r="B54" s="426" t="s">
        <v>176</v>
      </c>
      <c r="C54" s="561"/>
      <c r="D54" s="561"/>
      <c r="E54" s="561"/>
    </row>
    <row r="55" spans="1:5" ht="12" customHeight="1" x14ac:dyDescent="0.3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 x14ac:dyDescent="0.35">
      <c r="A56" s="425" t="s">
        <v>102</v>
      </c>
      <c r="B56" s="426" t="s">
        <v>514</v>
      </c>
      <c r="C56" s="561"/>
      <c r="D56" s="561"/>
      <c r="E56" s="561"/>
    </row>
    <row r="57" spans="1:5" ht="12" customHeight="1" thickBot="1" x14ac:dyDescent="0.35">
      <c r="A57" s="430" t="s">
        <v>16</v>
      </c>
      <c r="B57" s="431" t="s">
        <v>10</v>
      </c>
      <c r="C57" s="552"/>
      <c r="D57" s="552"/>
      <c r="E57" s="552"/>
    </row>
    <row r="58" spans="1:5" ht="15" customHeight="1" thickBot="1" x14ac:dyDescent="0.35">
      <c r="A58" s="430" t="s">
        <v>17</v>
      </c>
      <c r="B58" s="445" t="s">
        <v>519</v>
      </c>
      <c r="C58" s="562">
        <f>+C46+C52+C57</f>
        <v>81247077</v>
      </c>
      <c r="D58" s="562">
        <f>+D46+D52+D57</f>
        <v>81595608</v>
      </c>
      <c r="E58" s="562">
        <f>+E46+E52+E57</f>
        <v>76798780</v>
      </c>
    </row>
    <row r="59" spans="1:5" ht="13.5" thickBot="1" x14ac:dyDescent="0.35">
      <c r="C59" s="830"/>
      <c r="D59" s="830"/>
      <c r="E59" s="830"/>
    </row>
    <row r="60" spans="1:5" ht="15" customHeight="1" thickBot="1" x14ac:dyDescent="0.35">
      <c r="A60" s="446" t="s">
        <v>509</v>
      </c>
      <c r="B60" s="447"/>
      <c r="C60" s="563">
        <v>12</v>
      </c>
      <c r="D60" s="563">
        <v>12</v>
      </c>
      <c r="E60" s="563">
        <v>12</v>
      </c>
    </row>
    <row r="61" spans="1:5" ht="14.25" customHeight="1" thickBot="1" x14ac:dyDescent="0.35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E61"/>
  <sheetViews>
    <sheetView topLeftCell="B1" zoomScaleNormal="100" workbookViewId="0">
      <selection activeCell="B1" sqref="B1"/>
    </sheetView>
  </sheetViews>
  <sheetFormatPr defaultColWidth="9.296875" defaultRowHeight="13" x14ac:dyDescent="0.3"/>
  <cols>
    <col min="1" max="1" width="13.796875" style="829" customWidth="1"/>
    <col min="2" max="2" width="79.19921875" style="828" customWidth="1"/>
    <col min="3" max="5" width="25" style="828" customWidth="1"/>
    <col min="6" max="16384" width="9.296875" style="828"/>
  </cols>
  <sheetData>
    <row r="1" spans="1:5" s="406" customFormat="1" ht="21" customHeight="1" thickBot="1" x14ac:dyDescent="0.35">
      <c r="A1" s="404"/>
      <c r="B1" s="405" t="s">
        <v>748</v>
      </c>
      <c r="C1" s="405"/>
      <c r="D1" s="405"/>
      <c r="E1" s="405"/>
    </row>
    <row r="2" spans="1:5" s="409" customFormat="1" ht="34.5" customHeight="1" x14ac:dyDescent="0.3">
      <c r="A2" s="407" t="s">
        <v>192</v>
      </c>
      <c r="B2" s="408" t="s">
        <v>551</v>
      </c>
      <c r="C2" s="542" t="s">
        <v>54</v>
      </c>
      <c r="D2" s="542" t="s">
        <v>54</v>
      </c>
      <c r="E2" s="542" t="s">
        <v>54</v>
      </c>
    </row>
    <row r="3" spans="1:5" s="409" customFormat="1" ht="23.5" thickBot="1" x14ac:dyDescent="0.35">
      <c r="A3" s="410" t="s">
        <v>191</v>
      </c>
      <c r="B3" s="411" t="s">
        <v>393</v>
      </c>
      <c r="C3" s="543" t="s">
        <v>49</v>
      </c>
      <c r="D3" s="543" t="s">
        <v>49</v>
      </c>
      <c r="E3" s="543" t="s">
        <v>49</v>
      </c>
    </row>
    <row r="4" spans="1:5" s="413" customFormat="1" ht="16" customHeight="1" thickBot="1" x14ac:dyDescent="0.4">
      <c r="A4" s="412"/>
      <c r="B4" s="412"/>
      <c r="C4" s="544" t="s">
        <v>579</v>
      </c>
      <c r="D4" s="544" t="s">
        <v>579</v>
      </c>
      <c r="E4" s="544" t="s">
        <v>579</v>
      </c>
    </row>
    <row r="5" spans="1:5" ht="23.5" customHeight="1" thickBot="1" x14ac:dyDescent="0.35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730</v>
      </c>
    </row>
    <row r="6" spans="1:5" s="418" customFormat="1" ht="13" customHeight="1" thickBot="1" x14ac:dyDescent="0.35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6" customHeight="1" thickBot="1" x14ac:dyDescent="0.35">
      <c r="A7" s="419"/>
      <c r="B7" s="420" t="s">
        <v>51</v>
      </c>
      <c r="C7" s="546"/>
      <c r="D7" s="546"/>
      <c r="E7" s="546"/>
    </row>
    <row r="8" spans="1:5" s="422" customFormat="1" ht="12" customHeight="1" thickBot="1" x14ac:dyDescent="0.35">
      <c r="A8" s="416" t="s">
        <v>14</v>
      </c>
      <c r="B8" s="421" t="s">
        <v>510</v>
      </c>
      <c r="C8" s="547">
        <f>SUM(C9:C19)</f>
        <v>0</v>
      </c>
      <c r="D8" s="547">
        <f>SUM(D9:D19)</f>
        <v>0</v>
      </c>
      <c r="E8" s="547">
        <f>SUM(E9:E19)</f>
        <v>0</v>
      </c>
    </row>
    <row r="9" spans="1:5" s="422" customFormat="1" ht="12" customHeight="1" x14ac:dyDescent="0.3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 x14ac:dyDescent="0.3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 x14ac:dyDescent="0.3">
      <c r="A11" s="425" t="s">
        <v>95</v>
      </c>
      <c r="B11" s="426" t="s">
        <v>272</v>
      </c>
      <c r="C11" s="549"/>
      <c r="D11" s="549"/>
      <c r="E11" s="549"/>
    </row>
    <row r="12" spans="1:5" s="422" customFormat="1" ht="12" customHeight="1" x14ac:dyDescent="0.3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 x14ac:dyDescent="0.3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 x14ac:dyDescent="0.3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 x14ac:dyDescent="0.3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 x14ac:dyDescent="0.3">
      <c r="A16" s="425" t="s">
        <v>108</v>
      </c>
      <c r="B16" s="426" t="s">
        <v>277</v>
      </c>
      <c r="C16" s="550"/>
      <c r="D16" s="550"/>
      <c r="E16" s="550"/>
    </row>
    <row r="17" spans="1:5" s="428" customFormat="1" ht="12" customHeight="1" x14ac:dyDescent="0.3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 x14ac:dyDescent="0.3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 x14ac:dyDescent="0.35">
      <c r="A19" s="425" t="s">
        <v>111</v>
      </c>
      <c r="B19" s="427" t="s">
        <v>279</v>
      </c>
      <c r="C19" s="551"/>
      <c r="D19" s="551"/>
      <c r="E19" s="551"/>
    </row>
    <row r="20" spans="1:5" s="422" customFormat="1" ht="12" customHeight="1" thickBot="1" x14ac:dyDescent="0.35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 x14ac:dyDescent="0.3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 x14ac:dyDescent="0.3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 x14ac:dyDescent="0.3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 x14ac:dyDescent="0.35">
      <c r="A24" s="425" t="s">
        <v>102</v>
      </c>
      <c r="B24" s="426" t="s">
        <v>511</v>
      </c>
      <c r="C24" s="549"/>
      <c r="D24" s="549"/>
      <c r="E24" s="549"/>
    </row>
    <row r="25" spans="1:5" s="428" customFormat="1" ht="12" customHeight="1" thickBot="1" x14ac:dyDescent="0.35">
      <c r="A25" s="430" t="s">
        <v>16</v>
      </c>
      <c r="B25" s="431" t="s">
        <v>163</v>
      </c>
      <c r="C25" s="552">
        <v>550000</v>
      </c>
      <c r="D25" s="552">
        <v>550000</v>
      </c>
      <c r="E25" s="552">
        <v>550000</v>
      </c>
    </row>
    <row r="26" spans="1:5" s="428" customFormat="1" ht="12" customHeight="1" thickBot="1" x14ac:dyDescent="0.35">
      <c r="A26" s="430" t="s">
        <v>17</v>
      </c>
      <c r="B26" s="431" t="s">
        <v>512</v>
      </c>
      <c r="C26" s="547">
        <f>+C27+C28+C29</f>
        <v>0</v>
      </c>
      <c r="D26" s="547">
        <f>+D27+D28+D29</f>
        <v>0</v>
      </c>
      <c r="E26" s="547">
        <f>+E27+E28+E29</f>
        <v>0</v>
      </c>
    </row>
    <row r="27" spans="1:5" s="428" customFormat="1" ht="12" customHeight="1" x14ac:dyDescent="0.3">
      <c r="A27" s="432" t="s">
        <v>257</v>
      </c>
      <c r="B27" s="433" t="s">
        <v>252</v>
      </c>
      <c r="C27" s="553"/>
      <c r="D27" s="553"/>
      <c r="E27" s="553"/>
    </row>
    <row r="28" spans="1:5" s="428" customFormat="1" ht="12" customHeight="1" x14ac:dyDescent="0.3">
      <c r="A28" s="432" t="s">
        <v>260</v>
      </c>
      <c r="B28" s="433" t="s">
        <v>397</v>
      </c>
      <c r="C28" s="549"/>
      <c r="D28" s="549"/>
      <c r="E28" s="549"/>
    </row>
    <row r="29" spans="1:5" s="428" customFormat="1" ht="12" customHeight="1" x14ac:dyDescent="0.3">
      <c r="A29" s="432" t="s">
        <v>261</v>
      </c>
      <c r="B29" s="434" t="s">
        <v>400</v>
      </c>
      <c r="C29" s="549"/>
      <c r="D29" s="549"/>
      <c r="E29" s="549"/>
    </row>
    <row r="30" spans="1:5" s="428" customFormat="1" ht="12" customHeight="1" thickBot="1" x14ac:dyDescent="0.35">
      <c r="A30" s="425" t="s">
        <v>262</v>
      </c>
      <c r="B30" s="435" t="s">
        <v>513</v>
      </c>
      <c r="C30" s="555"/>
      <c r="D30" s="555"/>
      <c r="E30" s="555"/>
    </row>
    <row r="31" spans="1:5" s="428" customFormat="1" ht="12" customHeight="1" thickBot="1" x14ac:dyDescent="0.35">
      <c r="A31" s="430" t="s">
        <v>18</v>
      </c>
      <c r="B31" s="431" t="s">
        <v>401</v>
      </c>
      <c r="C31" s="547">
        <f>+C32+C33+C34</f>
        <v>0</v>
      </c>
      <c r="D31" s="547">
        <f>+D32+D33+D34</f>
        <v>0</v>
      </c>
      <c r="E31" s="547">
        <f>+E32+E33+E34</f>
        <v>0</v>
      </c>
    </row>
    <row r="32" spans="1:5" s="428" customFormat="1" ht="12" customHeight="1" x14ac:dyDescent="0.3">
      <c r="A32" s="432" t="s">
        <v>86</v>
      </c>
      <c r="B32" s="433" t="s">
        <v>284</v>
      </c>
      <c r="C32" s="553"/>
      <c r="D32" s="553"/>
      <c r="E32" s="553"/>
    </row>
    <row r="33" spans="1:5" s="428" customFormat="1" ht="12" customHeight="1" x14ac:dyDescent="0.3">
      <c r="A33" s="432" t="s">
        <v>87</v>
      </c>
      <c r="B33" s="434" t="s">
        <v>285</v>
      </c>
      <c r="C33" s="554"/>
      <c r="D33" s="554"/>
      <c r="E33" s="554"/>
    </row>
    <row r="34" spans="1:5" s="428" customFormat="1" ht="12" customHeight="1" thickBot="1" x14ac:dyDescent="0.35">
      <c r="A34" s="425" t="s">
        <v>88</v>
      </c>
      <c r="B34" s="435" t="s">
        <v>286</v>
      </c>
      <c r="C34" s="555"/>
      <c r="D34" s="555"/>
      <c r="E34" s="555"/>
    </row>
    <row r="35" spans="1:5" s="422" customFormat="1" ht="12" customHeight="1" thickBot="1" x14ac:dyDescent="0.35">
      <c r="A35" s="430" t="s">
        <v>19</v>
      </c>
      <c r="B35" s="431" t="s">
        <v>371</v>
      </c>
      <c r="C35" s="552"/>
      <c r="D35" s="552"/>
      <c r="E35" s="552"/>
    </row>
    <row r="36" spans="1:5" s="422" customFormat="1" ht="12" customHeight="1" thickBot="1" x14ac:dyDescent="0.35">
      <c r="A36" s="430" t="s">
        <v>20</v>
      </c>
      <c r="B36" s="431" t="s">
        <v>402</v>
      </c>
      <c r="C36" s="556"/>
      <c r="D36" s="556"/>
      <c r="E36" s="556"/>
    </row>
    <row r="37" spans="1:5" s="422" customFormat="1" ht="12" customHeight="1" thickBot="1" x14ac:dyDescent="0.35">
      <c r="A37" s="416" t="s">
        <v>21</v>
      </c>
      <c r="B37" s="431" t="s">
        <v>403</v>
      </c>
      <c r="C37" s="557">
        <f>+C8+C20+C25+C26+C31+C35+C36</f>
        <v>550000</v>
      </c>
      <c r="D37" s="557">
        <f>+D8+D20+D25+D26+D31+D35+D36</f>
        <v>550000</v>
      </c>
      <c r="E37" s="557">
        <f>+E8+E20+E25+E26+E31+E35+E36</f>
        <v>550000</v>
      </c>
    </row>
    <row r="38" spans="1:5" s="422" customFormat="1" ht="12" customHeight="1" thickBot="1" x14ac:dyDescent="0.35">
      <c r="A38" s="436" t="s">
        <v>22</v>
      </c>
      <c r="B38" s="431" t="s">
        <v>404</v>
      </c>
      <c r="C38" s="557">
        <f>+C39+C40+C41</f>
        <v>56436038</v>
      </c>
      <c r="D38" s="557">
        <f>+D39+D40+D41</f>
        <v>56713565</v>
      </c>
      <c r="E38" s="557">
        <f>+E39+E40+E41</f>
        <v>52965419</v>
      </c>
    </row>
    <row r="39" spans="1:5" s="422" customFormat="1" ht="12" customHeight="1" x14ac:dyDescent="0.3">
      <c r="A39" s="432" t="s">
        <v>405</v>
      </c>
      <c r="B39" s="433" t="s">
        <v>226</v>
      </c>
      <c r="C39" s="553"/>
      <c r="D39" s="553"/>
      <c r="E39" s="553"/>
    </row>
    <row r="40" spans="1:5" s="422" customFormat="1" ht="12" customHeight="1" x14ac:dyDescent="0.3">
      <c r="A40" s="432" t="s">
        <v>406</v>
      </c>
      <c r="B40" s="434" t="s">
        <v>0</v>
      </c>
      <c r="C40" s="554"/>
      <c r="D40" s="554"/>
      <c r="E40" s="554"/>
    </row>
    <row r="41" spans="1:5" s="428" customFormat="1" ht="12" customHeight="1" thickBot="1" x14ac:dyDescent="0.35">
      <c r="A41" s="425" t="s">
        <v>407</v>
      </c>
      <c r="B41" s="435" t="s">
        <v>408</v>
      </c>
      <c r="C41" s="555">
        <v>56436038</v>
      </c>
      <c r="D41" s="555">
        <f>56436038+3379392-3379392+277527</f>
        <v>56713565</v>
      </c>
      <c r="E41" s="555">
        <f>56436038+3379392-3379392+277527-3748146</f>
        <v>52965419</v>
      </c>
    </row>
    <row r="42" spans="1:5" s="428" customFormat="1" ht="15" customHeight="1" thickBot="1" x14ac:dyDescent="0.3">
      <c r="A42" s="436" t="s">
        <v>23</v>
      </c>
      <c r="B42" s="437" t="s">
        <v>409</v>
      </c>
      <c r="C42" s="558">
        <f>+C37+C38</f>
        <v>56986038</v>
      </c>
      <c r="D42" s="558">
        <f>+D37+D38</f>
        <v>57263565</v>
      </c>
      <c r="E42" s="558">
        <f>+E37+E38</f>
        <v>53515419</v>
      </c>
    </row>
    <row r="43" spans="1:5" s="428" customFormat="1" ht="15" customHeight="1" x14ac:dyDescent="0.3">
      <c r="A43" s="438"/>
      <c r="B43" s="439"/>
      <c r="C43" s="559"/>
      <c r="D43" s="559"/>
      <c r="E43" s="559"/>
    </row>
    <row r="44" spans="1:5" ht="13.5" thickBot="1" x14ac:dyDescent="0.35">
      <c r="A44" s="440"/>
      <c r="B44" s="441"/>
      <c r="C44" s="560"/>
      <c r="D44" s="560"/>
      <c r="E44" s="560"/>
    </row>
    <row r="45" spans="1:5" s="418" customFormat="1" ht="16.5" customHeight="1" thickBot="1" x14ac:dyDescent="0.35">
      <c r="A45" s="442"/>
      <c r="B45" s="443" t="s">
        <v>52</v>
      </c>
      <c r="C45" s="558"/>
      <c r="D45" s="558"/>
      <c r="E45" s="558"/>
    </row>
    <row r="46" spans="1:5" s="444" customFormat="1" ht="12" customHeight="1" thickBot="1" x14ac:dyDescent="0.35">
      <c r="A46" s="430" t="s">
        <v>14</v>
      </c>
      <c r="B46" s="431" t="s">
        <v>410</v>
      </c>
      <c r="C46" s="547">
        <f>SUM(C47:C51)</f>
        <v>56922538</v>
      </c>
      <c r="D46" s="547">
        <f>SUM(D47:D51)</f>
        <v>57200065</v>
      </c>
      <c r="E46" s="547">
        <f>SUM(E47:E51)</f>
        <v>53451919</v>
      </c>
    </row>
    <row r="47" spans="1:5" ht="12" customHeight="1" x14ac:dyDescent="0.3">
      <c r="A47" s="425" t="s">
        <v>93</v>
      </c>
      <c r="B47" s="429" t="s">
        <v>44</v>
      </c>
      <c r="C47" s="553">
        <v>43215853</v>
      </c>
      <c r="D47" s="553">
        <f>43215853+209454</f>
        <v>43425307</v>
      </c>
      <c r="E47" s="553">
        <f>43215853+209454-2908930</f>
        <v>40516377</v>
      </c>
    </row>
    <row r="48" spans="1:5" ht="12" customHeight="1" x14ac:dyDescent="0.3">
      <c r="A48" s="425" t="s">
        <v>94</v>
      </c>
      <c r="B48" s="426" t="s">
        <v>172</v>
      </c>
      <c r="C48" s="561">
        <v>7791645</v>
      </c>
      <c r="D48" s="561">
        <f>7791645+68073</f>
        <v>7859718</v>
      </c>
      <c r="E48" s="561">
        <f>7791645+68073-839216</f>
        <v>7020502</v>
      </c>
    </row>
    <row r="49" spans="1:5" ht="12" customHeight="1" x14ac:dyDescent="0.3">
      <c r="A49" s="425" t="s">
        <v>95</v>
      </c>
      <c r="B49" s="426" t="s">
        <v>131</v>
      </c>
      <c r="C49" s="561">
        <v>5915040</v>
      </c>
      <c r="D49" s="561">
        <v>5915040</v>
      </c>
      <c r="E49" s="561">
        <v>5915040</v>
      </c>
    </row>
    <row r="50" spans="1:5" ht="12" customHeight="1" x14ac:dyDescent="0.3">
      <c r="A50" s="425" t="s">
        <v>96</v>
      </c>
      <c r="B50" s="426" t="s">
        <v>173</v>
      </c>
      <c r="C50" s="561"/>
      <c r="D50" s="561"/>
      <c r="E50" s="561"/>
    </row>
    <row r="51" spans="1:5" ht="12" customHeight="1" thickBot="1" x14ac:dyDescent="0.35">
      <c r="A51" s="425" t="s">
        <v>139</v>
      </c>
      <c r="B51" s="426" t="s">
        <v>174</v>
      </c>
      <c r="C51" s="561"/>
      <c r="D51" s="561"/>
      <c r="E51" s="561"/>
    </row>
    <row r="52" spans="1:5" ht="12" customHeight="1" thickBot="1" x14ac:dyDescent="0.35">
      <c r="A52" s="430" t="s">
        <v>15</v>
      </c>
      <c r="B52" s="431" t="s">
        <v>411</v>
      </c>
      <c r="C52" s="547">
        <f>SUM(C53:C55)</f>
        <v>63500</v>
      </c>
      <c r="D52" s="547">
        <f>SUM(D53:D55)</f>
        <v>63500</v>
      </c>
      <c r="E52" s="547">
        <f>SUM(E53:E55)</f>
        <v>63500</v>
      </c>
    </row>
    <row r="53" spans="1:5" s="444" customFormat="1" ht="12" customHeight="1" x14ac:dyDescent="0.3">
      <c r="A53" s="425" t="s">
        <v>99</v>
      </c>
      <c r="B53" s="429" t="s">
        <v>217</v>
      </c>
      <c r="C53" s="553">
        <v>63500</v>
      </c>
      <c r="D53" s="553">
        <v>63500</v>
      </c>
      <c r="E53" s="553">
        <v>63500</v>
      </c>
    </row>
    <row r="54" spans="1:5" ht="12" customHeight="1" x14ac:dyDescent="0.3">
      <c r="A54" s="425" t="s">
        <v>100</v>
      </c>
      <c r="B54" s="426" t="s">
        <v>176</v>
      </c>
      <c r="C54" s="561"/>
      <c r="D54" s="561"/>
      <c r="E54" s="561"/>
    </row>
    <row r="55" spans="1:5" ht="12" customHeight="1" x14ac:dyDescent="0.3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 x14ac:dyDescent="0.35">
      <c r="A56" s="425" t="s">
        <v>102</v>
      </c>
      <c r="B56" s="426" t="s">
        <v>514</v>
      </c>
      <c r="C56" s="561"/>
      <c r="D56" s="561"/>
      <c r="E56" s="561"/>
    </row>
    <row r="57" spans="1:5" ht="12" customHeight="1" thickBot="1" x14ac:dyDescent="0.35">
      <c r="A57" s="430" t="s">
        <v>16</v>
      </c>
      <c r="B57" s="431" t="s">
        <v>10</v>
      </c>
      <c r="C57" s="552"/>
      <c r="D57" s="552"/>
      <c r="E57" s="552"/>
    </row>
    <row r="58" spans="1:5" ht="15" customHeight="1" thickBot="1" x14ac:dyDescent="0.35">
      <c r="A58" s="430" t="s">
        <v>17</v>
      </c>
      <c r="B58" s="445" t="s">
        <v>519</v>
      </c>
      <c r="C58" s="562">
        <f>+C46+C52+C57</f>
        <v>56986038</v>
      </c>
      <c r="D58" s="562">
        <f>+D46+D52+D57</f>
        <v>57263565</v>
      </c>
      <c r="E58" s="562">
        <f>+E46+E52+E57</f>
        <v>53515419</v>
      </c>
    </row>
    <row r="59" spans="1:5" ht="13.5" thickBot="1" x14ac:dyDescent="0.35">
      <c r="C59" s="830"/>
      <c r="D59" s="830"/>
      <c r="E59" s="830"/>
    </row>
    <row r="60" spans="1:5" ht="15" customHeight="1" thickBot="1" x14ac:dyDescent="0.35">
      <c r="A60" s="446" t="s">
        <v>509</v>
      </c>
      <c r="B60" s="447"/>
      <c r="C60" s="563">
        <v>9</v>
      </c>
      <c r="D60" s="563">
        <v>9</v>
      </c>
      <c r="E60" s="563">
        <v>9</v>
      </c>
    </row>
    <row r="61" spans="1:5" ht="14.25" customHeight="1" thickBot="1" x14ac:dyDescent="0.35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FFC000"/>
  </sheetPr>
  <dimension ref="A1:E163"/>
  <sheetViews>
    <sheetView topLeftCell="A99" zoomScaleNormal="100" zoomScaleSheetLayoutView="100" workbookViewId="0">
      <selection activeCell="E106" sqref="E106"/>
    </sheetView>
  </sheetViews>
  <sheetFormatPr defaultColWidth="9.296875" defaultRowHeight="15.5" x14ac:dyDescent="0.35"/>
  <cols>
    <col min="1" max="1" width="7.19921875" style="33" bestFit="1" customWidth="1"/>
    <col min="2" max="2" width="75.796875" style="33" bestFit="1" customWidth="1"/>
    <col min="3" max="3" width="21.296875" style="466" customWidth="1"/>
    <col min="4" max="5" width="19.19921875" style="466" customWidth="1"/>
    <col min="6" max="16384" width="9.296875" style="33"/>
  </cols>
  <sheetData>
    <row r="1" spans="1:5" s="399" customFormat="1" x14ac:dyDescent="0.35">
      <c r="B1" s="399" t="s">
        <v>718</v>
      </c>
      <c r="C1" s="636"/>
      <c r="D1" s="636"/>
      <c r="E1" s="636"/>
    </row>
    <row r="5" spans="1:5" x14ac:dyDescent="0.35">
      <c r="B5" s="376" t="s">
        <v>622</v>
      </c>
    </row>
    <row r="6" spans="1:5" x14ac:dyDescent="0.35">
      <c r="B6" s="376" t="s">
        <v>717</v>
      </c>
    </row>
    <row r="7" spans="1:5" x14ac:dyDescent="0.35">
      <c r="B7" s="379" t="s">
        <v>623</v>
      </c>
    </row>
    <row r="10" spans="1:5" x14ac:dyDescent="0.35">
      <c r="A10" s="900" t="s">
        <v>11</v>
      </c>
      <c r="B10" s="900"/>
      <c r="C10" s="33"/>
      <c r="D10" s="33"/>
      <c r="E10" s="33"/>
    </row>
    <row r="11" spans="1:5" ht="16" thickBot="1" x14ac:dyDescent="0.4">
      <c r="A11" s="899" t="s">
        <v>142</v>
      </c>
      <c r="B11" s="899"/>
      <c r="C11" s="837" t="s">
        <v>579</v>
      </c>
      <c r="D11" s="837" t="s">
        <v>579</v>
      </c>
      <c r="E11" s="837" t="s">
        <v>579</v>
      </c>
    </row>
    <row r="12" spans="1:5" ht="45.5" thickBot="1" x14ac:dyDescent="0.4">
      <c r="A12" s="761" t="s">
        <v>64</v>
      </c>
      <c r="B12" s="762" t="s">
        <v>13</v>
      </c>
      <c r="C12" s="677" t="s">
        <v>640</v>
      </c>
      <c r="D12" s="677" t="s">
        <v>724</v>
      </c>
      <c r="E12" s="827" t="s">
        <v>730</v>
      </c>
    </row>
    <row r="13" spans="1:5" s="731" customFormat="1" ht="16" thickBot="1" x14ac:dyDescent="0.4">
      <c r="A13" s="801" t="s">
        <v>482</v>
      </c>
      <c r="B13" s="802" t="s">
        <v>483</v>
      </c>
      <c r="C13" s="803" t="s">
        <v>484</v>
      </c>
      <c r="D13" s="803" t="s">
        <v>484</v>
      </c>
      <c r="E13" s="803" t="s">
        <v>484</v>
      </c>
    </row>
    <row r="14" spans="1:5" s="731" customFormat="1" ht="16" thickBot="1" x14ac:dyDescent="0.4">
      <c r="A14" s="728" t="s">
        <v>14</v>
      </c>
      <c r="B14" s="729" t="s">
        <v>241</v>
      </c>
      <c r="C14" s="730">
        <f>+C15+C16+C17+C18+C19+C20</f>
        <v>229497311</v>
      </c>
      <c r="D14" s="730">
        <f>+D15+D16+D17+D18+D19+D20</f>
        <v>239534121</v>
      </c>
      <c r="E14" s="730">
        <f>+E15+E16+E17+E18+E19+E20</f>
        <v>217756969</v>
      </c>
    </row>
    <row r="15" spans="1:5" s="731" customFormat="1" x14ac:dyDescent="0.35">
      <c r="A15" s="732" t="s">
        <v>93</v>
      </c>
      <c r="B15" s="733" t="s">
        <v>242</v>
      </c>
      <c r="C15" s="734">
        <v>119931664</v>
      </c>
      <c r="D15" s="734">
        <v>129633164</v>
      </c>
      <c r="E15" s="734">
        <f>119931664+9701500+189566+243701-21207500</f>
        <v>108858931</v>
      </c>
    </row>
    <row r="16" spans="1:5" s="731" customFormat="1" x14ac:dyDescent="0.35">
      <c r="A16" s="735" t="s">
        <v>94</v>
      </c>
      <c r="B16" s="736" t="s">
        <v>243</v>
      </c>
      <c r="C16" s="737">
        <v>64851900</v>
      </c>
      <c r="D16" s="737">
        <v>64851900</v>
      </c>
      <c r="E16" s="737">
        <f>64851900-29220</f>
        <v>64822680</v>
      </c>
    </row>
    <row r="17" spans="1:5" s="731" customFormat="1" x14ac:dyDescent="0.35">
      <c r="A17" s="735" t="s">
        <v>95</v>
      </c>
      <c r="B17" s="736" t="s">
        <v>244</v>
      </c>
      <c r="C17" s="737">
        <v>41522446</v>
      </c>
      <c r="D17" s="737">
        <v>41522446</v>
      </c>
      <c r="E17" s="737">
        <f>41522446-1631440</f>
        <v>39891006</v>
      </c>
    </row>
    <row r="18" spans="1:5" s="731" customFormat="1" x14ac:dyDescent="0.35">
      <c r="A18" s="735" t="s">
        <v>96</v>
      </c>
      <c r="B18" s="736" t="s">
        <v>245</v>
      </c>
      <c r="C18" s="737">
        <v>3191301</v>
      </c>
      <c r="D18" s="737">
        <v>3191301</v>
      </c>
      <c r="E18" s="737">
        <f>3191301+632000+145744+215307</f>
        <v>4184352</v>
      </c>
    </row>
    <row r="19" spans="1:5" s="731" customFormat="1" x14ac:dyDescent="0.35">
      <c r="A19" s="735" t="s">
        <v>139</v>
      </c>
      <c r="B19" s="738" t="s">
        <v>425</v>
      </c>
      <c r="C19" s="737"/>
      <c r="D19" s="737">
        <v>335310</v>
      </c>
      <c r="E19" s="737">
        <f>189566+145744-189566-145744</f>
        <v>0</v>
      </c>
    </row>
    <row r="20" spans="1:5" s="731" customFormat="1" ht="16" thickBot="1" x14ac:dyDescent="0.4">
      <c r="A20" s="739" t="s">
        <v>97</v>
      </c>
      <c r="B20" s="740" t="s">
        <v>426</v>
      </c>
      <c r="C20" s="737"/>
      <c r="D20" s="737"/>
      <c r="E20" s="737"/>
    </row>
    <row r="21" spans="1:5" s="731" customFormat="1" ht="16" thickBot="1" x14ac:dyDescent="0.4">
      <c r="A21" s="728" t="s">
        <v>15</v>
      </c>
      <c r="B21" s="741" t="s">
        <v>246</v>
      </c>
      <c r="C21" s="730">
        <f>+C22+C23+C24+C25+C26</f>
        <v>86668865</v>
      </c>
      <c r="D21" s="730">
        <f>+D22+D23+D24+D25+D26</f>
        <v>85553068</v>
      </c>
      <c r="E21" s="730">
        <f>+E22+E23+E24+E25+E26</f>
        <v>92434135</v>
      </c>
    </row>
    <row r="22" spans="1:5" s="731" customFormat="1" x14ac:dyDescent="0.35">
      <c r="A22" s="732" t="s">
        <v>99</v>
      </c>
      <c r="B22" s="733" t="s">
        <v>247</v>
      </c>
      <c r="C22" s="734"/>
      <c r="D22" s="734"/>
      <c r="E22" s="734"/>
    </row>
    <row r="23" spans="1:5" s="731" customFormat="1" x14ac:dyDescent="0.35">
      <c r="A23" s="735" t="s">
        <v>100</v>
      </c>
      <c r="B23" s="736" t="s">
        <v>248</v>
      </c>
      <c r="C23" s="737"/>
      <c r="D23" s="737"/>
      <c r="E23" s="737"/>
    </row>
    <row r="24" spans="1:5" s="731" customFormat="1" x14ac:dyDescent="0.35">
      <c r="A24" s="735" t="s">
        <v>101</v>
      </c>
      <c r="B24" s="736" t="s">
        <v>415</v>
      </c>
      <c r="C24" s="737"/>
      <c r="D24" s="737"/>
      <c r="E24" s="737"/>
    </row>
    <row r="25" spans="1:5" s="731" customFormat="1" x14ac:dyDescent="0.35">
      <c r="A25" s="735" t="s">
        <v>102</v>
      </c>
      <c r="B25" s="736" t="s">
        <v>416</v>
      </c>
      <c r="C25" s="737"/>
      <c r="D25" s="737"/>
      <c r="E25" s="737"/>
    </row>
    <row r="26" spans="1:5" s="731" customFormat="1" x14ac:dyDescent="0.35">
      <c r="A26" s="735" t="s">
        <v>103</v>
      </c>
      <c r="B26" s="736" t="s">
        <v>249</v>
      </c>
      <c r="C26" s="737">
        <f>86368865+300000</f>
        <v>86668865</v>
      </c>
      <c r="D26" s="737">
        <f>85253068+300000</f>
        <v>85553068</v>
      </c>
      <c r="E26" s="737">
        <f>86368865-3379392+1986068+277527+75000+379473+284369+140809-241702+1560482+1551000+1135050-3748146-1055268+500000+600000+6000000</f>
        <v>92434135</v>
      </c>
    </row>
    <row r="27" spans="1:5" s="731" customFormat="1" ht="16" thickBot="1" x14ac:dyDescent="0.4">
      <c r="A27" s="739" t="s">
        <v>112</v>
      </c>
      <c r="B27" s="740" t="s">
        <v>250</v>
      </c>
      <c r="C27" s="742"/>
      <c r="D27" s="742"/>
      <c r="E27" s="742"/>
    </row>
    <row r="28" spans="1:5" s="731" customFormat="1" ht="30.5" thickBot="1" x14ac:dyDescent="0.4">
      <c r="A28" s="728" t="s">
        <v>16</v>
      </c>
      <c r="B28" s="729" t="s">
        <v>251</v>
      </c>
      <c r="C28" s="730">
        <f>+C29+C30+C31+C32+C33</f>
        <v>62734377</v>
      </c>
      <c r="D28" s="730">
        <f>+D29+D30+D31+D32+D33</f>
        <v>62734377</v>
      </c>
      <c r="E28" s="730">
        <f>+E29+E30+E31+E32+E33</f>
        <v>62570704</v>
      </c>
    </row>
    <row r="29" spans="1:5" s="731" customFormat="1" x14ac:dyDescent="0.35">
      <c r="A29" s="732" t="s">
        <v>82</v>
      </c>
      <c r="B29" s="733" t="s">
        <v>252</v>
      </c>
      <c r="C29" s="734"/>
      <c r="D29" s="734"/>
      <c r="E29" s="734"/>
    </row>
    <row r="30" spans="1:5" s="731" customFormat="1" x14ac:dyDescent="0.35">
      <c r="A30" s="735" t="s">
        <v>83</v>
      </c>
      <c r="B30" s="736" t="s">
        <v>253</v>
      </c>
      <c r="C30" s="737"/>
      <c r="D30" s="737"/>
      <c r="E30" s="737"/>
    </row>
    <row r="31" spans="1:5" s="731" customFormat="1" x14ac:dyDescent="0.35">
      <c r="A31" s="735" t="s">
        <v>84</v>
      </c>
      <c r="B31" s="736" t="s">
        <v>417</v>
      </c>
      <c r="C31" s="737"/>
      <c r="D31" s="737"/>
      <c r="E31" s="737"/>
    </row>
    <row r="32" spans="1:5" s="731" customFormat="1" x14ac:dyDescent="0.35">
      <c r="A32" s="735" t="s">
        <v>85</v>
      </c>
      <c r="B32" s="736" t="s">
        <v>418</v>
      </c>
      <c r="C32" s="737"/>
      <c r="D32" s="737"/>
      <c r="E32" s="737"/>
    </row>
    <row r="33" spans="1:5" s="731" customFormat="1" x14ac:dyDescent="0.35">
      <c r="A33" s="735" t="s">
        <v>160</v>
      </c>
      <c r="B33" s="736" t="s">
        <v>254</v>
      </c>
      <c r="C33" s="737">
        <v>62734377</v>
      </c>
      <c r="D33" s="737">
        <v>62734377</v>
      </c>
      <c r="E33" s="737">
        <f>62734377-163673</f>
        <v>62570704</v>
      </c>
    </row>
    <row r="34" spans="1:5" s="731" customFormat="1" ht="16" thickBot="1" x14ac:dyDescent="0.4">
      <c r="A34" s="739" t="s">
        <v>161</v>
      </c>
      <c r="B34" s="743" t="s">
        <v>255</v>
      </c>
      <c r="C34" s="742"/>
      <c r="D34" s="742"/>
      <c r="E34" s="742"/>
    </row>
    <row r="35" spans="1:5" s="731" customFormat="1" ht="16" thickBot="1" x14ac:dyDescent="0.4">
      <c r="A35" s="728" t="s">
        <v>162</v>
      </c>
      <c r="B35" s="729" t="s">
        <v>256</v>
      </c>
      <c r="C35" s="744">
        <f>+C36+C40+C41+C42</f>
        <v>140382894</v>
      </c>
      <c r="D35" s="744">
        <f>+D36+D40+D41+D42</f>
        <v>140382894</v>
      </c>
      <c r="E35" s="744">
        <f>+E36+E40+E41+E42</f>
        <v>116400000</v>
      </c>
    </row>
    <row r="36" spans="1:5" s="731" customFormat="1" x14ac:dyDescent="0.35">
      <c r="A36" s="732" t="s">
        <v>257</v>
      </c>
      <c r="B36" s="733" t="s">
        <v>432</v>
      </c>
      <c r="C36" s="745">
        <f>+C37+C38+C39</f>
        <v>97982894</v>
      </c>
      <c r="D36" s="745">
        <f>+D37+D38+D39</f>
        <v>97982894</v>
      </c>
      <c r="E36" s="745">
        <f>+E37+E38+E39</f>
        <v>105000000</v>
      </c>
    </row>
    <row r="37" spans="1:5" s="731" customFormat="1" ht="31" x14ac:dyDescent="0.35">
      <c r="A37" s="735" t="s">
        <v>258</v>
      </c>
      <c r="B37" s="736" t="s">
        <v>590</v>
      </c>
      <c r="C37" s="737">
        <f>52982894</f>
        <v>52982894</v>
      </c>
      <c r="D37" s="737">
        <f>52982894</f>
        <v>52982894</v>
      </c>
      <c r="E37" s="737">
        <f>75000000-22017106+1845716+20171390</f>
        <v>75000000</v>
      </c>
    </row>
    <row r="38" spans="1:5" s="731" customFormat="1" ht="31" x14ac:dyDescent="0.35">
      <c r="A38" s="735" t="s">
        <v>259</v>
      </c>
      <c r="B38" s="736" t="s">
        <v>591</v>
      </c>
      <c r="C38" s="737"/>
      <c r="D38" s="737"/>
      <c r="E38" s="737"/>
    </row>
    <row r="39" spans="1:5" s="731" customFormat="1" ht="31" x14ac:dyDescent="0.35">
      <c r="A39" s="735" t="s">
        <v>430</v>
      </c>
      <c r="B39" s="746" t="s">
        <v>431</v>
      </c>
      <c r="C39" s="737">
        <v>45000000</v>
      </c>
      <c r="D39" s="737">
        <v>45000000</v>
      </c>
      <c r="E39" s="737">
        <f>45000000-7000000-8000000</f>
        <v>30000000</v>
      </c>
    </row>
    <row r="40" spans="1:5" s="731" customFormat="1" x14ac:dyDescent="0.35">
      <c r="A40" s="735" t="s">
        <v>260</v>
      </c>
      <c r="B40" s="736" t="s">
        <v>265</v>
      </c>
      <c r="C40" s="737">
        <v>9000000</v>
      </c>
      <c r="D40" s="737">
        <v>9000000</v>
      </c>
      <c r="E40" s="737">
        <f>9000000-9000000</f>
        <v>0</v>
      </c>
    </row>
    <row r="41" spans="1:5" s="731" customFormat="1" x14ac:dyDescent="0.35">
      <c r="A41" s="735" t="s">
        <v>261</v>
      </c>
      <c r="B41" s="736" t="s">
        <v>574</v>
      </c>
      <c r="C41" s="737">
        <v>32000000</v>
      </c>
      <c r="D41" s="737">
        <v>32000000</v>
      </c>
      <c r="E41" s="737">
        <f>32000000-17000000-5000000</f>
        <v>10000000</v>
      </c>
    </row>
    <row r="42" spans="1:5" s="731" customFormat="1" ht="16" thickBot="1" x14ac:dyDescent="0.4">
      <c r="A42" s="739" t="s">
        <v>262</v>
      </c>
      <c r="B42" s="743" t="s">
        <v>267</v>
      </c>
      <c r="C42" s="742">
        <f>200000+1200000</f>
        <v>1400000</v>
      </c>
      <c r="D42" s="742">
        <f>200000+1200000</f>
        <v>1400000</v>
      </c>
      <c r="E42" s="742">
        <f>200000+1200000</f>
        <v>1400000</v>
      </c>
    </row>
    <row r="43" spans="1:5" s="731" customFormat="1" ht="16" thickBot="1" x14ac:dyDescent="0.4">
      <c r="A43" s="728" t="s">
        <v>18</v>
      </c>
      <c r="B43" s="729" t="s">
        <v>427</v>
      </c>
      <c r="C43" s="730">
        <f>SUM(C44:C54)</f>
        <v>37198446</v>
      </c>
      <c r="D43" s="730">
        <f>SUM(D44:D54)</f>
        <v>37198446</v>
      </c>
      <c r="E43" s="730">
        <f>SUM(E44:E54)</f>
        <v>36512092</v>
      </c>
    </row>
    <row r="44" spans="1:5" s="731" customFormat="1" x14ac:dyDescent="0.35">
      <c r="A44" s="732" t="s">
        <v>86</v>
      </c>
      <c r="B44" s="733" t="s">
        <v>270</v>
      </c>
      <c r="C44" s="734"/>
      <c r="D44" s="734"/>
      <c r="E44" s="734"/>
    </row>
    <row r="45" spans="1:5" s="731" customFormat="1" x14ac:dyDescent="0.35">
      <c r="A45" s="735" t="s">
        <v>87</v>
      </c>
      <c r="B45" s="736" t="s">
        <v>271</v>
      </c>
      <c r="C45" s="737">
        <f>13196540+5120000</f>
        <v>18316540</v>
      </c>
      <c r="D45" s="737">
        <f>13196540+5120000</f>
        <v>18316540</v>
      </c>
      <c r="E45" s="737">
        <f>102856540-89660000+234550-76700+3828610-770900+1120000</f>
        <v>17532100</v>
      </c>
    </row>
    <row r="46" spans="1:5" s="731" customFormat="1" x14ac:dyDescent="0.35">
      <c r="A46" s="735" t="s">
        <v>88</v>
      </c>
      <c r="B46" s="736" t="s">
        <v>272</v>
      </c>
      <c r="C46" s="737">
        <f>1600000+600000+100000</f>
        <v>2300000</v>
      </c>
      <c r="D46" s="737">
        <f>1600000+600000+100000</f>
        <v>2300000</v>
      </c>
      <c r="E46" s="737">
        <f>1600000+600000+100000</f>
        <v>2300000</v>
      </c>
    </row>
    <row r="47" spans="1:5" s="731" customFormat="1" x14ac:dyDescent="0.35">
      <c r="A47" s="735" t="s">
        <v>164</v>
      </c>
      <c r="B47" s="736" t="s">
        <v>273</v>
      </c>
      <c r="C47" s="737"/>
      <c r="D47" s="737"/>
      <c r="E47" s="737"/>
    </row>
    <row r="48" spans="1:5" s="731" customFormat="1" x14ac:dyDescent="0.35">
      <c r="A48" s="735" t="s">
        <v>165</v>
      </c>
      <c r="B48" s="736" t="s">
        <v>274</v>
      </c>
      <c r="C48" s="737">
        <v>1500000</v>
      </c>
      <c r="D48" s="737">
        <v>1500000</v>
      </c>
      <c r="E48" s="737">
        <v>1500000</v>
      </c>
    </row>
    <row r="49" spans="1:5" s="731" customFormat="1" x14ac:dyDescent="0.35">
      <c r="A49" s="735" t="s">
        <v>166</v>
      </c>
      <c r="B49" s="736" t="s">
        <v>275</v>
      </c>
      <c r="C49" s="737">
        <f>4400066</f>
        <v>4400066</v>
      </c>
      <c r="D49" s="737">
        <f>4400066</f>
        <v>4400066</v>
      </c>
      <c r="E49" s="737">
        <f>28608266-24208200-20709</f>
        <v>4379357</v>
      </c>
    </row>
    <row r="50" spans="1:5" s="731" customFormat="1" x14ac:dyDescent="0.35">
      <c r="A50" s="735" t="s">
        <v>167</v>
      </c>
      <c r="B50" s="736" t="s">
        <v>276</v>
      </c>
      <c r="C50" s="737">
        <v>10655820</v>
      </c>
      <c r="D50" s="737">
        <v>10655820</v>
      </c>
      <c r="E50" s="737">
        <v>10655820</v>
      </c>
    </row>
    <row r="51" spans="1:5" s="731" customFormat="1" x14ac:dyDescent="0.35">
      <c r="A51" s="735" t="s">
        <v>168</v>
      </c>
      <c r="B51" s="736" t="s">
        <v>277</v>
      </c>
      <c r="C51" s="737">
        <f>1000+10+10</f>
        <v>1020</v>
      </c>
      <c r="D51" s="737">
        <f>1000+10+10</f>
        <v>1020</v>
      </c>
      <c r="E51" s="737">
        <f>1000+10+10</f>
        <v>1020</v>
      </c>
    </row>
    <row r="52" spans="1:5" s="731" customFormat="1" x14ac:dyDescent="0.35">
      <c r="A52" s="735" t="s">
        <v>268</v>
      </c>
      <c r="B52" s="736" t="s">
        <v>278</v>
      </c>
      <c r="C52" s="747"/>
      <c r="D52" s="747"/>
      <c r="E52" s="747"/>
    </row>
    <row r="53" spans="1:5" s="731" customFormat="1" x14ac:dyDescent="0.35">
      <c r="A53" s="739" t="s">
        <v>269</v>
      </c>
      <c r="B53" s="743" t="s">
        <v>429</v>
      </c>
      <c r="C53" s="748"/>
      <c r="D53" s="748"/>
      <c r="E53" s="748"/>
    </row>
    <row r="54" spans="1:5" s="731" customFormat="1" ht="16" thickBot="1" x14ac:dyDescent="0.4">
      <c r="A54" s="739" t="s">
        <v>428</v>
      </c>
      <c r="B54" s="740" t="s">
        <v>279</v>
      </c>
      <c r="C54" s="748">
        <f>10000+5000+10000</f>
        <v>25000</v>
      </c>
      <c r="D54" s="748">
        <f>10000+5000+10000</f>
        <v>25000</v>
      </c>
      <c r="E54" s="748">
        <f>10000+118795+5000+10000</f>
        <v>143795</v>
      </c>
    </row>
    <row r="55" spans="1:5" s="731" customFormat="1" ht="16" thickBot="1" x14ac:dyDescent="0.4">
      <c r="A55" s="728" t="s">
        <v>19</v>
      </c>
      <c r="B55" s="729" t="s">
        <v>280</v>
      </c>
      <c r="C55" s="730">
        <f>SUM(C56:C60)</f>
        <v>0</v>
      </c>
      <c r="D55" s="730">
        <f>SUM(D56:D60)</f>
        <v>3151165</v>
      </c>
      <c r="E55" s="730">
        <f>SUM(E56:E60)</f>
        <v>3901165</v>
      </c>
    </row>
    <row r="56" spans="1:5" s="731" customFormat="1" x14ac:dyDescent="0.35">
      <c r="A56" s="732" t="s">
        <v>89</v>
      </c>
      <c r="B56" s="733" t="s">
        <v>284</v>
      </c>
      <c r="C56" s="749"/>
      <c r="D56" s="749"/>
      <c r="E56" s="749"/>
    </row>
    <row r="57" spans="1:5" s="731" customFormat="1" x14ac:dyDescent="0.35">
      <c r="A57" s="735" t="s">
        <v>90</v>
      </c>
      <c r="B57" s="736" t="s">
        <v>285</v>
      </c>
      <c r="C57" s="747"/>
      <c r="D57" s="747">
        <v>3151165</v>
      </c>
      <c r="E57" s="747">
        <v>3151165</v>
      </c>
    </row>
    <row r="58" spans="1:5" s="731" customFormat="1" x14ac:dyDescent="0.35">
      <c r="A58" s="735" t="s">
        <v>281</v>
      </c>
      <c r="B58" s="736" t="s">
        <v>286</v>
      </c>
      <c r="C58" s="747"/>
      <c r="D58" s="747"/>
      <c r="E58" s="747">
        <f>750000</f>
        <v>750000</v>
      </c>
    </row>
    <row r="59" spans="1:5" s="731" customFormat="1" x14ac:dyDescent="0.35">
      <c r="A59" s="735" t="s">
        <v>282</v>
      </c>
      <c r="B59" s="736" t="s">
        <v>287</v>
      </c>
      <c r="C59" s="747"/>
      <c r="D59" s="747"/>
      <c r="E59" s="747"/>
    </row>
    <row r="60" spans="1:5" s="731" customFormat="1" ht="16" thickBot="1" x14ac:dyDescent="0.4">
      <c r="A60" s="739" t="s">
        <v>283</v>
      </c>
      <c r="B60" s="740" t="s">
        <v>288</v>
      </c>
      <c r="C60" s="748"/>
      <c r="D60" s="748"/>
      <c r="E60" s="748"/>
    </row>
    <row r="61" spans="1:5" s="731" customFormat="1" ht="16" thickBot="1" x14ac:dyDescent="0.4">
      <c r="A61" s="728" t="s">
        <v>169</v>
      </c>
      <c r="B61" s="729" t="s">
        <v>289</v>
      </c>
      <c r="C61" s="730">
        <f>SUM(C62:C64)</f>
        <v>0</v>
      </c>
      <c r="D61" s="730">
        <f>SUM(D62:D64)</f>
        <v>0</v>
      </c>
      <c r="E61" s="730">
        <f>SUM(E62:E64)</f>
        <v>0</v>
      </c>
    </row>
    <row r="62" spans="1:5" s="731" customFormat="1" ht="31" x14ac:dyDescent="0.35">
      <c r="A62" s="732" t="s">
        <v>91</v>
      </c>
      <c r="B62" s="733" t="s">
        <v>290</v>
      </c>
      <c r="C62" s="734"/>
      <c r="D62" s="734"/>
      <c r="E62" s="734"/>
    </row>
    <row r="63" spans="1:5" s="731" customFormat="1" ht="31" x14ac:dyDescent="0.35">
      <c r="A63" s="735" t="s">
        <v>92</v>
      </c>
      <c r="B63" s="736" t="s">
        <v>419</v>
      </c>
      <c r="C63" s="737"/>
      <c r="D63" s="737"/>
      <c r="E63" s="737"/>
    </row>
    <row r="64" spans="1:5" s="731" customFormat="1" x14ac:dyDescent="0.35">
      <c r="A64" s="735" t="s">
        <v>293</v>
      </c>
      <c r="B64" s="736" t="s">
        <v>291</v>
      </c>
      <c r="C64" s="737"/>
      <c r="D64" s="737"/>
      <c r="E64" s="737"/>
    </row>
    <row r="65" spans="1:5" s="731" customFormat="1" ht="16" thickBot="1" x14ac:dyDescent="0.4">
      <c r="A65" s="739" t="s">
        <v>294</v>
      </c>
      <c r="B65" s="740" t="s">
        <v>292</v>
      </c>
      <c r="C65" s="742"/>
      <c r="D65" s="742"/>
      <c r="E65" s="742"/>
    </row>
    <row r="66" spans="1:5" s="731" customFormat="1" ht="16" thickBot="1" x14ac:dyDescent="0.4">
      <c r="A66" s="728" t="s">
        <v>21</v>
      </c>
      <c r="B66" s="741" t="s">
        <v>295</v>
      </c>
      <c r="C66" s="730">
        <f>SUM(C67:C69)</f>
        <v>500000</v>
      </c>
      <c r="D66" s="730">
        <f>SUM(D67:D69)</f>
        <v>500000</v>
      </c>
      <c r="E66" s="730">
        <f>SUM(E67:E69)</f>
        <v>833248</v>
      </c>
    </row>
    <row r="67" spans="1:5" s="731" customFormat="1" x14ac:dyDescent="0.35">
      <c r="A67" s="732" t="s">
        <v>170</v>
      </c>
      <c r="B67" s="733" t="s">
        <v>297</v>
      </c>
      <c r="C67" s="747"/>
      <c r="D67" s="747"/>
      <c r="E67" s="747"/>
    </row>
    <row r="68" spans="1:5" s="731" customFormat="1" ht="31" x14ac:dyDescent="0.35">
      <c r="A68" s="735" t="s">
        <v>171</v>
      </c>
      <c r="B68" s="736" t="s">
        <v>420</v>
      </c>
      <c r="C68" s="747"/>
      <c r="D68" s="747"/>
      <c r="E68" s="747"/>
    </row>
    <row r="69" spans="1:5" s="731" customFormat="1" x14ac:dyDescent="0.35">
      <c r="A69" s="735" t="s">
        <v>218</v>
      </c>
      <c r="B69" s="736" t="s">
        <v>298</v>
      </c>
      <c r="C69" s="747">
        <v>500000</v>
      </c>
      <c r="D69" s="747">
        <v>500000</v>
      </c>
      <c r="E69" s="747">
        <f>500000+333248</f>
        <v>833248</v>
      </c>
    </row>
    <row r="70" spans="1:5" s="731" customFormat="1" ht="16" thickBot="1" x14ac:dyDescent="0.4">
      <c r="A70" s="739" t="s">
        <v>296</v>
      </c>
      <c r="B70" s="740" t="s">
        <v>299</v>
      </c>
      <c r="C70" s="747"/>
      <c r="D70" s="747"/>
      <c r="E70" s="747"/>
    </row>
    <row r="71" spans="1:5" s="731" customFormat="1" ht="16" thickBot="1" x14ac:dyDescent="0.4">
      <c r="A71" s="750" t="s">
        <v>471</v>
      </c>
      <c r="B71" s="729" t="s">
        <v>300</v>
      </c>
      <c r="C71" s="744">
        <f>+C14+C21+C28+C35+C43+C55+C61+C66</f>
        <v>556981893</v>
      </c>
      <c r="D71" s="744">
        <f>+D14+D21+D28+D35+D43+D55+D61+D66</f>
        <v>569054071</v>
      </c>
      <c r="E71" s="744">
        <f>+E14+E21+E28+E35+E43+E55+E61+E66</f>
        <v>530408313</v>
      </c>
    </row>
    <row r="72" spans="1:5" s="731" customFormat="1" ht="16" thickBot="1" x14ac:dyDescent="0.4">
      <c r="A72" s="751" t="s">
        <v>301</v>
      </c>
      <c r="B72" s="741" t="s">
        <v>302</v>
      </c>
      <c r="C72" s="730">
        <f>SUM(C73:C75)</f>
        <v>0</v>
      </c>
      <c r="D72" s="730">
        <f>SUM(D73:D75)</f>
        <v>0</v>
      </c>
      <c r="E72" s="730">
        <f>SUM(E73:E75)</f>
        <v>0</v>
      </c>
    </row>
    <row r="73" spans="1:5" s="731" customFormat="1" x14ac:dyDescent="0.35">
      <c r="A73" s="732" t="s">
        <v>333</v>
      </c>
      <c r="B73" s="733" t="s">
        <v>303</v>
      </c>
      <c r="C73" s="747"/>
      <c r="D73" s="747"/>
      <c r="E73" s="747"/>
    </row>
    <row r="74" spans="1:5" s="731" customFormat="1" x14ac:dyDescent="0.35">
      <c r="A74" s="735" t="s">
        <v>342</v>
      </c>
      <c r="B74" s="736" t="s">
        <v>304</v>
      </c>
      <c r="C74" s="747"/>
      <c r="D74" s="747"/>
      <c r="E74" s="747"/>
    </row>
    <row r="75" spans="1:5" s="731" customFormat="1" ht="16" thickBot="1" x14ac:dyDescent="0.4">
      <c r="A75" s="739" t="s">
        <v>343</v>
      </c>
      <c r="B75" s="752" t="s">
        <v>456</v>
      </c>
      <c r="C75" s="747"/>
      <c r="D75" s="747"/>
      <c r="E75" s="747"/>
    </row>
    <row r="76" spans="1:5" s="731" customFormat="1" ht="16" thickBot="1" x14ac:dyDescent="0.4">
      <c r="A76" s="751" t="s">
        <v>306</v>
      </c>
      <c r="B76" s="741" t="s">
        <v>307</v>
      </c>
      <c r="C76" s="730">
        <f>SUM(C77:C80)</f>
        <v>0</v>
      </c>
      <c r="D76" s="730">
        <f>SUM(D77:D80)</f>
        <v>0</v>
      </c>
      <c r="E76" s="730">
        <f>SUM(E77:E80)</f>
        <v>0</v>
      </c>
    </row>
    <row r="77" spans="1:5" s="731" customFormat="1" x14ac:dyDescent="0.35">
      <c r="A77" s="732" t="s">
        <v>140</v>
      </c>
      <c r="B77" s="733" t="s">
        <v>308</v>
      </c>
      <c r="C77" s="747"/>
      <c r="D77" s="747"/>
      <c r="E77" s="747"/>
    </row>
    <row r="78" spans="1:5" s="731" customFormat="1" x14ac:dyDescent="0.35">
      <c r="A78" s="735" t="s">
        <v>141</v>
      </c>
      <c r="B78" s="736" t="s">
        <v>309</v>
      </c>
      <c r="C78" s="747"/>
      <c r="D78" s="747"/>
      <c r="E78" s="747"/>
    </row>
    <row r="79" spans="1:5" s="731" customFormat="1" x14ac:dyDescent="0.35">
      <c r="A79" s="735" t="s">
        <v>334</v>
      </c>
      <c r="B79" s="736" t="s">
        <v>310</v>
      </c>
      <c r="C79" s="747"/>
      <c r="D79" s="747"/>
      <c r="E79" s="747"/>
    </row>
    <row r="80" spans="1:5" s="731" customFormat="1" ht="16" thickBot="1" x14ac:dyDescent="0.4">
      <c r="A80" s="739" t="s">
        <v>335</v>
      </c>
      <c r="B80" s="740" t="s">
        <v>311</v>
      </c>
      <c r="C80" s="747"/>
      <c r="D80" s="747"/>
      <c r="E80" s="747"/>
    </row>
    <row r="81" spans="1:5" s="731" customFormat="1" ht="16" thickBot="1" x14ac:dyDescent="0.4">
      <c r="A81" s="751" t="s">
        <v>312</v>
      </c>
      <c r="B81" s="741" t="s">
        <v>313</v>
      </c>
      <c r="C81" s="730">
        <f>SUM(C82:C83)</f>
        <v>700000000</v>
      </c>
      <c r="D81" s="730">
        <f>SUM(D82:D83)</f>
        <v>705316745</v>
      </c>
      <c r="E81" s="730">
        <f>SUM(E82:E83)</f>
        <v>705316745</v>
      </c>
    </row>
    <row r="82" spans="1:5" s="731" customFormat="1" x14ac:dyDescent="0.35">
      <c r="A82" s="732" t="s">
        <v>336</v>
      </c>
      <c r="B82" s="733" t="s">
        <v>314</v>
      </c>
      <c r="C82" s="747">
        <f>700000000</f>
        <v>700000000</v>
      </c>
      <c r="D82" s="747">
        <f>702467033+2291474+558238</f>
        <v>705316745</v>
      </c>
      <c r="E82" s="747">
        <f>700000000+2467033+2291474+558238</f>
        <v>705316745</v>
      </c>
    </row>
    <row r="83" spans="1:5" s="731" customFormat="1" ht="16" thickBot="1" x14ac:dyDescent="0.4">
      <c r="A83" s="739" t="s">
        <v>337</v>
      </c>
      <c r="B83" s="740" t="s">
        <v>315</v>
      </c>
      <c r="C83" s="747"/>
      <c r="D83" s="747"/>
      <c r="E83" s="747"/>
    </row>
    <row r="84" spans="1:5" s="731" customFormat="1" ht="16" thickBot="1" x14ac:dyDescent="0.4">
      <c r="A84" s="751" t="s">
        <v>316</v>
      </c>
      <c r="B84" s="741" t="s">
        <v>317</v>
      </c>
      <c r="C84" s="730">
        <f>SUM(C85:C87)</f>
        <v>429499</v>
      </c>
      <c r="D84" s="730">
        <f>SUM(D85:D87)</f>
        <v>429499</v>
      </c>
      <c r="E84" s="730">
        <f>SUM(E85:E87)</f>
        <v>206682</v>
      </c>
    </row>
    <row r="85" spans="1:5" s="731" customFormat="1" x14ac:dyDescent="0.35">
      <c r="A85" s="732" t="s">
        <v>338</v>
      </c>
      <c r="B85" s="733" t="s">
        <v>318</v>
      </c>
      <c r="C85" s="747">
        <f>429499</f>
        <v>429499</v>
      </c>
      <c r="D85" s="747">
        <f>429499</f>
        <v>429499</v>
      </c>
      <c r="E85" s="747">
        <f>429499-429499+206682</f>
        <v>206682</v>
      </c>
    </row>
    <row r="86" spans="1:5" s="731" customFormat="1" x14ac:dyDescent="0.35">
      <c r="A86" s="735" t="s">
        <v>339</v>
      </c>
      <c r="B86" s="736" t="s">
        <v>319</v>
      </c>
      <c r="C86" s="747"/>
      <c r="D86" s="747"/>
      <c r="E86" s="747"/>
    </row>
    <row r="87" spans="1:5" s="731" customFormat="1" ht="16" thickBot="1" x14ac:dyDescent="0.4">
      <c r="A87" s="739" t="s">
        <v>340</v>
      </c>
      <c r="B87" s="740" t="s">
        <v>320</v>
      </c>
      <c r="C87" s="747"/>
      <c r="D87" s="747"/>
      <c r="E87" s="747"/>
    </row>
    <row r="88" spans="1:5" s="731" customFormat="1" ht="16" thickBot="1" x14ac:dyDescent="0.4">
      <c r="A88" s="751" t="s">
        <v>321</v>
      </c>
      <c r="B88" s="741" t="s">
        <v>341</v>
      </c>
      <c r="C88" s="730">
        <f>SUM(C89:C92)</f>
        <v>0</v>
      </c>
      <c r="D88" s="730">
        <f>SUM(D89:D92)</f>
        <v>0</v>
      </c>
      <c r="E88" s="730">
        <f>SUM(E89:E92)</f>
        <v>0</v>
      </c>
    </row>
    <row r="89" spans="1:5" s="731" customFormat="1" ht="31" x14ac:dyDescent="0.35">
      <c r="A89" s="753" t="s">
        <v>322</v>
      </c>
      <c r="B89" s="733" t="s">
        <v>323</v>
      </c>
      <c r="C89" s="747"/>
      <c r="D89" s="747"/>
      <c r="E89" s="747"/>
    </row>
    <row r="90" spans="1:5" s="731" customFormat="1" ht="31" x14ac:dyDescent="0.35">
      <c r="A90" s="754" t="s">
        <v>324</v>
      </c>
      <c r="B90" s="736" t="s">
        <v>325</v>
      </c>
      <c r="C90" s="747"/>
      <c r="D90" s="747"/>
      <c r="E90" s="747"/>
    </row>
    <row r="91" spans="1:5" s="731" customFormat="1" ht="31" x14ac:dyDescent="0.35">
      <c r="A91" s="754" t="s">
        <v>326</v>
      </c>
      <c r="B91" s="736" t="s">
        <v>327</v>
      </c>
      <c r="C91" s="747"/>
      <c r="D91" s="747"/>
      <c r="E91" s="747"/>
    </row>
    <row r="92" spans="1:5" s="731" customFormat="1" ht="31.5" thickBot="1" x14ac:dyDescent="0.4">
      <c r="A92" s="755" t="s">
        <v>328</v>
      </c>
      <c r="B92" s="740" t="s">
        <v>329</v>
      </c>
      <c r="C92" s="747"/>
      <c r="D92" s="747"/>
      <c r="E92" s="747"/>
    </row>
    <row r="93" spans="1:5" s="731" customFormat="1" ht="16" thickBot="1" x14ac:dyDescent="0.4">
      <c r="A93" s="751" t="s">
        <v>330</v>
      </c>
      <c r="B93" s="741" t="s">
        <v>470</v>
      </c>
      <c r="C93" s="756"/>
      <c r="D93" s="756"/>
      <c r="E93" s="756"/>
    </row>
    <row r="94" spans="1:5" s="731" customFormat="1" ht="16" thickBot="1" x14ac:dyDescent="0.4">
      <c r="A94" s="751" t="s">
        <v>332</v>
      </c>
      <c r="B94" s="741" t="s">
        <v>331</v>
      </c>
      <c r="C94" s="756"/>
      <c r="D94" s="756"/>
      <c r="E94" s="756"/>
    </row>
    <row r="95" spans="1:5" s="731" customFormat="1" ht="16" thickBot="1" x14ac:dyDescent="0.4">
      <c r="A95" s="751" t="s">
        <v>344</v>
      </c>
      <c r="B95" s="757" t="s">
        <v>473</v>
      </c>
      <c r="C95" s="744">
        <f>+C72+C76+C81+C84+C88+C94+C93</f>
        <v>700429499</v>
      </c>
      <c r="D95" s="744">
        <f>+D72+D76+D81+D84+D88+D94+D93</f>
        <v>705746244</v>
      </c>
      <c r="E95" s="744">
        <f>+E72+E76+E81+E84+E88+E94+E93</f>
        <v>705523427</v>
      </c>
    </row>
    <row r="96" spans="1:5" s="731" customFormat="1" ht="31" thickBot="1" x14ac:dyDescent="0.4">
      <c r="A96" s="758" t="s">
        <v>472</v>
      </c>
      <c r="B96" s="759" t="s">
        <v>474</v>
      </c>
      <c r="C96" s="744">
        <f>+C71+C95</f>
        <v>1257411392</v>
      </c>
      <c r="D96" s="744">
        <f>+D71+D95</f>
        <v>1274800315</v>
      </c>
      <c r="E96" s="744">
        <f>+E71+E95</f>
        <v>1235931740</v>
      </c>
    </row>
    <row r="97" spans="1:5" s="731" customFormat="1" x14ac:dyDescent="0.35">
      <c r="A97" s="71"/>
      <c r="B97" s="72"/>
      <c r="C97" s="566"/>
      <c r="D97" s="566"/>
      <c r="E97" s="566"/>
    </row>
    <row r="98" spans="1:5" x14ac:dyDescent="0.35">
      <c r="A98" s="900" t="s">
        <v>42</v>
      </c>
      <c r="B98" s="900"/>
      <c r="C98" s="33"/>
      <c r="D98" s="33"/>
      <c r="E98" s="33"/>
    </row>
    <row r="99" spans="1:5" s="73" customFormat="1" ht="16" thickBot="1" x14ac:dyDescent="0.4">
      <c r="A99" s="901" t="s">
        <v>143</v>
      </c>
      <c r="B99" s="901"/>
      <c r="C99" s="760"/>
      <c r="D99" s="760"/>
      <c r="E99" s="760"/>
    </row>
    <row r="100" spans="1:5" ht="45.5" thickBot="1" x14ac:dyDescent="0.4">
      <c r="A100" s="761" t="s">
        <v>64</v>
      </c>
      <c r="B100" s="762" t="s">
        <v>43</v>
      </c>
      <c r="C100" s="677" t="s">
        <v>640</v>
      </c>
      <c r="D100" s="677" t="s">
        <v>724</v>
      </c>
      <c r="E100" s="827" t="s">
        <v>730</v>
      </c>
    </row>
    <row r="101" spans="1:5" s="731" customFormat="1" ht="16" thickBot="1" x14ac:dyDescent="0.4">
      <c r="A101" s="761" t="s">
        <v>482</v>
      </c>
      <c r="B101" s="762" t="s">
        <v>483</v>
      </c>
      <c r="C101" s="763" t="s">
        <v>484</v>
      </c>
      <c r="D101" s="763" t="s">
        <v>484</v>
      </c>
      <c r="E101" s="763" t="s">
        <v>484</v>
      </c>
    </row>
    <row r="102" spans="1:5" ht="16" thickBot="1" x14ac:dyDescent="0.4">
      <c r="A102" s="764" t="s">
        <v>14</v>
      </c>
      <c r="B102" s="765" t="s">
        <v>736</v>
      </c>
      <c r="C102" s="766">
        <f>C103+C104+C105+C106+C107+C120</f>
        <v>884536009</v>
      </c>
      <c r="D102" s="766">
        <f>D103+D104+D105+D106+D107+D120</f>
        <v>901924932</v>
      </c>
      <c r="E102" s="766">
        <f>E103+E104+E105+E106+E107+E120</f>
        <v>874226526</v>
      </c>
    </row>
    <row r="103" spans="1:5" x14ac:dyDescent="0.35">
      <c r="A103" s="767" t="s">
        <v>93</v>
      </c>
      <c r="B103" s="768" t="s">
        <v>44</v>
      </c>
      <c r="C103" s="769">
        <f>71538418+93062711+14985780</f>
        <v>179586909</v>
      </c>
      <c r="D103" s="769">
        <f>73821258+93535207+14985780</f>
        <v>182342245</v>
      </c>
      <c r="E103" s="769">
        <f>88632818-17094400+2282840+1728436+1650000+1207500+193000-3759250+500000+86868608+14111380</f>
        <v>176320932</v>
      </c>
    </row>
    <row r="104" spans="1:5" x14ac:dyDescent="0.35">
      <c r="A104" s="735" t="s">
        <v>94</v>
      </c>
      <c r="B104" s="770" t="s">
        <v>172</v>
      </c>
      <c r="C104" s="737">
        <f>13972182+17002243+2973609</f>
        <v>33948034</v>
      </c>
      <c r="D104" s="737">
        <f>14171931+17155805+2973609</f>
        <v>34301345</v>
      </c>
      <c r="E104" s="737">
        <f>17115177-3142995+199749+151240+288750+211312-990469+87500+15277430+2721589</f>
        <v>31919283</v>
      </c>
    </row>
    <row r="105" spans="1:5" x14ac:dyDescent="0.35">
      <c r="A105" s="735" t="s">
        <v>95</v>
      </c>
      <c r="B105" s="770" t="s">
        <v>131</v>
      </c>
      <c r="C105" s="742">
        <f>164118610+27723661+39510750</f>
        <v>231353021</v>
      </c>
      <c r="D105" s="742">
        <f>164118610+27723661+39510750</f>
        <v>231353021</v>
      </c>
      <c r="E105" s="742">
        <f>258201921-94083311+3175000+27723661+20760750+6000000</f>
        <v>221778021</v>
      </c>
    </row>
    <row r="106" spans="1:5" x14ac:dyDescent="0.35">
      <c r="A106" s="735" t="s">
        <v>96</v>
      </c>
      <c r="B106" s="771" t="s">
        <v>173</v>
      </c>
      <c r="C106" s="742">
        <v>12600000</v>
      </c>
      <c r="D106" s="742">
        <v>12600000</v>
      </c>
      <c r="E106" s="742">
        <f>12600000-3175000</f>
        <v>9425000</v>
      </c>
    </row>
    <row r="107" spans="1:5" x14ac:dyDescent="0.35">
      <c r="A107" s="735" t="s">
        <v>107</v>
      </c>
      <c r="B107" s="772" t="s">
        <v>174</v>
      </c>
      <c r="C107" s="742">
        <f>C108+C109+C110+C111+C112+C113+C114+C115+C116+C117+C118+C119</f>
        <v>175177509</v>
      </c>
      <c r="D107" s="742">
        <f>D108+D109+D110+D111+D112+D113+D114+D115+D116+D117+D118+D119</f>
        <v>173671996</v>
      </c>
      <c r="E107" s="742">
        <f>E108+E109+E110+E111+E112+E113+E114+E115+E116+E117+E118+E119</f>
        <v>161982830</v>
      </c>
    </row>
    <row r="108" spans="1:5" x14ac:dyDescent="0.35">
      <c r="A108" s="735" t="s">
        <v>97</v>
      </c>
      <c r="B108" s="770" t="s">
        <v>437</v>
      </c>
      <c r="C108" s="742"/>
      <c r="D108" s="742"/>
      <c r="E108" s="742"/>
    </row>
    <row r="109" spans="1:5" x14ac:dyDescent="0.35">
      <c r="A109" s="735" t="s">
        <v>98</v>
      </c>
      <c r="B109" s="773" t="s">
        <v>436</v>
      </c>
      <c r="C109" s="742"/>
      <c r="D109" s="742"/>
      <c r="E109" s="742"/>
    </row>
    <row r="110" spans="1:5" x14ac:dyDescent="0.35">
      <c r="A110" s="735" t="s">
        <v>108</v>
      </c>
      <c r="B110" s="773" t="s">
        <v>435</v>
      </c>
      <c r="C110" s="742">
        <v>1100000</v>
      </c>
      <c r="D110" s="742">
        <v>2000000</v>
      </c>
      <c r="E110" s="742">
        <f>1100000+900000</f>
        <v>2000000</v>
      </c>
    </row>
    <row r="111" spans="1:5" x14ac:dyDescent="0.35">
      <c r="A111" s="735" t="s">
        <v>109</v>
      </c>
      <c r="B111" s="774" t="s">
        <v>347</v>
      </c>
      <c r="C111" s="742"/>
      <c r="D111" s="742"/>
      <c r="E111" s="742"/>
    </row>
    <row r="112" spans="1:5" x14ac:dyDescent="0.35">
      <c r="A112" s="735" t="s">
        <v>110</v>
      </c>
      <c r="B112" s="775" t="s">
        <v>348</v>
      </c>
      <c r="C112" s="742"/>
      <c r="D112" s="742"/>
      <c r="E112" s="742"/>
    </row>
    <row r="113" spans="1:5" ht="31" x14ac:dyDescent="0.35">
      <c r="A113" s="735" t="s">
        <v>111</v>
      </c>
      <c r="B113" s="775" t="s">
        <v>349</v>
      </c>
      <c r="C113" s="742"/>
      <c r="D113" s="742"/>
      <c r="E113" s="742"/>
    </row>
    <row r="114" spans="1:5" x14ac:dyDescent="0.35">
      <c r="A114" s="735" t="s">
        <v>113</v>
      </c>
      <c r="B114" s="774" t="s">
        <v>350</v>
      </c>
      <c r="C114" s="742">
        <v>132997509</v>
      </c>
      <c r="D114" s="742">
        <v>130591996</v>
      </c>
      <c r="E114" s="742">
        <f>132997509-2405513-5489166-800000-200000-300000</f>
        <v>123802830</v>
      </c>
    </row>
    <row r="115" spans="1:5" x14ac:dyDescent="0.35">
      <c r="A115" s="735" t="s">
        <v>175</v>
      </c>
      <c r="B115" s="774" t="s">
        <v>351</v>
      </c>
      <c r="C115" s="742"/>
      <c r="D115" s="742"/>
      <c r="E115" s="742"/>
    </row>
    <row r="116" spans="1:5" x14ac:dyDescent="0.35">
      <c r="A116" s="735" t="s">
        <v>345</v>
      </c>
      <c r="B116" s="775" t="s">
        <v>352</v>
      </c>
      <c r="C116" s="742"/>
      <c r="D116" s="742"/>
      <c r="E116" s="742"/>
    </row>
    <row r="117" spans="1:5" x14ac:dyDescent="0.35">
      <c r="A117" s="776" t="s">
        <v>346</v>
      </c>
      <c r="B117" s="773" t="s">
        <v>353</v>
      </c>
      <c r="C117" s="742"/>
      <c r="D117" s="742"/>
      <c r="E117" s="742"/>
    </row>
    <row r="118" spans="1:5" x14ac:dyDescent="0.35">
      <c r="A118" s="735" t="s">
        <v>433</v>
      </c>
      <c r="B118" s="773" t="s">
        <v>354</v>
      </c>
      <c r="C118" s="742"/>
      <c r="D118" s="742"/>
      <c r="E118" s="742"/>
    </row>
    <row r="119" spans="1:5" x14ac:dyDescent="0.35">
      <c r="A119" s="739" t="s">
        <v>434</v>
      </c>
      <c r="B119" s="773" t="s">
        <v>355</v>
      </c>
      <c r="C119" s="742">
        <v>41080000</v>
      </c>
      <c r="D119" s="742">
        <v>41080000</v>
      </c>
      <c r="E119" s="742">
        <f>41080000-4900000</f>
        <v>36180000</v>
      </c>
    </row>
    <row r="120" spans="1:5" x14ac:dyDescent="0.35">
      <c r="A120" s="735" t="s">
        <v>438</v>
      </c>
      <c r="B120" s="771" t="s">
        <v>45</v>
      </c>
      <c r="C120" s="737">
        <f>C121+C122</f>
        <v>251870536</v>
      </c>
      <c r="D120" s="737">
        <f>D121+D122</f>
        <v>267656325</v>
      </c>
      <c r="E120" s="737">
        <f>E121+E122</f>
        <v>272800460</v>
      </c>
    </row>
    <row r="121" spans="1:5" x14ac:dyDescent="0.35">
      <c r="A121" s="735" t="s">
        <v>439</v>
      </c>
      <c r="B121" s="770" t="s">
        <v>441</v>
      </c>
      <c r="C121" s="737">
        <v>8834856</v>
      </c>
      <c r="D121" s="737">
        <v>21469480</v>
      </c>
      <c r="E121" s="737">
        <f>8834856+2405513+558238+2291474+189566+145744+9701500-3379392-496521+277527-626058+2467033-900000-163673+243701+215307+632000+15544420+8544974+5489166-9000000-21207500+75000+379473+284369+140809-241702+1845716-1660660+118795-319194-387750-283762+4791269-3748146-1055268-97409-1524000+1270000+800000+200000+300000+4900000+4572000+254000+3124200-13000000+160000-770900-355600+750000-87500</f>
        <v>22201615</v>
      </c>
    </row>
    <row r="122" spans="1:5" ht="16" thickBot="1" x14ac:dyDescent="0.4">
      <c r="A122" s="805" t="s">
        <v>440</v>
      </c>
      <c r="B122" s="806" t="s">
        <v>442</v>
      </c>
      <c r="C122" s="778">
        <v>243035680</v>
      </c>
      <c r="D122" s="778">
        <v>246186845</v>
      </c>
      <c r="E122" s="778">
        <f>243035680+3151165+4572000-160000</f>
        <v>250598845</v>
      </c>
    </row>
    <row r="123" spans="1:5" ht="16" thickBot="1" x14ac:dyDescent="0.4">
      <c r="A123" s="807" t="s">
        <v>15</v>
      </c>
      <c r="B123" s="808" t="s">
        <v>737</v>
      </c>
      <c r="C123" s="780">
        <f>+C124+C126+C128</f>
        <v>363265992</v>
      </c>
      <c r="D123" s="780">
        <f>+D124+D126+D128</f>
        <v>363265992</v>
      </c>
      <c r="E123" s="780">
        <f>+E124+E126+E128</f>
        <v>352318640</v>
      </c>
    </row>
    <row r="124" spans="1:5" x14ac:dyDescent="0.35">
      <c r="A124" s="732" t="s">
        <v>99</v>
      </c>
      <c r="B124" s="770" t="s">
        <v>217</v>
      </c>
      <c r="C124" s="734">
        <f>345433128+444500+3748564</f>
        <v>349626192</v>
      </c>
      <c r="D124" s="734">
        <f>345433128+444500+3748564</f>
        <v>349626192</v>
      </c>
      <c r="E124" s="734">
        <f>366997728-21564600+70000+18900+298350-298350+1524000-1270000-3124200-4572000+762000+333248+444500+4380564</f>
        <v>344000140</v>
      </c>
    </row>
    <row r="125" spans="1:5" x14ac:dyDescent="0.35">
      <c r="A125" s="732" t="s">
        <v>100</v>
      </c>
      <c r="B125" s="781" t="s">
        <v>359</v>
      </c>
      <c r="C125" s="734"/>
      <c r="D125" s="734"/>
      <c r="E125" s="734"/>
    </row>
    <row r="126" spans="1:5" x14ac:dyDescent="0.35">
      <c r="A126" s="732" t="s">
        <v>101</v>
      </c>
      <c r="B126" s="781" t="s">
        <v>176</v>
      </c>
      <c r="C126" s="737">
        <v>13639800</v>
      </c>
      <c r="D126" s="737">
        <v>13639800</v>
      </c>
      <c r="E126" s="737">
        <f>13639800-70000-18900-4572000-254000-406400</f>
        <v>8318500</v>
      </c>
    </row>
    <row r="127" spans="1:5" x14ac:dyDescent="0.35">
      <c r="A127" s="732" t="s">
        <v>102</v>
      </c>
      <c r="B127" s="781" t="s">
        <v>360</v>
      </c>
      <c r="C127" s="782"/>
      <c r="D127" s="782"/>
      <c r="E127" s="782"/>
    </row>
    <row r="128" spans="1:5" x14ac:dyDescent="0.35">
      <c r="A128" s="732" t="s">
        <v>103</v>
      </c>
      <c r="B128" s="740" t="s">
        <v>219</v>
      </c>
      <c r="C128" s="782">
        <f>C129+C130+C131+C132+C133+C134+C135+C136</f>
        <v>0</v>
      </c>
      <c r="D128" s="782">
        <f>D129+D130+D131+D132+D133+D134+D135+D136</f>
        <v>0</v>
      </c>
      <c r="E128" s="782">
        <f>E129+E130+E131+E132+E133+E134+E135+E136</f>
        <v>0</v>
      </c>
    </row>
    <row r="129" spans="1:5" x14ac:dyDescent="0.35">
      <c r="A129" s="732" t="s">
        <v>112</v>
      </c>
      <c r="B129" s="738" t="s">
        <v>421</v>
      </c>
      <c r="C129" s="782"/>
      <c r="D129" s="782"/>
      <c r="E129" s="782"/>
    </row>
    <row r="130" spans="1:5" x14ac:dyDescent="0.35">
      <c r="A130" s="732" t="s">
        <v>114</v>
      </c>
      <c r="B130" s="783" t="s">
        <v>365</v>
      </c>
      <c r="C130" s="782"/>
      <c r="D130" s="782"/>
      <c r="E130" s="782"/>
    </row>
    <row r="131" spans="1:5" ht="31" x14ac:dyDescent="0.35">
      <c r="A131" s="732" t="s">
        <v>177</v>
      </c>
      <c r="B131" s="775" t="s">
        <v>349</v>
      </c>
      <c r="C131" s="782"/>
      <c r="D131" s="782"/>
      <c r="E131" s="782"/>
    </row>
    <row r="132" spans="1:5" x14ac:dyDescent="0.35">
      <c r="A132" s="732" t="s">
        <v>178</v>
      </c>
      <c r="B132" s="775" t="s">
        <v>364</v>
      </c>
      <c r="C132" s="782"/>
      <c r="D132" s="782"/>
      <c r="E132" s="782"/>
    </row>
    <row r="133" spans="1:5" x14ac:dyDescent="0.35">
      <c r="A133" s="732" t="s">
        <v>179</v>
      </c>
      <c r="B133" s="775" t="s">
        <v>363</v>
      </c>
      <c r="C133" s="782"/>
      <c r="D133" s="782"/>
      <c r="E133" s="782"/>
    </row>
    <row r="134" spans="1:5" x14ac:dyDescent="0.35">
      <c r="A134" s="732" t="s">
        <v>356</v>
      </c>
      <c r="B134" s="775" t="s">
        <v>352</v>
      </c>
      <c r="C134" s="782"/>
      <c r="D134" s="782"/>
      <c r="E134" s="782"/>
    </row>
    <row r="135" spans="1:5" x14ac:dyDescent="0.35">
      <c r="A135" s="732" t="s">
        <v>357</v>
      </c>
      <c r="B135" s="775" t="s">
        <v>362</v>
      </c>
      <c r="C135" s="782"/>
      <c r="D135" s="782"/>
      <c r="E135" s="782"/>
    </row>
    <row r="136" spans="1:5" ht="16" thickBot="1" x14ac:dyDescent="0.4">
      <c r="A136" s="776" t="s">
        <v>358</v>
      </c>
      <c r="B136" s="775" t="s">
        <v>361</v>
      </c>
      <c r="C136" s="784"/>
      <c r="D136" s="784"/>
      <c r="E136" s="784"/>
    </row>
    <row r="137" spans="1:5" ht="16" thickBot="1" x14ac:dyDescent="0.4">
      <c r="A137" s="728" t="s">
        <v>16</v>
      </c>
      <c r="B137" s="785" t="s">
        <v>443</v>
      </c>
      <c r="C137" s="730">
        <f>+C102+C123</f>
        <v>1247802001</v>
      </c>
      <c r="D137" s="730">
        <f>+D102+D123</f>
        <v>1265190924</v>
      </c>
      <c r="E137" s="730">
        <f>+E102+E123</f>
        <v>1226545166</v>
      </c>
    </row>
    <row r="138" spans="1:5" ht="16" thickBot="1" x14ac:dyDescent="0.4">
      <c r="A138" s="728" t="s">
        <v>17</v>
      </c>
      <c r="B138" s="785" t="s">
        <v>444</v>
      </c>
      <c r="C138" s="730">
        <f>+C139+C140+C141</f>
        <v>0</v>
      </c>
      <c r="D138" s="730">
        <f>+D139+D140+D141</f>
        <v>0</v>
      </c>
      <c r="E138" s="730">
        <f>+E139+E140+E141</f>
        <v>0</v>
      </c>
    </row>
    <row r="139" spans="1:5" x14ac:dyDescent="0.35">
      <c r="A139" s="732" t="s">
        <v>257</v>
      </c>
      <c r="B139" s="781" t="s">
        <v>451</v>
      </c>
      <c r="C139" s="782"/>
      <c r="D139" s="782"/>
      <c r="E139" s="782"/>
    </row>
    <row r="140" spans="1:5" x14ac:dyDescent="0.35">
      <c r="A140" s="732" t="s">
        <v>260</v>
      </c>
      <c r="B140" s="781" t="s">
        <v>452</v>
      </c>
      <c r="C140" s="782"/>
      <c r="D140" s="782"/>
      <c r="E140" s="782"/>
    </row>
    <row r="141" spans="1:5" ht="16" thickBot="1" x14ac:dyDescent="0.4">
      <c r="A141" s="776" t="s">
        <v>261</v>
      </c>
      <c r="B141" s="781" t="s">
        <v>453</v>
      </c>
      <c r="C141" s="782"/>
      <c r="D141" s="782"/>
      <c r="E141" s="782"/>
    </row>
    <row r="142" spans="1:5" ht="16" thickBot="1" x14ac:dyDescent="0.4">
      <c r="A142" s="728" t="s">
        <v>18</v>
      </c>
      <c r="B142" s="785" t="s">
        <v>445</v>
      </c>
      <c r="C142" s="730">
        <f>SUM(C143:C148)</f>
        <v>0</v>
      </c>
      <c r="D142" s="730">
        <f>SUM(D143:D148)</f>
        <v>0</v>
      </c>
      <c r="E142" s="730">
        <f>SUM(E143:E148)</f>
        <v>0</v>
      </c>
    </row>
    <row r="143" spans="1:5" x14ac:dyDescent="0.35">
      <c r="A143" s="732" t="s">
        <v>86</v>
      </c>
      <c r="B143" s="786" t="s">
        <v>454</v>
      </c>
      <c r="C143" s="782"/>
      <c r="D143" s="782"/>
      <c r="E143" s="782"/>
    </row>
    <row r="144" spans="1:5" x14ac:dyDescent="0.35">
      <c r="A144" s="732" t="s">
        <v>87</v>
      </c>
      <c r="B144" s="786" t="s">
        <v>446</v>
      </c>
      <c r="C144" s="782"/>
      <c r="D144" s="782"/>
      <c r="E144" s="782"/>
    </row>
    <row r="145" spans="1:5" x14ac:dyDescent="0.35">
      <c r="A145" s="732" t="s">
        <v>88</v>
      </c>
      <c r="B145" s="786" t="s">
        <v>447</v>
      </c>
      <c r="C145" s="782"/>
      <c r="D145" s="782"/>
      <c r="E145" s="782"/>
    </row>
    <row r="146" spans="1:5" x14ac:dyDescent="0.35">
      <c r="A146" s="732" t="s">
        <v>164</v>
      </c>
      <c r="B146" s="786" t="s">
        <v>448</v>
      </c>
      <c r="C146" s="782"/>
      <c r="D146" s="782"/>
      <c r="E146" s="782"/>
    </row>
    <row r="147" spans="1:5" x14ac:dyDescent="0.35">
      <c r="A147" s="732" t="s">
        <v>165</v>
      </c>
      <c r="B147" s="786" t="s">
        <v>449</v>
      </c>
      <c r="C147" s="782"/>
      <c r="D147" s="782"/>
      <c r="E147" s="782"/>
    </row>
    <row r="148" spans="1:5" ht="16" thickBot="1" x14ac:dyDescent="0.4">
      <c r="A148" s="776" t="s">
        <v>166</v>
      </c>
      <c r="B148" s="786" t="s">
        <v>450</v>
      </c>
      <c r="C148" s="782"/>
      <c r="D148" s="782"/>
      <c r="E148" s="782"/>
    </row>
    <row r="149" spans="1:5" ht="16" thickBot="1" x14ac:dyDescent="0.4">
      <c r="A149" s="728" t="s">
        <v>19</v>
      </c>
      <c r="B149" s="785" t="s">
        <v>458</v>
      </c>
      <c r="C149" s="744">
        <f>+C150+C151+C152+C153</f>
        <v>9609391</v>
      </c>
      <c r="D149" s="744">
        <f>+D150+D151+D152+D153</f>
        <v>9609391</v>
      </c>
      <c r="E149" s="744">
        <f>+E150+E151+E152+E153</f>
        <v>9386574</v>
      </c>
    </row>
    <row r="150" spans="1:5" x14ac:dyDescent="0.35">
      <c r="A150" s="732" t="s">
        <v>89</v>
      </c>
      <c r="B150" s="786" t="s">
        <v>366</v>
      </c>
      <c r="C150" s="782"/>
      <c r="D150" s="782"/>
      <c r="E150" s="782"/>
    </row>
    <row r="151" spans="1:5" x14ac:dyDescent="0.35">
      <c r="A151" s="732" t="s">
        <v>90</v>
      </c>
      <c r="B151" s="786" t="s">
        <v>367</v>
      </c>
      <c r="C151" s="782">
        <v>9609391</v>
      </c>
      <c r="D151" s="782">
        <v>9609391</v>
      </c>
      <c r="E151" s="782">
        <f>9609391-429499+206682</f>
        <v>9386574</v>
      </c>
    </row>
    <row r="152" spans="1:5" x14ac:dyDescent="0.35">
      <c r="A152" s="732" t="s">
        <v>281</v>
      </c>
      <c r="B152" s="786" t="s">
        <v>459</v>
      </c>
      <c r="C152" s="782"/>
      <c r="D152" s="782"/>
      <c r="E152" s="782"/>
    </row>
    <row r="153" spans="1:5" ht="16" thickBot="1" x14ac:dyDescent="0.4">
      <c r="A153" s="776" t="s">
        <v>282</v>
      </c>
      <c r="B153" s="787" t="s">
        <v>385</v>
      </c>
      <c r="C153" s="782"/>
      <c r="D153" s="782"/>
      <c r="E153" s="782"/>
    </row>
    <row r="154" spans="1:5" ht="16" thickBot="1" x14ac:dyDescent="0.4">
      <c r="A154" s="728" t="s">
        <v>20</v>
      </c>
      <c r="B154" s="785" t="s">
        <v>460</v>
      </c>
      <c r="C154" s="788">
        <f>SUM(C155:C159)</f>
        <v>0</v>
      </c>
      <c r="D154" s="788">
        <f>SUM(D155:D159)</f>
        <v>0</v>
      </c>
      <c r="E154" s="788">
        <f>SUM(E155:E159)</f>
        <v>0</v>
      </c>
    </row>
    <row r="155" spans="1:5" x14ac:dyDescent="0.35">
      <c r="A155" s="732" t="s">
        <v>91</v>
      </c>
      <c r="B155" s="786" t="s">
        <v>455</v>
      </c>
      <c r="C155" s="782"/>
      <c r="D155" s="782"/>
      <c r="E155" s="782"/>
    </row>
    <row r="156" spans="1:5" x14ac:dyDescent="0.35">
      <c r="A156" s="732" t="s">
        <v>92</v>
      </c>
      <c r="B156" s="786" t="s">
        <v>462</v>
      </c>
      <c r="C156" s="782"/>
      <c r="D156" s="782"/>
      <c r="E156" s="782"/>
    </row>
    <row r="157" spans="1:5" x14ac:dyDescent="0.35">
      <c r="A157" s="732" t="s">
        <v>293</v>
      </c>
      <c r="B157" s="786" t="s">
        <v>457</v>
      </c>
      <c r="C157" s="782"/>
      <c r="D157" s="782"/>
      <c r="E157" s="782"/>
    </row>
    <row r="158" spans="1:5" ht="31" x14ac:dyDescent="0.35">
      <c r="A158" s="732" t="s">
        <v>294</v>
      </c>
      <c r="B158" s="786" t="s">
        <v>463</v>
      </c>
      <c r="C158" s="782"/>
      <c r="D158" s="782"/>
      <c r="E158" s="782"/>
    </row>
    <row r="159" spans="1:5" ht="16" thickBot="1" x14ac:dyDescent="0.4">
      <c r="A159" s="732" t="s">
        <v>461</v>
      </c>
      <c r="B159" s="786" t="s">
        <v>464</v>
      </c>
      <c r="C159" s="782"/>
      <c r="D159" s="782"/>
      <c r="E159" s="782"/>
    </row>
    <row r="160" spans="1:5" ht="16" thickBot="1" x14ac:dyDescent="0.4">
      <c r="A160" s="728" t="s">
        <v>21</v>
      </c>
      <c r="B160" s="785" t="s">
        <v>465</v>
      </c>
      <c r="C160" s="789"/>
      <c r="D160" s="789"/>
      <c r="E160" s="789"/>
    </row>
    <row r="161" spans="1:5" ht="16" thickBot="1" x14ac:dyDescent="0.4">
      <c r="A161" s="728" t="s">
        <v>22</v>
      </c>
      <c r="B161" s="785" t="s">
        <v>540</v>
      </c>
      <c r="C161" s="789"/>
      <c r="D161" s="789"/>
      <c r="E161" s="789"/>
    </row>
    <row r="162" spans="1:5" ht="16" thickBot="1" x14ac:dyDescent="0.4">
      <c r="A162" s="728" t="s">
        <v>23</v>
      </c>
      <c r="B162" s="785" t="s">
        <v>468</v>
      </c>
      <c r="C162" s="790">
        <f>+C138+C142+C149+C154+C160+C161</f>
        <v>9609391</v>
      </c>
      <c r="D162" s="790">
        <f>+D138+D142+D149+D154+D160+D161</f>
        <v>9609391</v>
      </c>
      <c r="E162" s="790">
        <f>+E138+E142+E149+E154+E160+E161</f>
        <v>9386574</v>
      </c>
    </row>
    <row r="163" spans="1:5" s="731" customFormat="1" ht="16" thickBot="1" x14ac:dyDescent="0.4">
      <c r="A163" s="791" t="s">
        <v>24</v>
      </c>
      <c r="B163" s="792" t="s">
        <v>467</v>
      </c>
      <c r="C163" s="790">
        <f>+C137+C162</f>
        <v>1257411392</v>
      </c>
      <c r="D163" s="790">
        <f>+D137+D162</f>
        <v>1274800315</v>
      </c>
      <c r="E163" s="790">
        <f>+E137+E162</f>
        <v>1235931740</v>
      </c>
    </row>
  </sheetData>
  <mergeCells count="4">
    <mergeCell ref="A10:B10"/>
    <mergeCell ref="A11:B11"/>
    <mergeCell ref="A98:B98"/>
    <mergeCell ref="A99:B99"/>
  </mergeCells>
  <phoneticPr fontId="5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55" orientation="portrait" r:id="rId1"/>
  <headerFooter alignWithMargins="0">
    <oddHeader>&amp;R&amp;"Times New Roman CE,Félkövér dőlt"&amp;11 1.1. melléklet a 11/2020. (VI.26.) önkormányzati rendelethez</oddHeader>
    <oddFooter>&amp;P. oldal, összesen: &amp;N</oddFooter>
  </headerFooter>
  <rowBreaks count="2" manualBreakCount="2">
    <brk id="71" max="4" man="1"/>
    <brk id="97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E61"/>
  <sheetViews>
    <sheetView zoomScaleNormal="100" workbookViewId="0">
      <selection activeCell="B1" sqref="B1"/>
    </sheetView>
  </sheetViews>
  <sheetFormatPr defaultColWidth="9.296875" defaultRowHeight="13" x14ac:dyDescent="0.3"/>
  <cols>
    <col min="1" max="1" width="13.796875" style="829" customWidth="1"/>
    <col min="2" max="2" width="79.19921875" style="828" customWidth="1"/>
    <col min="3" max="5" width="25" style="828" customWidth="1"/>
    <col min="6" max="16384" width="9.296875" style="828"/>
  </cols>
  <sheetData>
    <row r="1" spans="1:5" s="406" customFormat="1" ht="21" customHeight="1" thickBot="1" x14ac:dyDescent="0.35">
      <c r="A1" s="404"/>
      <c r="B1" s="405" t="s">
        <v>746</v>
      </c>
      <c r="C1" s="405"/>
      <c r="D1" s="405"/>
      <c r="E1" s="405"/>
    </row>
    <row r="2" spans="1:5" s="409" customFormat="1" ht="33" customHeight="1" x14ac:dyDescent="0.3">
      <c r="A2" s="407" t="s">
        <v>192</v>
      </c>
      <c r="B2" s="408" t="s">
        <v>536</v>
      </c>
      <c r="C2" s="542" t="s">
        <v>54</v>
      </c>
      <c r="D2" s="542" t="s">
        <v>54</v>
      </c>
      <c r="E2" s="542" t="s">
        <v>54</v>
      </c>
    </row>
    <row r="3" spans="1:5" s="409" customFormat="1" ht="23.5" thickBot="1" x14ac:dyDescent="0.35">
      <c r="A3" s="410" t="s">
        <v>191</v>
      </c>
      <c r="B3" s="411" t="s">
        <v>721</v>
      </c>
      <c r="C3" s="543" t="s">
        <v>54</v>
      </c>
      <c r="D3" s="543" t="s">
        <v>54</v>
      </c>
      <c r="E3" s="543" t="s">
        <v>54</v>
      </c>
    </row>
    <row r="4" spans="1:5" s="413" customFormat="1" ht="16" customHeight="1" thickBot="1" x14ac:dyDescent="0.4">
      <c r="A4" s="412"/>
      <c r="B4" s="412"/>
      <c r="C4" s="544" t="s">
        <v>579</v>
      </c>
      <c r="D4" s="544" t="s">
        <v>579</v>
      </c>
      <c r="E4" s="544" t="s">
        <v>579</v>
      </c>
    </row>
    <row r="5" spans="1:5" ht="44.5" customHeight="1" thickBot="1" x14ac:dyDescent="0.35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730</v>
      </c>
    </row>
    <row r="6" spans="1:5" s="418" customFormat="1" ht="13" customHeight="1" thickBot="1" x14ac:dyDescent="0.35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6" customHeight="1" thickBot="1" x14ac:dyDescent="0.35">
      <c r="A7" s="419"/>
      <c r="B7" s="420" t="s">
        <v>51</v>
      </c>
      <c r="C7" s="546"/>
      <c r="D7" s="546"/>
      <c r="E7" s="546"/>
    </row>
    <row r="8" spans="1:5" s="422" customFormat="1" ht="12" customHeight="1" thickBot="1" x14ac:dyDescent="0.35">
      <c r="A8" s="416" t="s">
        <v>14</v>
      </c>
      <c r="B8" s="421" t="s">
        <v>510</v>
      </c>
      <c r="C8" s="547">
        <f>SUM(C9:C19)</f>
        <v>605010</v>
      </c>
      <c r="D8" s="547">
        <f>SUM(D9:D19)</f>
        <v>605010</v>
      </c>
      <c r="E8" s="547">
        <f>SUM(E9:E19)</f>
        <v>605010</v>
      </c>
    </row>
    <row r="9" spans="1:5" s="422" customFormat="1" ht="12" customHeight="1" x14ac:dyDescent="0.3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 x14ac:dyDescent="0.3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 x14ac:dyDescent="0.3">
      <c r="A11" s="425" t="s">
        <v>95</v>
      </c>
      <c r="B11" s="426" t="s">
        <v>272</v>
      </c>
      <c r="C11" s="549">
        <v>600000</v>
      </c>
      <c r="D11" s="549">
        <v>600000</v>
      </c>
      <c r="E11" s="549">
        <v>600000</v>
      </c>
    </row>
    <row r="12" spans="1:5" s="422" customFormat="1" ht="12" customHeight="1" x14ac:dyDescent="0.3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 x14ac:dyDescent="0.3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 x14ac:dyDescent="0.3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 x14ac:dyDescent="0.3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 x14ac:dyDescent="0.3">
      <c r="A16" s="425" t="s">
        <v>108</v>
      </c>
      <c r="B16" s="426" t="s">
        <v>277</v>
      </c>
      <c r="C16" s="550">
        <v>10</v>
      </c>
      <c r="D16" s="550">
        <v>10</v>
      </c>
      <c r="E16" s="550">
        <v>10</v>
      </c>
    </row>
    <row r="17" spans="1:5" s="428" customFormat="1" ht="12" customHeight="1" x14ac:dyDescent="0.3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 x14ac:dyDescent="0.3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 x14ac:dyDescent="0.35">
      <c r="A19" s="425" t="s">
        <v>111</v>
      </c>
      <c r="B19" s="427" t="s">
        <v>279</v>
      </c>
      <c r="C19" s="551">
        <v>5000</v>
      </c>
      <c r="D19" s="551">
        <v>5000</v>
      </c>
      <c r="E19" s="551">
        <v>5000</v>
      </c>
    </row>
    <row r="20" spans="1:5" s="422" customFormat="1" ht="12" customHeight="1" thickBot="1" x14ac:dyDescent="0.35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 x14ac:dyDescent="0.3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 x14ac:dyDescent="0.3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 x14ac:dyDescent="0.3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 x14ac:dyDescent="0.35">
      <c r="A24" s="425" t="s">
        <v>102</v>
      </c>
      <c r="B24" s="426" t="s">
        <v>511</v>
      </c>
      <c r="C24" s="549"/>
      <c r="D24" s="549"/>
      <c r="E24" s="549"/>
    </row>
    <row r="25" spans="1:5" s="428" customFormat="1" ht="12" customHeight="1" thickBot="1" x14ac:dyDescent="0.35">
      <c r="A25" s="430" t="s">
        <v>16</v>
      </c>
      <c r="B25" s="431" t="s">
        <v>163</v>
      </c>
      <c r="C25" s="552">
        <v>1200000</v>
      </c>
      <c r="D25" s="552">
        <v>1200000</v>
      </c>
      <c r="E25" s="552">
        <v>1200000</v>
      </c>
    </row>
    <row r="26" spans="1:5" s="428" customFormat="1" ht="12" customHeight="1" thickBot="1" x14ac:dyDescent="0.35">
      <c r="A26" s="430" t="s">
        <v>17</v>
      </c>
      <c r="B26" s="431" t="s">
        <v>512</v>
      </c>
      <c r="C26" s="547">
        <f>+C27+C28+C29</f>
        <v>0</v>
      </c>
      <c r="D26" s="547">
        <f>+D27+D28+D29</f>
        <v>0</v>
      </c>
      <c r="E26" s="547">
        <f>+E27+E28+E29</f>
        <v>0</v>
      </c>
    </row>
    <row r="27" spans="1:5" s="428" customFormat="1" ht="12" customHeight="1" x14ac:dyDescent="0.3">
      <c r="A27" s="432" t="s">
        <v>257</v>
      </c>
      <c r="B27" s="433" t="s">
        <v>252</v>
      </c>
      <c r="C27" s="553"/>
      <c r="D27" s="553"/>
      <c r="E27" s="553"/>
    </row>
    <row r="28" spans="1:5" s="428" customFormat="1" ht="12" customHeight="1" x14ac:dyDescent="0.3">
      <c r="A28" s="432" t="s">
        <v>260</v>
      </c>
      <c r="B28" s="433" t="s">
        <v>397</v>
      </c>
      <c r="C28" s="549"/>
      <c r="D28" s="549"/>
      <c r="E28" s="549"/>
    </row>
    <row r="29" spans="1:5" s="428" customFormat="1" ht="12" customHeight="1" x14ac:dyDescent="0.3">
      <c r="A29" s="432" t="s">
        <v>261</v>
      </c>
      <c r="B29" s="434" t="s">
        <v>400</v>
      </c>
      <c r="C29" s="549"/>
      <c r="D29" s="549"/>
      <c r="E29" s="549"/>
    </row>
    <row r="30" spans="1:5" s="428" customFormat="1" ht="12" customHeight="1" thickBot="1" x14ac:dyDescent="0.35">
      <c r="A30" s="425" t="s">
        <v>262</v>
      </c>
      <c r="B30" s="435" t="s">
        <v>513</v>
      </c>
      <c r="C30" s="555"/>
      <c r="D30" s="555"/>
      <c r="E30" s="555"/>
    </row>
    <row r="31" spans="1:5" s="428" customFormat="1" ht="12" customHeight="1" thickBot="1" x14ac:dyDescent="0.35">
      <c r="A31" s="430" t="s">
        <v>18</v>
      </c>
      <c r="B31" s="431" t="s">
        <v>401</v>
      </c>
      <c r="C31" s="547">
        <f>+C32+C33+C34</f>
        <v>0</v>
      </c>
      <c r="D31" s="547">
        <f>+D32+D33+D34</f>
        <v>0</v>
      </c>
      <c r="E31" s="547">
        <f>+E32+E33+E34</f>
        <v>0</v>
      </c>
    </row>
    <row r="32" spans="1:5" s="428" customFormat="1" ht="12" customHeight="1" x14ac:dyDescent="0.3">
      <c r="A32" s="432" t="s">
        <v>86</v>
      </c>
      <c r="B32" s="433" t="s">
        <v>284</v>
      </c>
      <c r="C32" s="553"/>
      <c r="D32" s="553"/>
      <c r="E32" s="553"/>
    </row>
    <row r="33" spans="1:5" s="428" customFormat="1" ht="12" customHeight="1" x14ac:dyDescent="0.3">
      <c r="A33" s="432" t="s">
        <v>87</v>
      </c>
      <c r="B33" s="434" t="s">
        <v>285</v>
      </c>
      <c r="C33" s="554"/>
      <c r="D33" s="554"/>
      <c r="E33" s="554"/>
    </row>
    <row r="34" spans="1:5" s="428" customFormat="1" ht="12" customHeight="1" thickBot="1" x14ac:dyDescent="0.35">
      <c r="A34" s="425" t="s">
        <v>88</v>
      </c>
      <c r="B34" s="435" t="s">
        <v>286</v>
      </c>
      <c r="C34" s="555"/>
      <c r="D34" s="555"/>
      <c r="E34" s="555"/>
    </row>
    <row r="35" spans="1:5" s="422" customFormat="1" ht="12" customHeight="1" thickBot="1" x14ac:dyDescent="0.35">
      <c r="A35" s="430" t="s">
        <v>19</v>
      </c>
      <c r="B35" s="431" t="s">
        <v>371</v>
      </c>
      <c r="C35" s="552"/>
      <c r="D35" s="552"/>
      <c r="E35" s="552"/>
    </row>
    <row r="36" spans="1:5" s="422" customFormat="1" ht="12" customHeight="1" thickBot="1" x14ac:dyDescent="0.35">
      <c r="A36" s="430" t="s">
        <v>20</v>
      </c>
      <c r="B36" s="431" t="s">
        <v>402</v>
      </c>
      <c r="C36" s="556"/>
      <c r="D36" s="556"/>
      <c r="E36" s="556"/>
    </row>
    <row r="37" spans="1:5" s="422" customFormat="1" ht="12" customHeight="1" thickBot="1" x14ac:dyDescent="0.35">
      <c r="A37" s="416" t="s">
        <v>21</v>
      </c>
      <c r="B37" s="431" t="s">
        <v>403</v>
      </c>
      <c r="C37" s="557">
        <f>+C8+C20+C25+C26+C31+C35+C36</f>
        <v>1805010</v>
      </c>
      <c r="D37" s="557">
        <f>+D8+D20+D25+D26+D31+D35+D36</f>
        <v>1805010</v>
      </c>
      <c r="E37" s="557">
        <f>+E8+E20+E25+E26+E31+E35+E36</f>
        <v>1805010</v>
      </c>
    </row>
    <row r="38" spans="1:5" s="422" customFormat="1" ht="12" customHeight="1" thickBot="1" x14ac:dyDescent="0.35">
      <c r="A38" s="436" t="s">
        <v>22</v>
      </c>
      <c r="B38" s="431" t="s">
        <v>404</v>
      </c>
      <c r="C38" s="557">
        <f>+C39+C40+C41</f>
        <v>136428105</v>
      </c>
      <c r="D38" s="557">
        <f>+D39+D40+D41</f>
        <v>137054163</v>
      </c>
      <c r="E38" s="557">
        <f>+E39+E40+E41</f>
        <v>128509189</v>
      </c>
    </row>
    <row r="39" spans="1:5" s="422" customFormat="1" ht="12" customHeight="1" x14ac:dyDescent="0.3">
      <c r="A39" s="432" t="s">
        <v>405</v>
      </c>
      <c r="B39" s="433" t="s">
        <v>226</v>
      </c>
      <c r="C39" s="553"/>
      <c r="D39" s="553">
        <v>2291474</v>
      </c>
      <c r="E39" s="553">
        <v>2291474</v>
      </c>
    </row>
    <row r="40" spans="1:5" s="422" customFormat="1" ht="12" customHeight="1" x14ac:dyDescent="0.3">
      <c r="A40" s="432" t="s">
        <v>406</v>
      </c>
      <c r="B40" s="434" t="s">
        <v>0</v>
      </c>
      <c r="C40" s="554"/>
      <c r="D40" s="554"/>
      <c r="E40" s="554"/>
    </row>
    <row r="41" spans="1:5" s="428" customFormat="1" ht="12" customHeight="1" thickBot="1" x14ac:dyDescent="0.35">
      <c r="A41" s="425" t="s">
        <v>407</v>
      </c>
      <c r="B41" s="435" t="s">
        <v>408</v>
      </c>
      <c r="C41" s="555">
        <v>136428105</v>
      </c>
      <c r="D41" s="555">
        <f>136428105-2291474+9701500-9701500+626058</f>
        <v>134762689</v>
      </c>
      <c r="E41" s="555">
        <f>136428105-2291474+9701500-9701500+626058-8544974</f>
        <v>126217715</v>
      </c>
    </row>
    <row r="42" spans="1:5" s="428" customFormat="1" ht="15" customHeight="1" thickBot="1" x14ac:dyDescent="0.3">
      <c r="A42" s="436" t="s">
        <v>23</v>
      </c>
      <c r="B42" s="437" t="s">
        <v>409</v>
      </c>
      <c r="C42" s="558">
        <f>C37+C38</f>
        <v>138233115</v>
      </c>
      <c r="D42" s="558">
        <f>D37+D38</f>
        <v>138859173</v>
      </c>
      <c r="E42" s="558">
        <f>E37+E38</f>
        <v>130314199</v>
      </c>
    </row>
    <row r="43" spans="1:5" s="428" customFormat="1" ht="15" customHeight="1" x14ac:dyDescent="0.3">
      <c r="A43" s="438"/>
      <c r="B43" s="439"/>
      <c r="C43" s="559"/>
      <c r="D43" s="559"/>
      <c r="E43" s="559"/>
    </row>
    <row r="44" spans="1:5" ht="13.5" thickBot="1" x14ac:dyDescent="0.35">
      <c r="A44" s="440"/>
      <c r="B44" s="441"/>
      <c r="C44" s="560"/>
      <c r="D44" s="560"/>
      <c r="E44" s="560"/>
    </row>
    <row r="45" spans="1:5" s="418" customFormat="1" ht="16.5" customHeight="1" thickBot="1" x14ac:dyDescent="0.35">
      <c r="A45" s="442"/>
      <c r="B45" s="443" t="s">
        <v>52</v>
      </c>
      <c r="C45" s="558"/>
      <c r="D45" s="558"/>
      <c r="E45" s="558"/>
    </row>
    <row r="46" spans="1:5" s="444" customFormat="1" ht="12" customHeight="1" thickBot="1" x14ac:dyDescent="0.35">
      <c r="A46" s="430" t="s">
        <v>14</v>
      </c>
      <c r="B46" s="431" t="s">
        <v>410</v>
      </c>
      <c r="C46" s="547">
        <f>SUM(C47:C51)</f>
        <v>137788615</v>
      </c>
      <c r="D46" s="547">
        <f>SUM(D47:D51)</f>
        <v>138414673</v>
      </c>
      <c r="E46" s="547">
        <f>SUM(E47:E51)</f>
        <v>129869699</v>
      </c>
    </row>
    <row r="47" spans="1:5" ht="12" customHeight="1" x14ac:dyDescent="0.3">
      <c r="A47" s="425" t="s">
        <v>93</v>
      </c>
      <c r="B47" s="429" t="s">
        <v>44</v>
      </c>
      <c r="C47" s="553">
        <v>93062711</v>
      </c>
      <c r="D47" s="553">
        <f>93062711+472496</f>
        <v>93535207</v>
      </c>
      <c r="E47" s="553">
        <f>93062711+472496-6666599</f>
        <v>86868608</v>
      </c>
    </row>
    <row r="48" spans="1:5" ht="12" customHeight="1" x14ac:dyDescent="0.3">
      <c r="A48" s="425" t="s">
        <v>94</v>
      </c>
      <c r="B48" s="426" t="s">
        <v>172</v>
      </c>
      <c r="C48" s="561">
        <v>17002243</v>
      </c>
      <c r="D48" s="561">
        <f>17002243+153562</f>
        <v>17155805</v>
      </c>
      <c r="E48" s="561">
        <f>17002243+153562-1878375</f>
        <v>15277430</v>
      </c>
    </row>
    <row r="49" spans="1:5" ht="12" customHeight="1" x14ac:dyDescent="0.3">
      <c r="A49" s="425" t="s">
        <v>95</v>
      </c>
      <c r="B49" s="426" t="s">
        <v>131</v>
      </c>
      <c r="C49" s="561">
        <v>27723661</v>
      </c>
      <c r="D49" s="561">
        <v>27723661</v>
      </c>
      <c r="E49" s="561">
        <v>27723661</v>
      </c>
    </row>
    <row r="50" spans="1:5" ht="12" customHeight="1" x14ac:dyDescent="0.3">
      <c r="A50" s="425" t="s">
        <v>96</v>
      </c>
      <c r="B50" s="426" t="s">
        <v>173</v>
      </c>
      <c r="C50" s="561"/>
      <c r="D50" s="561"/>
      <c r="E50" s="561"/>
    </row>
    <row r="51" spans="1:5" ht="12" customHeight="1" thickBot="1" x14ac:dyDescent="0.35">
      <c r="A51" s="425" t="s">
        <v>139</v>
      </c>
      <c r="B51" s="426" t="s">
        <v>174</v>
      </c>
      <c r="C51" s="561"/>
      <c r="D51" s="561"/>
      <c r="E51" s="561"/>
    </row>
    <row r="52" spans="1:5" ht="12" customHeight="1" thickBot="1" x14ac:dyDescent="0.35">
      <c r="A52" s="430" t="s">
        <v>15</v>
      </c>
      <c r="B52" s="431" t="s">
        <v>411</v>
      </c>
      <c r="C52" s="547">
        <f>SUM(C53:C55)</f>
        <v>444500</v>
      </c>
      <c r="D52" s="547">
        <f>SUM(D53:D55)</f>
        <v>444500</v>
      </c>
      <c r="E52" s="547">
        <f>SUM(E53:E55)</f>
        <v>444500</v>
      </c>
    </row>
    <row r="53" spans="1:5" s="444" customFormat="1" ht="12" customHeight="1" x14ac:dyDescent="0.3">
      <c r="A53" s="425" t="s">
        <v>99</v>
      </c>
      <c r="B53" s="429" t="s">
        <v>217</v>
      </c>
      <c r="C53" s="553">
        <v>444500</v>
      </c>
      <c r="D53" s="553">
        <v>444500</v>
      </c>
      <c r="E53" s="553">
        <v>444500</v>
      </c>
    </row>
    <row r="54" spans="1:5" ht="12" customHeight="1" x14ac:dyDescent="0.3">
      <c r="A54" s="425" t="s">
        <v>100</v>
      </c>
      <c r="B54" s="426" t="s">
        <v>176</v>
      </c>
      <c r="C54" s="561"/>
      <c r="D54" s="561"/>
      <c r="E54" s="561"/>
    </row>
    <row r="55" spans="1:5" ht="12" customHeight="1" x14ac:dyDescent="0.3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 x14ac:dyDescent="0.35">
      <c r="A56" s="425" t="s">
        <v>102</v>
      </c>
      <c r="B56" s="426" t="s">
        <v>514</v>
      </c>
      <c r="C56" s="561"/>
      <c r="D56" s="561"/>
      <c r="E56" s="561"/>
    </row>
    <row r="57" spans="1:5" ht="15" customHeight="1" thickBot="1" x14ac:dyDescent="0.35">
      <c r="A57" s="430" t="s">
        <v>16</v>
      </c>
      <c r="B57" s="431" t="s">
        <v>10</v>
      </c>
      <c r="C57" s="552"/>
      <c r="D57" s="552"/>
      <c r="E57" s="552"/>
    </row>
    <row r="58" spans="1:5" ht="13.5" thickBot="1" x14ac:dyDescent="0.35">
      <c r="A58" s="430" t="s">
        <v>17</v>
      </c>
      <c r="B58" s="445" t="s">
        <v>519</v>
      </c>
      <c r="C58" s="562">
        <f>+C46+C52+C57</f>
        <v>138233115</v>
      </c>
      <c r="D58" s="562">
        <f>+D46+D52+D57</f>
        <v>138859173</v>
      </c>
      <c r="E58" s="562">
        <f>+E46+E52+E57</f>
        <v>130314199</v>
      </c>
    </row>
    <row r="59" spans="1:5" ht="15" customHeight="1" thickBot="1" x14ac:dyDescent="0.35">
      <c r="C59" s="830"/>
      <c r="D59" s="830"/>
      <c r="E59" s="830"/>
    </row>
    <row r="60" spans="1:5" ht="14.25" customHeight="1" thickBot="1" x14ac:dyDescent="0.35">
      <c r="A60" s="446" t="s">
        <v>509</v>
      </c>
      <c r="B60" s="447"/>
      <c r="C60" s="563">
        <v>21</v>
      </c>
      <c r="D60" s="563">
        <v>21</v>
      </c>
      <c r="E60" s="563">
        <v>21</v>
      </c>
    </row>
    <row r="61" spans="1:5" ht="13.5" thickBot="1" x14ac:dyDescent="0.35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E61"/>
  <sheetViews>
    <sheetView topLeftCell="B1" zoomScaleNormal="100" workbookViewId="0">
      <selection activeCell="B1" sqref="B1"/>
    </sheetView>
  </sheetViews>
  <sheetFormatPr defaultColWidth="9.296875" defaultRowHeight="13" x14ac:dyDescent="0.3"/>
  <cols>
    <col min="1" max="1" width="13.796875" style="829" customWidth="1"/>
    <col min="2" max="2" width="79.19921875" style="828" customWidth="1"/>
    <col min="3" max="5" width="25" style="828" customWidth="1"/>
    <col min="6" max="16384" width="9.296875" style="828"/>
  </cols>
  <sheetData>
    <row r="1" spans="1:5" s="406" customFormat="1" ht="21" customHeight="1" thickBot="1" x14ac:dyDescent="0.35">
      <c r="A1" s="404"/>
      <c r="B1" s="405" t="s">
        <v>746</v>
      </c>
      <c r="C1" s="405"/>
      <c r="D1" s="405"/>
      <c r="E1" s="405"/>
    </row>
    <row r="2" spans="1:5" s="409" customFormat="1" ht="33" customHeight="1" x14ac:dyDescent="0.3">
      <c r="A2" s="407" t="s">
        <v>192</v>
      </c>
      <c r="B2" s="408" t="s">
        <v>536</v>
      </c>
      <c r="C2" s="542" t="s">
        <v>54</v>
      </c>
      <c r="D2" s="542" t="s">
        <v>54</v>
      </c>
      <c r="E2" s="542" t="s">
        <v>54</v>
      </c>
    </row>
    <row r="3" spans="1:5" s="409" customFormat="1" ht="23.5" thickBot="1" x14ac:dyDescent="0.35">
      <c r="A3" s="410" t="s">
        <v>191</v>
      </c>
      <c r="B3" s="411" t="s">
        <v>722</v>
      </c>
      <c r="C3" s="543" t="s">
        <v>54</v>
      </c>
      <c r="D3" s="543" t="s">
        <v>54</v>
      </c>
      <c r="E3" s="543" t="s">
        <v>54</v>
      </c>
    </row>
    <row r="4" spans="1:5" s="413" customFormat="1" ht="16" customHeight="1" thickBot="1" x14ac:dyDescent="0.4">
      <c r="A4" s="412"/>
      <c r="B4" s="412"/>
      <c r="C4" s="544" t="s">
        <v>579</v>
      </c>
      <c r="D4" s="544" t="s">
        <v>579</v>
      </c>
      <c r="E4" s="544" t="s">
        <v>579</v>
      </c>
    </row>
    <row r="5" spans="1:5" ht="44.5" customHeight="1" thickBot="1" x14ac:dyDescent="0.35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730</v>
      </c>
    </row>
    <row r="6" spans="1:5" s="418" customFormat="1" ht="13" customHeight="1" thickBot="1" x14ac:dyDescent="0.35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6" customHeight="1" thickBot="1" x14ac:dyDescent="0.35">
      <c r="A7" s="419"/>
      <c r="B7" s="420" t="s">
        <v>51</v>
      </c>
      <c r="C7" s="546"/>
      <c r="D7" s="546"/>
      <c r="E7" s="546"/>
    </row>
    <row r="8" spans="1:5" s="422" customFormat="1" ht="12" customHeight="1" thickBot="1" x14ac:dyDescent="0.35">
      <c r="A8" s="416" t="s">
        <v>14</v>
      </c>
      <c r="B8" s="421" t="s">
        <v>510</v>
      </c>
      <c r="C8" s="547">
        <f>SUM(C9:C19)</f>
        <v>0</v>
      </c>
      <c r="D8" s="547">
        <f>SUM(D9:D19)</f>
        <v>0</v>
      </c>
      <c r="E8" s="547">
        <f>SUM(E9:E19)</f>
        <v>0</v>
      </c>
    </row>
    <row r="9" spans="1:5" s="422" customFormat="1" ht="12" customHeight="1" x14ac:dyDescent="0.3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 x14ac:dyDescent="0.3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 x14ac:dyDescent="0.3">
      <c r="A11" s="425" t="s">
        <v>95</v>
      </c>
      <c r="B11" s="426" t="s">
        <v>272</v>
      </c>
      <c r="C11" s="549"/>
      <c r="D11" s="549"/>
      <c r="E11" s="549"/>
    </row>
    <row r="12" spans="1:5" s="422" customFormat="1" ht="12" customHeight="1" x14ac:dyDescent="0.3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 x14ac:dyDescent="0.3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 x14ac:dyDescent="0.3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 x14ac:dyDescent="0.3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 x14ac:dyDescent="0.3">
      <c r="A16" s="425" t="s">
        <v>108</v>
      </c>
      <c r="B16" s="426" t="s">
        <v>277</v>
      </c>
      <c r="C16" s="550"/>
      <c r="D16" s="550"/>
      <c r="E16" s="550"/>
    </row>
    <row r="17" spans="1:5" s="428" customFormat="1" ht="12" customHeight="1" x14ac:dyDescent="0.3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 x14ac:dyDescent="0.3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 x14ac:dyDescent="0.35">
      <c r="A19" s="425" t="s">
        <v>111</v>
      </c>
      <c r="B19" s="427" t="s">
        <v>279</v>
      </c>
      <c r="C19" s="551"/>
      <c r="D19" s="551"/>
      <c r="E19" s="551"/>
    </row>
    <row r="20" spans="1:5" s="422" customFormat="1" ht="12" customHeight="1" thickBot="1" x14ac:dyDescent="0.35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 x14ac:dyDescent="0.3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 x14ac:dyDescent="0.3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 x14ac:dyDescent="0.3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 x14ac:dyDescent="0.35">
      <c r="A24" s="425" t="s">
        <v>102</v>
      </c>
      <c r="B24" s="426" t="s">
        <v>511</v>
      </c>
      <c r="C24" s="549"/>
      <c r="D24" s="549"/>
      <c r="E24" s="549"/>
    </row>
    <row r="25" spans="1:5" s="428" customFormat="1" ht="12" customHeight="1" thickBot="1" x14ac:dyDescent="0.35">
      <c r="A25" s="430" t="s">
        <v>16</v>
      </c>
      <c r="B25" s="431" t="s">
        <v>163</v>
      </c>
      <c r="C25" s="552"/>
      <c r="D25" s="552"/>
      <c r="E25" s="552"/>
    </row>
    <row r="26" spans="1:5" s="428" customFormat="1" ht="12" customHeight="1" thickBot="1" x14ac:dyDescent="0.35">
      <c r="A26" s="430" t="s">
        <v>17</v>
      </c>
      <c r="B26" s="431" t="s">
        <v>512</v>
      </c>
      <c r="C26" s="547">
        <f>+C27+C28+C29</f>
        <v>0</v>
      </c>
      <c r="D26" s="547">
        <f>+D27+D28+D29</f>
        <v>0</v>
      </c>
      <c r="E26" s="547">
        <f>+E27+E28+E29</f>
        <v>0</v>
      </c>
    </row>
    <row r="27" spans="1:5" s="428" customFormat="1" ht="12" customHeight="1" x14ac:dyDescent="0.3">
      <c r="A27" s="432" t="s">
        <v>257</v>
      </c>
      <c r="B27" s="433" t="s">
        <v>252</v>
      </c>
      <c r="C27" s="553"/>
      <c r="D27" s="553"/>
      <c r="E27" s="553"/>
    </row>
    <row r="28" spans="1:5" s="428" customFormat="1" ht="12" customHeight="1" x14ac:dyDescent="0.3">
      <c r="A28" s="432" t="s">
        <v>260</v>
      </c>
      <c r="B28" s="433" t="s">
        <v>397</v>
      </c>
      <c r="C28" s="549"/>
      <c r="D28" s="549"/>
      <c r="E28" s="549"/>
    </row>
    <row r="29" spans="1:5" s="428" customFormat="1" ht="12" customHeight="1" x14ac:dyDescent="0.3">
      <c r="A29" s="432" t="s">
        <v>261</v>
      </c>
      <c r="B29" s="434" t="s">
        <v>400</v>
      </c>
      <c r="C29" s="549"/>
      <c r="D29" s="549"/>
      <c r="E29" s="549"/>
    </row>
    <row r="30" spans="1:5" s="428" customFormat="1" ht="12" customHeight="1" thickBot="1" x14ac:dyDescent="0.35">
      <c r="A30" s="425" t="s">
        <v>262</v>
      </c>
      <c r="B30" s="435" t="s">
        <v>513</v>
      </c>
      <c r="C30" s="555"/>
      <c r="D30" s="555"/>
      <c r="E30" s="555"/>
    </row>
    <row r="31" spans="1:5" s="428" customFormat="1" ht="12" customHeight="1" thickBot="1" x14ac:dyDescent="0.35">
      <c r="A31" s="430" t="s">
        <v>18</v>
      </c>
      <c r="B31" s="431" t="s">
        <v>401</v>
      </c>
      <c r="C31" s="547">
        <f>+C32+C33+C34</f>
        <v>0</v>
      </c>
      <c r="D31" s="547">
        <f>+D32+D33+D34</f>
        <v>0</v>
      </c>
      <c r="E31" s="547">
        <f>+E32+E33+E34</f>
        <v>0</v>
      </c>
    </row>
    <row r="32" spans="1:5" s="428" customFormat="1" ht="12" customHeight="1" x14ac:dyDescent="0.3">
      <c r="A32" s="432" t="s">
        <v>86</v>
      </c>
      <c r="B32" s="433" t="s">
        <v>284</v>
      </c>
      <c r="C32" s="553"/>
      <c r="D32" s="553"/>
      <c r="E32" s="553"/>
    </row>
    <row r="33" spans="1:5" s="428" customFormat="1" ht="12" customHeight="1" x14ac:dyDescent="0.3">
      <c r="A33" s="432" t="s">
        <v>87</v>
      </c>
      <c r="B33" s="434" t="s">
        <v>285</v>
      </c>
      <c r="C33" s="554"/>
      <c r="D33" s="554"/>
      <c r="E33" s="554"/>
    </row>
    <row r="34" spans="1:5" s="428" customFormat="1" ht="12" customHeight="1" thickBot="1" x14ac:dyDescent="0.35">
      <c r="A34" s="425" t="s">
        <v>88</v>
      </c>
      <c r="B34" s="435" t="s">
        <v>286</v>
      </c>
      <c r="C34" s="555"/>
      <c r="D34" s="555"/>
      <c r="E34" s="555"/>
    </row>
    <row r="35" spans="1:5" s="422" customFormat="1" ht="12" customHeight="1" thickBot="1" x14ac:dyDescent="0.35">
      <c r="A35" s="430" t="s">
        <v>19</v>
      </c>
      <c r="B35" s="431" t="s">
        <v>371</v>
      </c>
      <c r="C35" s="552"/>
      <c r="D35" s="552"/>
      <c r="E35" s="552"/>
    </row>
    <row r="36" spans="1:5" s="422" customFormat="1" ht="12" customHeight="1" thickBot="1" x14ac:dyDescent="0.35">
      <c r="A36" s="430" t="s">
        <v>20</v>
      </c>
      <c r="B36" s="431" t="s">
        <v>402</v>
      </c>
      <c r="C36" s="556"/>
      <c r="D36" s="556"/>
      <c r="E36" s="556"/>
    </row>
    <row r="37" spans="1:5" s="422" customFormat="1" ht="12" customHeight="1" thickBot="1" x14ac:dyDescent="0.35">
      <c r="A37" s="416" t="s">
        <v>21</v>
      </c>
      <c r="B37" s="431" t="s">
        <v>403</v>
      </c>
      <c r="C37" s="557">
        <f>+C8+C20+C25+C26+C31+C35+C36</f>
        <v>0</v>
      </c>
      <c r="D37" s="557">
        <f>+D8+D20+D25+D26+D31+D35+D36</f>
        <v>0</v>
      </c>
      <c r="E37" s="557">
        <f>+E8+E20+E25+E26+E31+E35+E36</f>
        <v>0</v>
      </c>
    </row>
    <row r="38" spans="1:5" s="422" customFormat="1" ht="12" customHeight="1" thickBot="1" x14ac:dyDescent="0.35">
      <c r="A38" s="436" t="s">
        <v>22</v>
      </c>
      <c r="B38" s="431" t="s">
        <v>404</v>
      </c>
      <c r="C38" s="557">
        <f>+C39+C40+C41</f>
        <v>0</v>
      </c>
      <c r="D38" s="557">
        <f>+D39+D40+D41</f>
        <v>0</v>
      </c>
      <c r="E38" s="557">
        <f>+E39+E40+E41</f>
        <v>0</v>
      </c>
    </row>
    <row r="39" spans="1:5" s="422" customFormat="1" ht="12" customHeight="1" x14ac:dyDescent="0.3">
      <c r="A39" s="432" t="s">
        <v>405</v>
      </c>
      <c r="B39" s="433" t="s">
        <v>226</v>
      </c>
      <c r="C39" s="553"/>
      <c r="D39" s="553"/>
      <c r="E39" s="553"/>
    </row>
    <row r="40" spans="1:5" s="422" customFormat="1" ht="12" customHeight="1" x14ac:dyDescent="0.3">
      <c r="A40" s="432" t="s">
        <v>406</v>
      </c>
      <c r="B40" s="434" t="s">
        <v>0</v>
      </c>
      <c r="C40" s="554"/>
      <c r="D40" s="554"/>
      <c r="E40" s="554"/>
    </row>
    <row r="41" spans="1:5" s="428" customFormat="1" ht="12" customHeight="1" thickBot="1" x14ac:dyDescent="0.35">
      <c r="A41" s="425" t="s">
        <v>407</v>
      </c>
      <c r="B41" s="435" t="s">
        <v>408</v>
      </c>
      <c r="C41" s="555"/>
      <c r="D41" s="555"/>
      <c r="E41" s="555"/>
    </row>
    <row r="42" spans="1:5" s="428" customFormat="1" ht="15" customHeight="1" thickBot="1" x14ac:dyDescent="0.3">
      <c r="A42" s="436" t="s">
        <v>23</v>
      </c>
      <c r="B42" s="437" t="s">
        <v>409</v>
      </c>
      <c r="C42" s="558">
        <f>C37+C38</f>
        <v>0</v>
      </c>
      <c r="D42" s="558">
        <f>D37+D38</f>
        <v>0</v>
      </c>
      <c r="E42" s="558">
        <f>E37+E38</f>
        <v>0</v>
      </c>
    </row>
    <row r="43" spans="1:5" s="428" customFormat="1" ht="15" customHeight="1" x14ac:dyDescent="0.3">
      <c r="A43" s="438"/>
      <c r="B43" s="439"/>
      <c r="C43" s="559"/>
      <c r="D43" s="559"/>
      <c r="E43" s="559"/>
    </row>
    <row r="44" spans="1:5" ht="13.5" thickBot="1" x14ac:dyDescent="0.35">
      <c r="A44" s="440"/>
      <c r="B44" s="441"/>
      <c r="C44" s="560"/>
      <c r="D44" s="560"/>
      <c r="E44" s="560"/>
    </row>
    <row r="45" spans="1:5" s="418" customFormat="1" ht="16.5" customHeight="1" thickBot="1" x14ac:dyDescent="0.35">
      <c r="A45" s="442"/>
      <c r="B45" s="443" t="s">
        <v>52</v>
      </c>
      <c r="C45" s="558"/>
      <c r="D45" s="558"/>
      <c r="E45" s="558"/>
    </row>
    <row r="46" spans="1:5" s="444" customFormat="1" ht="12" customHeight="1" thickBot="1" x14ac:dyDescent="0.35">
      <c r="A46" s="430" t="s">
        <v>14</v>
      </c>
      <c r="B46" s="431" t="s">
        <v>410</v>
      </c>
      <c r="C46" s="547">
        <f>SUM(C47:C51)</f>
        <v>0</v>
      </c>
      <c r="D46" s="547">
        <f>SUM(D47:D51)</f>
        <v>0</v>
      </c>
      <c r="E46" s="547">
        <f>SUM(E47:E51)</f>
        <v>0</v>
      </c>
    </row>
    <row r="47" spans="1:5" ht="12" customHeight="1" x14ac:dyDescent="0.3">
      <c r="A47" s="425" t="s">
        <v>93</v>
      </c>
      <c r="B47" s="429" t="s">
        <v>44</v>
      </c>
      <c r="C47" s="553"/>
      <c r="D47" s="553"/>
      <c r="E47" s="553"/>
    </row>
    <row r="48" spans="1:5" ht="12" customHeight="1" x14ac:dyDescent="0.3">
      <c r="A48" s="425" t="s">
        <v>94</v>
      </c>
      <c r="B48" s="426" t="s">
        <v>172</v>
      </c>
      <c r="C48" s="561"/>
      <c r="D48" s="561"/>
      <c r="E48" s="561"/>
    </row>
    <row r="49" spans="1:5" ht="12" customHeight="1" x14ac:dyDescent="0.3">
      <c r="A49" s="425" t="s">
        <v>95</v>
      </c>
      <c r="B49" s="426" t="s">
        <v>131</v>
      </c>
      <c r="C49" s="561"/>
      <c r="D49" s="561"/>
      <c r="E49" s="561"/>
    </row>
    <row r="50" spans="1:5" ht="12" customHeight="1" x14ac:dyDescent="0.3">
      <c r="A50" s="425" t="s">
        <v>96</v>
      </c>
      <c r="B50" s="426" t="s">
        <v>173</v>
      </c>
      <c r="C50" s="561"/>
      <c r="D50" s="561"/>
      <c r="E50" s="561"/>
    </row>
    <row r="51" spans="1:5" ht="12" customHeight="1" thickBot="1" x14ac:dyDescent="0.35">
      <c r="A51" s="425" t="s">
        <v>139</v>
      </c>
      <c r="B51" s="426" t="s">
        <v>174</v>
      </c>
      <c r="C51" s="561"/>
      <c r="D51" s="561"/>
      <c r="E51" s="561"/>
    </row>
    <row r="52" spans="1:5" ht="12" customHeight="1" thickBot="1" x14ac:dyDescent="0.35">
      <c r="A52" s="430" t="s">
        <v>15</v>
      </c>
      <c r="B52" s="431" t="s">
        <v>411</v>
      </c>
      <c r="C52" s="547">
        <f>SUM(C53:C55)</f>
        <v>0</v>
      </c>
      <c r="D52" s="547">
        <f>SUM(D53:D55)</f>
        <v>0</v>
      </c>
      <c r="E52" s="547">
        <f>SUM(E53:E55)</f>
        <v>0</v>
      </c>
    </row>
    <row r="53" spans="1:5" s="444" customFormat="1" ht="12" customHeight="1" x14ac:dyDescent="0.3">
      <c r="A53" s="425" t="s">
        <v>99</v>
      </c>
      <c r="B53" s="429" t="s">
        <v>217</v>
      </c>
      <c r="C53" s="553"/>
      <c r="D53" s="553"/>
      <c r="E53" s="553"/>
    </row>
    <row r="54" spans="1:5" ht="12" customHeight="1" x14ac:dyDescent="0.3">
      <c r="A54" s="425" t="s">
        <v>100</v>
      </c>
      <c r="B54" s="426" t="s">
        <v>176</v>
      </c>
      <c r="C54" s="561"/>
      <c r="D54" s="561"/>
      <c r="E54" s="561"/>
    </row>
    <row r="55" spans="1:5" ht="12" customHeight="1" x14ac:dyDescent="0.3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 x14ac:dyDescent="0.35">
      <c r="A56" s="425" t="s">
        <v>102</v>
      </c>
      <c r="B56" s="426" t="s">
        <v>514</v>
      </c>
      <c r="C56" s="561"/>
      <c r="D56" s="561"/>
      <c r="E56" s="561"/>
    </row>
    <row r="57" spans="1:5" ht="15" customHeight="1" thickBot="1" x14ac:dyDescent="0.35">
      <c r="A57" s="430" t="s">
        <v>16</v>
      </c>
      <c r="B57" s="431" t="s">
        <v>10</v>
      </c>
      <c r="C57" s="552"/>
      <c r="D57" s="552"/>
      <c r="E57" s="552"/>
    </row>
    <row r="58" spans="1:5" ht="13.5" thickBot="1" x14ac:dyDescent="0.35">
      <c r="A58" s="430" t="s">
        <v>17</v>
      </c>
      <c r="B58" s="445" t="s">
        <v>519</v>
      </c>
      <c r="C58" s="562">
        <f>+C46+C52+C57</f>
        <v>0</v>
      </c>
      <c r="D58" s="562">
        <f>+D46+D52+D57</f>
        <v>0</v>
      </c>
      <c r="E58" s="562">
        <f>+E46+E52+E57</f>
        <v>0</v>
      </c>
    </row>
    <row r="59" spans="1:5" ht="15" customHeight="1" thickBot="1" x14ac:dyDescent="0.35">
      <c r="C59" s="830"/>
      <c r="D59" s="830"/>
      <c r="E59" s="830"/>
    </row>
    <row r="60" spans="1:5" ht="14.25" customHeight="1" thickBot="1" x14ac:dyDescent="0.35">
      <c r="A60" s="446" t="s">
        <v>509</v>
      </c>
      <c r="B60" s="447"/>
      <c r="C60" s="563"/>
      <c r="D60" s="563"/>
      <c r="E60" s="563"/>
    </row>
    <row r="61" spans="1:5" ht="13.5" thickBot="1" x14ac:dyDescent="0.35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6" orientation="portrait" verticalDpi="300" r:id="rId1"/>
  <headerFooter alignWithMargins="0">
    <oddFooter>&amp;P. oldal, összesen: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E61"/>
  <sheetViews>
    <sheetView topLeftCell="B1" zoomScaleNormal="100" workbookViewId="0">
      <selection activeCell="B1" sqref="B1"/>
    </sheetView>
  </sheetViews>
  <sheetFormatPr defaultColWidth="9.296875" defaultRowHeight="13" x14ac:dyDescent="0.3"/>
  <cols>
    <col min="1" max="1" width="13.796875" style="829" customWidth="1"/>
    <col min="2" max="2" width="79.19921875" style="828" customWidth="1"/>
    <col min="3" max="5" width="25" style="828" customWidth="1"/>
    <col min="6" max="16384" width="9.296875" style="828"/>
  </cols>
  <sheetData>
    <row r="1" spans="1:5" s="406" customFormat="1" ht="21" customHeight="1" thickBot="1" x14ac:dyDescent="0.35">
      <c r="A1" s="404"/>
      <c r="B1" s="405" t="s">
        <v>746</v>
      </c>
      <c r="C1" s="405"/>
      <c r="D1" s="405"/>
      <c r="E1" s="405"/>
    </row>
    <row r="2" spans="1:5" s="409" customFormat="1" ht="33" customHeight="1" x14ac:dyDescent="0.3">
      <c r="A2" s="407" t="s">
        <v>192</v>
      </c>
      <c r="B2" s="408" t="s">
        <v>536</v>
      </c>
      <c r="C2" s="542" t="s">
        <v>54</v>
      </c>
      <c r="D2" s="542" t="s">
        <v>54</v>
      </c>
      <c r="E2" s="542" t="s">
        <v>54</v>
      </c>
    </row>
    <row r="3" spans="1:5" s="409" customFormat="1" ht="23.5" thickBot="1" x14ac:dyDescent="0.35">
      <c r="A3" s="410" t="s">
        <v>191</v>
      </c>
      <c r="B3" s="411" t="s">
        <v>723</v>
      </c>
      <c r="C3" s="543" t="s">
        <v>54</v>
      </c>
      <c r="D3" s="543" t="s">
        <v>54</v>
      </c>
      <c r="E3" s="543" t="s">
        <v>54</v>
      </c>
    </row>
    <row r="4" spans="1:5" s="413" customFormat="1" ht="16" customHeight="1" thickBot="1" x14ac:dyDescent="0.4">
      <c r="A4" s="412"/>
      <c r="B4" s="412"/>
      <c r="C4" s="544" t="s">
        <v>579</v>
      </c>
      <c r="D4" s="544" t="s">
        <v>579</v>
      </c>
      <c r="E4" s="544" t="s">
        <v>579</v>
      </c>
    </row>
    <row r="5" spans="1:5" ht="44.5" customHeight="1" thickBot="1" x14ac:dyDescent="0.35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730</v>
      </c>
    </row>
    <row r="6" spans="1:5" s="418" customFormat="1" ht="13" customHeight="1" thickBot="1" x14ac:dyDescent="0.35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6" customHeight="1" thickBot="1" x14ac:dyDescent="0.35">
      <c r="A7" s="419"/>
      <c r="B7" s="420" t="s">
        <v>51</v>
      </c>
      <c r="C7" s="546"/>
      <c r="D7" s="546"/>
      <c r="E7" s="546"/>
    </row>
    <row r="8" spans="1:5" s="422" customFormat="1" ht="12" customHeight="1" thickBot="1" x14ac:dyDescent="0.35">
      <c r="A8" s="416" t="s">
        <v>14</v>
      </c>
      <c r="B8" s="421" t="s">
        <v>510</v>
      </c>
      <c r="C8" s="547">
        <f>SUM(C9:C19)</f>
        <v>0</v>
      </c>
      <c r="D8" s="547">
        <f>SUM(D9:D19)</f>
        <v>0</v>
      </c>
      <c r="E8" s="547">
        <f>SUM(E9:E19)</f>
        <v>0</v>
      </c>
    </row>
    <row r="9" spans="1:5" s="422" customFormat="1" ht="12" customHeight="1" x14ac:dyDescent="0.3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 x14ac:dyDescent="0.3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 x14ac:dyDescent="0.3">
      <c r="A11" s="425" t="s">
        <v>95</v>
      </c>
      <c r="B11" s="426" t="s">
        <v>272</v>
      </c>
      <c r="C11" s="549"/>
      <c r="D11" s="549"/>
      <c r="E11" s="549"/>
    </row>
    <row r="12" spans="1:5" s="422" customFormat="1" ht="12" customHeight="1" x14ac:dyDescent="0.3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 x14ac:dyDescent="0.3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 x14ac:dyDescent="0.3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 x14ac:dyDescent="0.3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 x14ac:dyDescent="0.3">
      <c r="A16" s="425" t="s">
        <v>108</v>
      </c>
      <c r="B16" s="426" t="s">
        <v>277</v>
      </c>
      <c r="C16" s="550"/>
      <c r="D16" s="550"/>
      <c r="E16" s="550"/>
    </row>
    <row r="17" spans="1:5" s="428" customFormat="1" ht="12" customHeight="1" x14ac:dyDescent="0.3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 x14ac:dyDescent="0.3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 x14ac:dyDescent="0.35">
      <c r="A19" s="425" t="s">
        <v>111</v>
      </c>
      <c r="B19" s="427" t="s">
        <v>279</v>
      </c>
      <c r="C19" s="551"/>
      <c r="D19" s="551"/>
      <c r="E19" s="551"/>
    </row>
    <row r="20" spans="1:5" s="422" customFormat="1" ht="12" customHeight="1" thickBot="1" x14ac:dyDescent="0.35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 x14ac:dyDescent="0.3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 x14ac:dyDescent="0.3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 x14ac:dyDescent="0.3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 x14ac:dyDescent="0.35">
      <c r="A24" s="425" t="s">
        <v>102</v>
      </c>
      <c r="B24" s="426" t="s">
        <v>511</v>
      </c>
      <c r="C24" s="549"/>
      <c r="D24" s="549"/>
      <c r="E24" s="549"/>
    </row>
    <row r="25" spans="1:5" s="428" customFormat="1" ht="12" customHeight="1" thickBot="1" x14ac:dyDescent="0.35">
      <c r="A25" s="430" t="s">
        <v>16</v>
      </c>
      <c r="B25" s="431" t="s">
        <v>163</v>
      </c>
      <c r="C25" s="552"/>
      <c r="D25" s="552"/>
      <c r="E25" s="552"/>
    </row>
    <row r="26" spans="1:5" s="428" customFormat="1" ht="12" customHeight="1" thickBot="1" x14ac:dyDescent="0.35">
      <c r="A26" s="430" t="s">
        <v>17</v>
      </c>
      <c r="B26" s="431" t="s">
        <v>512</v>
      </c>
      <c r="C26" s="547">
        <f>+C27+C28+C29</f>
        <v>0</v>
      </c>
      <c r="D26" s="547">
        <f>+D27+D28+D29</f>
        <v>0</v>
      </c>
      <c r="E26" s="547">
        <f>+E27+E28+E29</f>
        <v>0</v>
      </c>
    </row>
    <row r="27" spans="1:5" s="428" customFormat="1" ht="12" customHeight="1" x14ac:dyDescent="0.3">
      <c r="A27" s="432" t="s">
        <v>257</v>
      </c>
      <c r="B27" s="433" t="s">
        <v>252</v>
      </c>
      <c r="C27" s="553"/>
      <c r="D27" s="553"/>
      <c r="E27" s="553"/>
    </row>
    <row r="28" spans="1:5" s="428" customFormat="1" ht="12" customHeight="1" x14ac:dyDescent="0.3">
      <c r="A28" s="432" t="s">
        <v>260</v>
      </c>
      <c r="B28" s="433" t="s">
        <v>397</v>
      </c>
      <c r="C28" s="549"/>
      <c r="D28" s="549"/>
      <c r="E28" s="549"/>
    </row>
    <row r="29" spans="1:5" s="428" customFormat="1" ht="12" customHeight="1" x14ac:dyDescent="0.3">
      <c r="A29" s="432" t="s">
        <v>261</v>
      </c>
      <c r="B29" s="434" t="s">
        <v>400</v>
      </c>
      <c r="C29" s="549"/>
      <c r="D29" s="549"/>
      <c r="E29" s="549"/>
    </row>
    <row r="30" spans="1:5" s="428" customFormat="1" ht="12" customHeight="1" thickBot="1" x14ac:dyDescent="0.35">
      <c r="A30" s="425" t="s">
        <v>262</v>
      </c>
      <c r="B30" s="435" t="s">
        <v>513</v>
      </c>
      <c r="C30" s="555"/>
      <c r="D30" s="555"/>
      <c r="E30" s="555"/>
    </row>
    <row r="31" spans="1:5" s="428" customFormat="1" ht="12" customHeight="1" thickBot="1" x14ac:dyDescent="0.35">
      <c r="A31" s="430" t="s">
        <v>18</v>
      </c>
      <c r="B31" s="431" t="s">
        <v>401</v>
      </c>
      <c r="C31" s="547">
        <f>+C32+C33+C34</f>
        <v>0</v>
      </c>
      <c r="D31" s="547">
        <f>+D32+D33+D34</f>
        <v>0</v>
      </c>
      <c r="E31" s="547">
        <f>+E32+E33+E34</f>
        <v>0</v>
      </c>
    </row>
    <row r="32" spans="1:5" s="428" customFormat="1" ht="12" customHeight="1" x14ac:dyDescent="0.3">
      <c r="A32" s="432" t="s">
        <v>86</v>
      </c>
      <c r="B32" s="433" t="s">
        <v>284</v>
      </c>
      <c r="C32" s="553"/>
      <c r="D32" s="553"/>
      <c r="E32" s="553"/>
    </row>
    <row r="33" spans="1:5" s="428" customFormat="1" ht="12" customHeight="1" x14ac:dyDescent="0.3">
      <c r="A33" s="432" t="s">
        <v>87</v>
      </c>
      <c r="B33" s="434" t="s">
        <v>285</v>
      </c>
      <c r="C33" s="554"/>
      <c r="D33" s="554"/>
      <c r="E33" s="554"/>
    </row>
    <row r="34" spans="1:5" s="428" customFormat="1" ht="12" customHeight="1" thickBot="1" x14ac:dyDescent="0.35">
      <c r="A34" s="425" t="s">
        <v>88</v>
      </c>
      <c r="B34" s="435" t="s">
        <v>286</v>
      </c>
      <c r="C34" s="555"/>
      <c r="D34" s="555"/>
      <c r="E34" s="555"/>
    </row>
    <row r="35" spans="1:5" s="422" customFormat="1" ht="12" customHeight="1" thickBot="1" x14ac:dyDescent="0.35">
      <c r="A35" s="430" t="s">
        <v>19</v>
      </c>
      <c r="B35" s="431" t="s">
        <v>371</v>
      </c>
      <c r="C35" s="552"/>
      <c r="D35" s="552"/>
      <c r="E35" s="552"/>
    </row>
    <row r="36" spans="1:5" s="422" customFormat="1" ht="12" customHeight="1" thickBot="1" x14ac:dyDescent="0.35">
      <c r="A36" s="430" t="s">
        <v>20</v>
      </c>
      <c r="B36" s="431" t="s">
        <v>402</v>
      </c>
      <c r="C36" s="556"/>
      <c r="D36" s="556"/>
      <c r="E36" s="556"/>
    </row>
    <row r="37" spans="1:5" s="422" customFormat="1" ht="12" customHeight="1" thickBot="1" x14ac:dyDescent="0.35">
      <c r="A37" s="416" t="s">
        <v>21</v>
      </c>
      <c r="B37" s="431" t="s">
        <v>403</v>
      </c>
      <c r="C37" s="557">
        <f>+C8+C20+C25+C26+C31+C35+C36</f>
        <v>0</v>
      </c>
      <c r="D37" s="557">
        <f>+D8+D20+D25+D26+D31+D35+D36</f>
        <v>0</v>
      </c>
      <c r="E37" s="557">
        <f>+E8+E20+E25+E26+E31+E35+E36</f>
        <v>0</v>
      </c>
    </row>
    <row r="38" spans="1:5" s="422" customFormat="1" ht="12" customHeight="1" thickBot="1" x14ac:dyDescent="0.35">
      <c r="A38" s="436" t="s">
        <v>22</v>
      </c>
      <c r="B38" s="431" t="s">
        <v>404</v>
      </c>
      <c r="C38" s="557">
        <f>+C39+C40+C41</f>
        <v>0</v>
      </c>
      <c r="D38" s="557">
        <f>+D39+D40+D41</f>
        <v>0</v>
      </c>
      <c r="E38" s="557">
        <f>+E39+E40+E41</f>
        <v>0</v>
      </c>
    </row>
    <row r="39" spans="1:5" s="422" customFormat="1" ht="12" customHeight="1" x14ac:dyDescent="0.3">
      <c r="A39" s="432" t="s">
        <v>405</v>
      </c>
      <c r="B39" s="433" t="s">
        <v>226</v>
      </c>
      <c r="C39" s="553"/>
      <c r="D39" s="553"/>
      <c r="E39" s="553"/>
    </row>
    <row r="40" spans="1:5" s="422" customFormat="1" ht="12" customHeight="1" x14ac:dyDescent="0.3">
      <c r="A40" s="432" t="s">
        <v>406</v>
      </c>
      <c r="B40" s="434" t="s">
        <v>0</v>
      </c>
      <c r="C40" s="554"/>
      <c r="D40" s="554"/>
      <c r="E40" s="554"/>
    </row>
    <row r="41" spans="1:5" s="428" customFormat="1" ht="12" customHeight="1" thickBot="1" x14ac:dyDescent="0.35">
      <c r="A41" s="425" t="s">
        <v>407</v>
      </c>
      <c r="B41" s="435" t="s">
        <v>408</v>
      </c>
      <c r="C41" s="555"/>
      <c r="D41" s="555"/>
      <c r="E41" s="555"/>
    </row>
    <row r="42" spans="1:5" s="428" customFormat="1" ht="15" customHeight="1" thickBot="1" x14ac:dyDescent="0.3">
      <c r="A42" s="436" t="s">
        <v>23</v>
      </c>
      <c r="B42" s="437" t="s">
        <v>409</v>
      </c>
      <c r="C42" s="558">
        <f>C37+C38</f>
        <v>0</v>
      </c>
      <c r="D42" s="558">
        <f>D37+D38</f>
        <v>0</v>
      </c>
      <c r="E42" s="558">
        <f>E37+E38</f>
        <v>0</v>
      </c>
    </row>
    <row r="43" spans="1:5" s="428" customFormat="1" ht="15" customHeight="1" x14ac:dyDescent="0.3">
      <c r="A43" s="438"/>
      <c r="B43" s="439"/>
      <c r="C43" s="559"/>
      <c r="D43" s="559"/>
      <c r="E43" s="559"/>
    </row>
    <row r="44" spans="1:5" ht="13.5" thickBot="1" x14ac:dyDescent="0.35">
      <c r="A44" s="440"/>
      <c r="B44" s="441"/>
      <c r="C44" s="560"/>
      <c r="D44" s="560"/>
      <c r="E44" s="560"/>
    </row>
    <row r="45" spans="1:5" s="418" customFormat="1" ht="16.5" customHeight="1" thickBot="1" x14ac:dyDescent="0.35">
      <c r="A45" s="442"/>
      <c r="B45" s="443" t="s">
        <v>52</v>
      </c>
      <c r="C45" s="558"/>
      <c r="D45" s="558"/>
      <c r="E45" s="558"/>
    </row>
    <row r="46" spans="1:5" s="444" customFormat="1" ht="12" customHeight="1" thickBot="1" x14ac:dyDescent="0.35">
      <c r="A46" s="430" t="s">
        <v>14</v>
      </c>
      <c r="B46" s="431" t="s">
        <v>410</v>
      </c>
      <c r="C46" s="547">
        <f>SUM(C47:C51)</f>
        <v>0</v>
      </c>
      <c r="D46" s="547">
        <f>SUM(D47:D51)</f>
        <v>0</v>
      </c>
      <c r="E46" s="547">
        <f>SUM(E47:E51)</f>
        <v>0</v>
      </c>
    </row>
    <row r="47" spans="1:5" ht="12" customHeight="1" x14ac:dyDescent="0.3">
      <c r="A47" s="425" t="s">
        <v>93</v>
      </c>
      <c r="B47" s="429" t="s">
        <v>44</v>
      </c>
      <c r="C47" s="553"/>
      <c r="D47" s="553"/>
      <c r="E47" s="553"/>
    </row>
    <row r="48" spans="1:5" ht="12" customHeight="1" x14ac:dyDescent="0.3">
      <c r="A48" s="425" t="s">
        <v>94</v>
      </c>
      <c r="B48" s="426" t="s">
        <v>172</v>
      </c>
      <c r="C48" s="561"/>
      <c r="D48" s="561"/>
      <c r="E48" s="561"/>
    </row>
    <row r="49" spans="1:5" ht="12" customHeight="1" x14ac:dyDescent="0.3">
      <c r="A49" s="425" t="s">
        <v>95</v>
      </c>
      <c r="B49" s="426" t="s">
        <v>131</v>
      </c>
      <c r="C49" s="561"/>
      <c r="D49" s="561"/>
      <c r="E49" s="561"/>
    </row>
    <row r="50" spans="1:5" ht="12" customHeight="1" x14ac:dyDescent="0.3">
      <c r="A50" s="425" t="s">
        <v>96</v>
      </c>
      <c r="B50" s="426" t="s">
        <v>173</v>
      </c>
      <c r="C50" s="561"/>
      <c r="D50" s="561"/>
      <c r="E50" s="561"/>
    </row>
    <row r="51" spans="1:5" ht="12" customHeight="1" thickBot="1" x14ac:dyDescent="0.35">
      <c r="A51" s="425" t="s">
        <v>139</v>
      </c>
      <c r="B51" s="426" t="s">
        <v>174</v>
      </c>
      <c r="C51" s="561"/>
      <c r="D51" s="561"/>
      <c r="E51" s="561"/>
    </row>
    <row r="52" spans="1:5" ht="12" customHeight="1" thickBot="1" x14ac:dyDescent="0.35">
      <c r="A52" s="430" t="s">
        <v>15</v>
      </c>
      <c r="B52" s="431" t="s">
        <v>411</v>
      </c>
      <c r="C52" s="547">
        <f>SUM(C53:C55)</f>
        <v>0</v>
      </c>
      <c r="D52" s="547">
        <f>SUM(D53:D55)</f>
        <v>0</v>
      </c>
      <c r="E52" s="547">
        <f>SUM(E53:E55)</f>
        <v>0</v>
      </c>
    </row>
    <row r="53" spans="1:5" s="444" customFormat="1" ht="12" customHeight="1" x14ac:dyDescent="0.3">
      <c r="A53" s="425" t="s">
        <v>99</v>
      </c>
      <c r="B53" s="429" t="s">
        <v>217</v>
      </c>
      <c r="C53" s="553"/>
      <c r="D53" s="553"/>
      <c r="E53" s="553"/>
    </row>
    <row r="54" spans="1:5" ht="12" customHeight="1" x14ac:dyDescent="0.3">
      <c r="A54" s="425" t="s">
        <v>100</v>
      </c>
      <c r="B54" s="426" t="s">
        <v>176</v>
      </c>
      <c r="C54" s="561"/>
      <c r="D54" s="561"/>
      <c r="E54" s="561"/>
    </row>
    <row r="55" spans="1:5" ht="12" customHeight="1" x14ac:dyDescent="0.3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 x14ac:dyDescent="0.35">
      <c r="A56" s="425" t="s">
        <v>102</v>
      </c>
      <c r="B56" s="426" t="s">
        <v>514</v>
      </c>
      <c r="C56" s="561"/>
      <c r="D56" s="561"/>
      <c r="E56" s="561"/>
    </row>
    <row r="57" spans="1:5" ht="15" customHeight="1" thickBot="1" x14ac:dyDescent="0.35">
      <c r="A57" s="430" t="s">
        <v>16</v>
      </c>
      <c r="B57" s="431" t="s">
        <v>10</v>
      </c>
      <c r="C57" s="552"/>
      <c r="D57" s="552"/>
      <c r="E57" s="552"/>
    </row>
    <row r="58" spans="1:5" ht="13.5" thickBot="1" x14ac:dyDescent="0.35">
      <c r="A58" s="430" t="s">
        <v>17</v>
      </c>
      <c r="B58" s="445" t="s">
        <v>519</v>
      </c>
      <c r="C58" s="562">
        <f>+C46+C52+C57</f>
        <v>0</v>
      </c>
      <c r="D58" s="562">
        <f>+D46+D52+D57</f>
        <v>0</v>
      </c>
      <c r="E58" s="562">
        <f>+E46+E52+E57</f>
        <v>0</v>
      </c>
    </row>
    <row r="59" spans="1:5" ht="15" customHeight="1" thickBot="1" x14ac:dyDescent="0.35">
      <c r="C59" s="830"/>
      <c r="D59" s="830"/>
      <c r="E59" s="830"/>
    </row>
    <row r="60" spans="1:5" ht="14.25" customHeight="1" thickBot="1" x14ac:dyDescent="0.35">
      <c r="A60" s="446" t="s">
        <v>509</v>
      </c>
      <c r="B60" s="447"/>
      <c r="C60" s="563"/>
      <c r="D60" s="563"/>
      <c r="E60" s="563"/>
    </row>
    <row r="61" spans="1:5" ht="13.5" thickBot="1" x14ac:dyDescent="0.35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>
    <oddFooter>&amp;P. oldal, összesen: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7"/>
  </sheetPr>
  <dimension ref="A1:E61"/>
  <sheetViews>
    <sheetView topLeftCell="A40" zoomScaleNormal="100" workbookViewId="0">
      <selection activeCell="E49" sqref="E49"/>
    </sheetView>
  </sheetViews>
  <sheetFormatPr defaultColWidth="9.296875" defaultRowHeight="15.5" x14ac:dyDescent="0.3"/>
  <cols>
    <col min="1" max="1" width="22.796875" style="894" customWidth="1"/>
    <col min="2" max="2" width="48.69921875" style="849" bestFit="1" customWidth="1"/>
    <col min="3" max="5" width="23.296875" style="849" bestFit="1" customWidth="1"/>
    <col min="6" max="16384" width="9.296875" style="849"/>
  </cols>
  <sheetData>
    <row r="1" spans="1:5" s="406" customFormat="1" ht="16" thickBot="1" x14ac:dyDescent="0.35">
      <c r="A1" s="404"/>
      <c r="B1" s="839" t="str">
        <f>+CONCATENATE("9.3. melléklet a ……/",LEFT([1]ÖSSZEFÜGGÉSEK!E5,4),". (….) önkormányzati rendelethez")</f>
        <v>9.3. melléklet a ……/. (….) önkormányzati rendelethez</v>
      </c>
      <c r="C1" s="839"/>
      <c r="D1" s="839"/>
      <c r="E1" s="839"/>
    </row>
    <row r="2" spans="1:5" s="409" customFormat="1" ht="30" x14ac:dyDescent="0.3">
      <c r="A2" s="840" t="s">
        <v>192</v>
      </c>
      <c r="B2" s="841" t="s">
        <v>537</v>
      </c>
      <c r="C2" s="842" t="s">
        <v>55</v>
      </c>
      <c r="D2" s="842" t="s">
        <v>55</v>
      </c>
      <c r="E2" s="842" t="s">
        <v>55</v>
      </c>
    </row>
    <row r="3" spans="1:5" s="409" customFormat="1" thickBot="1" x14ac:dyDescent="0.35">
      <c r="A3" s="843" t="s">
        <v>191</v>
      </c>
      <c r="B3" s="844" t="s">
        <v>393</v>
      </c>
      <c r="C3" s="845" t="s">
        <v>49</v>
      </c>
      <c r="D3" s="845" t="s">
        <v>49</v>
      </c>
      <c r="E3" s="845" t="s">
        <v>49</v>
      </c>
    </row>
    <row r="4" spans="1:5" s="409" customFormat="1" ht="16" thickBot="1" x14ac:dyDescent="0.4">
      <c r="C4" s="846" t="s">
        <v>586</v>
      </c>
      <c r="D4" s="846" t="s">
        <v>586</v>
      </c>
      <c r="E4" s="846" t="s">
        <v>586</v>
      </c>
    </row>
    <row r="5" spans="1:5" ht="30.5" thickBot="1" x14ac:dyDescent="0.35">
      <c r="A5" s="847" t="s">
        <v>193</v>
      </c>
      <c r="B5" s="848" t="s">
        <v>50</v>
      </c>
      <c r="C5" s="827" t="s">
        <v>640</v>
      </c>
      <c r="D5" s="827" t="s">
        <v>724</v>
      </c>
      <c r="E5" s="827" t="s">
        <v>729</v>
      </c>
    </row>
    <row r="6" spans="1:5" s="418" customFormat="1" thickBot="1" x14ac:dyDescent="0.35">
      <c r="A6" s="850" t="s">
        <v>482</v>
      </c>
      <c r="B6" s="851" t="s">
        <v>483</v>
      </c>
      <c r="C6" s="852" t="s">
        <v>484</v>
      </c>
      <c r="D6" s="852" t="s">
        <v>484</v>
      </c>
      <c r="E6" s="852" t="s">
        <v>484</v>
      </c>
    </row>
    <row r="7" spans="1:5" s="418" customFormat="1" thickBot="1" x14ac:dyDescent="0.35">
      <c r="A7" s="853"/>
      <c r="B7" s="854" t="s">
        <v>51</v>
      </c>
      <c r="C7" s="855"/>
      <c r="D7" s="855"/>
      <c r="E7" s="855"/>
    </row>
    <row r="8" spans="1:5" s="858" customFormat="1" ht="16" thickBot="1" x14ac:dyDescent="0.35">
      <c r="A8" s="850" t="s">
        <v>14</v>
      </c>
      <c r="B8" s="856" t="s">
        <v>510</v>
      </c>
      <c r="C8" s="857">
        <f>SUM(C9:C19)</f>
        <v>5230010</v>
      </c>
      <c r="D8" s="857">
        <f>SUM(D9:D19)</f>
        <v>5230010</v>
      </c>
      <c r="E8" s="857">
        <f>SUM(E9:E19)</f>
        <v>1230010</v>
      </c>
    </row>
    <row r="9" spans="1:5" s="858" customFormat="1" x14ac:dyDescent="0.3">
      <c r="A9" s="859" t="s">
        <v>93</v>
      </c>
      <c r="B9" s="860" t="s">
        <v>270</v>
      </c>
      <c r="C9" s="861"/>
      <c r="D9" s="861"/>
      <c r="E9" s="861"/>
    </row>
    <row r="10" spans="1:5" s="858" customFormat="1" x14ac:dyDescent="0.3">
      <c r="A10" s="862" t="s">
        <v>94</v>
      </c>
      <c r="B10" s="863" t="s">
        <v>271</v>
      </c>
      <c r="C10" s="864">
        <v>5120000</v>
      </c>
      <c r="D10" s="864">
        <v>5120000</v>
      </c>
      <c r="E10" s="864">
        <f>5120000-4000000</f>
        <v>1120000</v>
      </c>
    </row>
    <row r="11" spans="1:5" s="858" customFormat="1" x14ac:dyDescent="0.3">
      <c r="A11" s="862" t="s">
        <v>95</v>
      </c>
      <c r="B11" s="863" t="s">
        <v>272</v>
      </c>
      <c r="C11" s="864">
        <v>100000</v>
      </c>
      <c r="D11" s="864">
        <v>100000</v>
      </c>
      <c r="E11" s="864">
        <v>100000</v>
      </c>
    </row>
    <row r="12" spans="1:5" s="858" customFormat="1" x14ac:dyDescent="0.3">
      <c r="A12" s="862" t="s">
        <v>96</v>
      </c>
      <c r="B12" s="863" t="s">
        <v>273</v>
      </c>
      <c r="C12" s="864"/>
      <c r="D12" s="864"/>
      <c r="E12" s="864"/>
    </row>
    <row r="13" spans="1:5" s="858" customFormat="1" x14ac:dyDescent="0.3">
      <c r="A13" s="862" t="s">
        <v>139</v>
      </c>
      <c r="B13" s="863" t="s">
        <v>274</v>
      </c>
      <c r="C13" s="864"/>
      <c r="D13" s="864"/>
      <c r="E13" s="864"/>
    </row>
    <row r="14" spans="1:5" s="858" customFormat="1" x14ac:dyDescent="0.3">
      <c r="A14" s="862" t="s">
        <v>97</v>
      </c>
      <c r="B14" s="863" t="s">
        <v>394</v>
      </c>
      <c r="C14" s="864"/>
      <c r="D14" s="864"/>
      <c r="E14" s="864"/>
    </row>
    <row r="15" spans="1:5" s="858" customFormat="1" x14ac:dyDescent="0.3">
      <c r="A15" s="862" t="s">
        <v>98</v>
      </c>
      <c r="B15" s="865" t="s">
        <v>395</v>
      </c>
      <c r="C15" s="864"/>
      <c r="D15" s="864"/>
      <c r="E15" s="864"/>
    </row>
    <row r="16" spans="1:5" s="858" customFormat="1" x14ac:dyDescent="0.3">
      <c r="A16" s="862" t="s">
        <v>108</v>
      </c>
      <c r="B16" s="863" t="s">
        <v>277</v>
      </c>
      <c r="C16" s="866">
        <v>10</v>
      </c>
      <c r="D16" s="866">
        <v>10</v>
      </c>
      <c r="E16" s="866">
        <v>10</v>
      </c>
    </row>
    <row r="17" spans="1:5" s="867" customFormat="1" x14ac:dyDescent="0.3">
      <c r="A17" s="862" t="s">
        <v>109</v>
      </c>
      <c r="B17" s="863" t="s">
        <v>278</v>
      </c>
      <c r="C17" s="864"/>
      <c r="D17" s="864"/>
      <c r="E17" s="864"/>
    </row>
    <row r="18" spans="1:5" s="867" customFormat="1" x14ac:dyDescent="0.3">
      <c r="A18" s="862" t="s">
        <v>110</v>
      </c>
      <c r="B18" s="863" t="s">
        <v>429</v>
      </c>
      <c r="C18" s="868"/>
      <c r="D18" s="868"/>
      <c r="E18" s="868"/>
    </row>
    <row r="19" spans="1:5" s="867" customFormat="1" ht="16" thickBot="1" x14ac:dyDescent="0.35">
      <c r="A19" s="862" t="s">
        <v>111</v>
      </c>
      <c r="B19" s="865" t="s">
        <v>279</v>
      </c>
      <c r="C19" s="868">
        <v>10000</v>
      </c>
      <c r="D19" s="868">
        <v>10000</v>
      </c>
      <c r="E19" s="868">
        <v>10000</v>
      </c>
    </row>
    <row r="20" spans="1:5" s="858" customFormat="1" ht="30.5" thickBot="1" x14ac:dyDescent="0.35">
      <c r="A20" s="850" t="s">
        <v>15</v>
      </c>
      <c r="B20" s="856" t="s">
        <v>396</v>
      </c>
      <c r="C20" s="857">
        <f>SUM(C21:C23)</f>
        <v>300000</v>
      </c>
      <c r="D20" s="857">
        <f>SUM(D21:D23)</f>
        <v>300000</v>
      </c>
      <c r="E20" s="857">
        <f>SUM(E21:E23)</f>
        <v>6600000</v>
      </c>
    </row>
    <row r="21" spans="1:5" s="867" customFormat="1" x14ac:dyDescent="0.3">
      <c r="A21" s="862" t="s">
        <v>99</v>
      </c>
      <c r="B21" s="869" t="s">
        <v>247</v>
      </c>
      <c r="C21" s="864"/>
      <c r="D21" s="864"/>
      <c r="E21" s="864"/>
    </row>
    <row r="22" spans="1:5" s="867" customFormat="1" ht="31" x14ac:dyDescent="0.3">
      <c r="A22" s="862" t="s">
        <v>100</v>
      </c>
      <c r="B22" s="863" t="s">
        <v>397</v>
      </c>
      <c r="C22" s="864"/>
      <c r="D22" s="864"/>
      <c r="E22" s="864"/>
    </row>
    <row r="23" spans="1:5" s="867" customFormat="1" ht="31" x14ac:dyDescent="0.3">
      <c r="A23" s="862" t="s">
        <v>101</v>
      </c>
      <c r="B23" s="863" t="s">
        <v>398</v>
      </c>
      <c r="C23" s="864">
        <v>300000</v>
      </c>
      <c r="D23" s="864">
        <v>300000</v>
      </c>
      <c r="E23" s="864">
        <f>300000+300000+6000000</f>
        <v>6600000</v>
      </c>
    </row>
    <row r="24" spans="1:5" s="867" customFormat="1" ht="16" thickBot="1" x14ac:dyDescent="0.35">
      <c r="A24" s="862" t="s">
        <v>102</v>
      </c>
      <c r="B24" s="863" t="s">
        <v>515</v>
      </c>
      <c r="C24" s="864"/>
      <c r="D24" s="864"/>
      <c r="E24" s="864"/>
    </row>
    <row r="25" spans="1:5" s="867" customFormat="1" ht="16" thickBot="1" x14ac:dyDescent="0.35">
      <c r="A25" s="870" t="s">
        <v>16</v>
      </c>
      <c r="B25" s="871" t="s">
        <v>163</v>
      </c>
      <c r="C25" s="872"/>
      <c r="D25" s="872"/>
      <c r="E25" s="872"/>
    </row>
    <row r="26" spans="1:5" s="867" customFormat="1" ht="30.5" thickBot="1" x14ac:dyDescent="0.35">
      <c r="A26" s="870" t="s">
        <v>17</v>
      </c>
      <c r="B26" s="871" t="s">
        <v>399</v>
      </c>
      <c r="C26" s="857">
        <f>+C27+C28</f>
        <v>0</v>
      </c>
      <c r="D26" s="857">
        <f>+D27+D28</f>
        <v>0</v>
      </c>
      <c r="E26" s="857">
        <f>+E27+E28</f>
        <v>0</v>
      </c>
    </row>
    <row r="27" spans="1:5" s="867" customFormat="1" ht="31" x14ac:dyDescent="0.3">
      <c r="A27" s="873" t="s">
        <v>257</v>
      </c>
      <c r="B27" s="874" t="s">
        <v>397</v>
      </c>
      <c r="C27" s="875"/>
      <c r="D27" s="875"/>
      <c r="E27" s="875"/>
    </row>
    <row r="28" spans="1:5" s="867" customFormat="1" ht="26.5" customHeight="1" x14ac:dyDescent="0.3">
      <c r="A28" s="873" t="s">
        <v>260</v>
      </c>
      <c r="B28" s="876" t="s">
        <v>400</v>
      </c>
      <c r="C28" s="879"/>
      <c r="D28" s="879"/>
      <c r="E28" s="879"/>
    </row>
    <row r="29" spans="1:5" s="867" customFormat="1" ht="16" thickBot="1" x14ac:dyDescent="0.35">
      <c r="A29" s="862" t="s">
        <v>261</v>
      </c>
      <c r="B29" s="877" t="s">
        <v>516</v>
      </c>
      <c r="C29" s="878"/>
      <c r="D29" s="878"/>
      <c r="E29" s="878"/>
    </row>
    <row r="30" spans="1:5" s="867" customFormat="1" ht="16" thickBot="1" x14ac:dyDescent="0.35">
      <c r="A30" s="870" t="s">
        <v>18</v>
      </c>
      <c r="B30" s="871" t="s">
        <v>401</v>
      </c>
      <c r="C30" s="857">
        <f>+C31+C32+C33</f>
        <v>0</v>
      </c>
      <c r="D30" s="857">
        <f>+D31+D32+D33</f>
        <v>0</v>
      </c>
      <c r="E30" s="857">
        <f>+E31+E32+E33</f>
        <v>0</v>
      </c>
    </row>
    <row r="31" spans="1:5" s="867" customFormat="1" x14ac:dyDescent="0.3">
      <c r="A31" s="873" t="s">
        <v>86</v>
      </c>
      <c r="B31" s="874" t="s">
        <v>284</v>
      </c>
      <c r="C31" s="875"/>
      <c r="D31" s="875"/>
      <c r="E31" s="875"/>
    </row>
    <row r="32" spans="1:5" s="867" customFormat="1" x14ac:dyDescent="0.3">
      <c r="A32" s="873" t="s">
        <v>87</v>
      </c>
      <c r="B32" s="876" t="s">
        <v>285</v>
      </c>
      <c r="C32" s="879"/>
      <c r="D32" s="879"/>
      <c r="E32" s="879"/>
    </row>
    <row r="33" spans="1:5" s="867" customFormat="1" ht="16" thickBot="1" x14ac:dyDescent="0.35">
      <c r="A33" s="862" t="s">
        <v>88</v>
      </c>
      <c r="B33" s="877" t="s">
        <v>286</v>
      </c>
      <c r="C33" s="878"/>
      <c r="D33" s="878"/>
      <c r="E33" s="878"/>
    </row>
    <row r="34" spans="1:5" s="858" customFormat="1" ht="16" thickBot="1" x14ac:dyDescent="0.35">
      <c r="A34" s="870" t="s">
        <v>19</v>
      </c>
      <c r="B34" s="871" t="s">
        <v>371</v>
      </c>
      <c r="C34" s="872"/>
      <c r="D34" s="872"/>
      <c r="E34" s="872"/>
    </row>
    <row r="35" spans="1:5" s="858" customFormat="1" ht="16" thickBot="1" x14ac:dyDescent="0.35">
      <c r="A35" s="870" t="s">
        <v>20</v>
      </c>
      <c r="B35" s="871" t="s">
        <v>402</v>
      </c>
      <c r="C35" s="880"/>
      <c r="D35" s="880"/>
      <c r="E35" s="880"/>
    </row>
    <row r="36" spans="1:5" s="858" customFormat="1" ht="30.5" thickBot="1" x14ac:dyDescent="0.35">
      <c r="A36" s="850" t="s">
        <v>21</v>
      </c>
      <c r="B36" s="871" t="s">
        <v>517</v>
      </c>
      <c r="C36" s="881">
        <f>+C8+C20+C25+C26+C30+C34+C35</f>
        <v>5530010</v>
      </c>
      <c r="D36" s="881">
        <f>+D8+D20+D25+D26+D30+D34+D35</f>
        <v>5530010</v>
      </c>
      <c r="E36" s="881">
        <f>+E8+E20+E25+E26+E30+E34+E35</f>
        <v>7830010</v>
      </c>
    </row>
    <row r="37" spans="1:5" s="858" customFormat="1" ht="16" thickBot="1" x14ac:dyDescent="0.35">
      <c r="A37" s="882" t="s">
        <v>22</v>
      </c>
      <c r="B37" s="871" t="s">
        <v>404</v>
      </c>
      <c r="C37" s="881">
        <f>+C38+C39+C40</f>
        <v>55688693</v>
      </c>
      <c r="D37" s="881">
        <f>+D38+D39+D40</f>
        <v>55688693</v>
      </c>
      <c r="E37" s="881">
        <f>+E38+E39+E40</f>
        <v>40144273</v>
      </c>
    </row>
    <row r="38" spans="1:5" s="858" customFormat="1" x14ac:dyDescent="0.3">
      <c r="A38" s="873" t="s">
        <v>405</v>
      </c>
      <c r="B38" s="874" t="s">
        <v>226</v>
      </c>
      <c r="C38" s="875"/>
      <c r="D38" s="875">
        <v>558238</v>
      </c>
      <c r="E38" s="875">
        <v>558238</v>
      </c>
    </row>
    <row r="39" spans="1:5" s="858" customFormat="1" x14ac:dyDescent="0.3">
      <c r="A39" s="873" t="s">
        <v>406</v>
      </c>
      <c r="B39" s="876" t="s">
        <v>0</v>
      </c>
      <c r="C39" s="879"/>
      <c r="D39" s="879"/>
      <c r="E39" s="879"/>
    </row>
    <row r="40" spans="1:5" s="867" customFormat="1" ht="31.5" thickBot="1" x14ac:dyDescent="0.35">
      <c r="A40" s="862" t="s">
        <v>407</v>
      </c>
      <c r="B40" s="877" t="s">
        <v>408</v>
      </c>
      <c r="C40" s="878">
        <v>55688693</v>
      </c>
      <c r="D40" s="878">
        <f>55688693-558238+145744-145744</f>
        <v>55130455</v>
      </c>
      <c r="E40" s="878">
        <f>55688693-558238+75-967495-159000-19050000+4000000+632000</f>
        <v>39586035</v>
      </c>
    </row>
    <row r="41" spans="1:5" s="867" customFormat="1" ht="16" thickBot="1" x14ac:dyDescent="0.35">
      <c r="A41" s="882" t="s">
        <v>23</v>
      </c>
      <c r="B41" s="883" t="s">
        <v>409</v>
      </c>
      <c r="C41" s="884">
        <f>+C36+C37</f>
        <v>61218703</v>
      </c>
      <c r="D41" s="884">
        <f>+D36+D37</f>
        <v>61218703</v>
      </c>
      <c r="E41" s="884">
        <f>+E36+E37</f>
        <v>47974283</v>
      </c>
    </row>
    <row r="42" spans="1:5" s="867" customFormat="1" x14ac:dyDescent="0.3">
      <c r="A42" s="885"/>
      <c r="B42" s="886"/>
      <c r="C42" s="887"/>
      <c r="D42" s="887"/>
      <c r="E42" s="887"/>
    </row>
    <row r="43" spans="1:5" ht="16" thickBot="1" x14ac:dyDescent="0.35">
      <c r="A43" s="888"/>
      <c r="B43" s="867"/>
      <c r="C43" s="889"/>
      <c r="D43" s="889"/>
      <c r="E43" s="889"/>
    </row>
    <row r="44" spans="1:5" s="418" customFormat="1" thickBot="1" x14ac:dyDescent="0.35">
      <c r="A44" s="847"/>
      <c r="B44" s="890" t="s">
        <v>52</v>
      </c>
      <c r="C44" s="884"/>
      <c r="D44" s="884"/>
      <c r="E44" s="884"/>
    </row>
    <row r="45" spans="1:5" s="858" customFormat="1" ht="30.5" thickBot="1" x14ac:dyDescent="0.35">
      <c r="A45" s="870" t="s">
        <v>14</v>
      </c>
      <c r="B45" s="871" t="s">
        <v>410</v>
      </c>
      <c r="C45" s="857">
        <f>SUM(C46:C50)</f>
        <v>57470139</v>
      </c>
      <c r="D45" s="857">
        <f>SUM(D46:D50)</f>
        <v>57470139</v>
      </c>
      <c r="E45" s="857">
        <f>SUM(E46:E50)</f>
        <v>43593719</v>
      </c>
    </row>
    <row r="46" spans="1:5" x14ac:dyDescent="0.3">
      <c r="A46" s="862" t="s">
        <v>93</v>
      </c>
      <c r="B46" s="869" t="s">
        <v>44</v>
      </c>
      <c r="C46" s="875">
        <v>14985780</v>
      </c>
      <c r="D46" s="875">
        <v>14985780</v>
      </c>
      <c r="E46" s="875">
        <f>14985780+69000-823400-120000</f>
        <v>14111380</v>
      </c>
    </row>
    <row r="47" spans="1:5" ht="31" x14ac:dyDescent="0.3">
      <c r="A47" s="862" t="s">
        <v>94</v>
      </c>
      <c r="B47" s="863" t="s">
        <v>172</v>
      </c>
      <c r="C47" s="891">
        <v>2973609</v>
      </c>
      <c r="D47" s="891">
        <v>2973609</v>
      </c>
      <c r="E47" s="891">
        <f>2973609-68925-144095-39000</f>
        <v>2721589</v>
      </c>
    </row>
    <row r="48" spans="1:5" x14ac:dyDescent="0.3">
      <c r="A48" s="862" t="s">
        <v>95</v>
      </c>
      <c r="B48" s="863" t="s">
        <v>131</v>
      </c>
      <c r="C48" s="891">
        <v>39510750</v>
      </c>
      <c r="D48" s="891">
        <v>39510750</v>
      </c>
      <c r="E48" s="891">
        <f>39510750-19050000+300000+6000000</f>
        <v>26760750</v>
      </c>
    </row>
    <row r="49" spans="1:5" x14ac:dyDescent="0.3">
      <c r="A49" s="862" t="s">
        <v>96</v>
      </c>
      <c r="B49" s="863" t="s">
        <v>173</v>
      </c>
      <c r="C49" s="891"/>
      <c r="D49" s="891"/>
      <c r="E49" s="891"/>
    </row>
    <row r="50" spans="1:5" ht="16" thickBot="1" x14ac:dyDescent="0.35">
      <c r="A50" s="862" t="s">
        <v>139</v>
      </c>
      <c r="B50" s="863" t="s">
        <v>174</v>
      </c>
      <c r="C50" s="891"/>
      <c r="D50" s="891"/>
      <c r="E50" s="891"/>
    </row>
    <row r="51" spans="1:5" ht="30.5" thickBot="1" x14ac:dyDescent="0.35">
      <c r="A51" s="870" t="s">
        <v>15</v>
      </c>
      <c r="B51" s="871" t="s">
        <v>411</v>
      </c>
      <c r="C51" s="857">
        <f>SUM(C52:C55)</f>
        <v>3748564</v>
      </c>
      <c r="D51" s="857">
        <f>SUM(D52:D55)</f>
        <v>3748564</v>
      </c>
      <c r="E51" s="857">
        <f>SUM(E52:E55)</f>
        <v>4380564</v>
      </c>
    </row>
    <row r="52" spans="1:5" s="858" customFormat="1" x14ac:dyDescent="0.3">
      <c r="A52" s="862" t="s">
        <v>99</v>
      </c>
      <c r="B52" s="869" t="s">
        <v>217</v>
      </c>
      <c r="C52" s="875">
        <v>3748564</v>
      </c>
      <c r="D52" s="875">
        <v>3748564</v>
      </c>
      <c r="E52" s="875">
        <f>3748564+632000</f>
        <v>4380564</v>
      </c>
    </row>
    <row r="53" spans="1:5" s="858" customFormat="1" ht="31" x14ac:dyDescent="0.3">
      <c r="A53" s="862"/>
      <c r="B53" s="869" t="s">
        <v>641</v>
      </c>
      <c r="C53" s="875"/>
      <c r="D53" s="875"/>
      <c r="E53" s="875"/>
    </row>
    <row r="54" spans="1:5" x14ac:dyDescent="0.3">
      <c r="A54" s="862" t="s">
        <v>100</v>
      </c>
      <c r="B54" s="863" t="s">
        <v>176</v>
      </c>
      <c r="C54" s="891"/>
      <c r="D54" s="891"/>
      <c r="E54" s="891"/>
    </row>
    <row r="55" spans="1:5" x14ac:dyDescent="0.3">
      <c r="A55" s="862" t="s">
        <v>101</v>
      </c>
      <c r="B55" s="863" t="s">
        <v>53</v>
      </c>
      <c r="C55" s="891"/>
      <c r="D55" s="891"/>
      <c r="E55" s="891"/>
    </row>
    <row r="56" spans="1:5" ht="31.5" thickBot="1" x14ac:dyDescent="0.35">
      <c r="A56" s="862" t="s">
        <v>102</v>
      </c>
      <c r="B56" s="863" t="s">
        <v>514</v>
      </c>
      <c r="C56" s="891"/>
      <c r="D56" s="891"/>
      <c r="E56" s="891"/>
    </row>
    <row r="57" spans="1:5" ht="16" thickBot="1" x14ac:dyDescent="0.35">
      <c r="A57" s="870" t="s">
        <v>16</v>
      </c>
      <c r="B57" s="871" t="s">
        <v>10</v>
      </c>
      <c r="C57" s="872"/>
      <c r="D57" s="872"/>
      <c r="E57" s="872"/>
    </row>
    <row r="58" spans="1:5" ht="16" thickBot="1" x14ac:dyDescent="0.35">
      <c r="A58" s="870" t="s">
        <v>17</v>
      </c>
      <c r="B58" s="892" t="s">
        <v>519</v>
      </c>
      <c r="C58" s="893">
        <f>+C45+C51+C57</f>
        <v>61218703</v>
      </c>
      <c r="D58" s="893">
        <f>+D45+D51+D57</f>
        <v>61218703</v>
      </c>
      <c r="E58" s="893">
        <f>+E45+E51+E57</f>
        <v>47974283</v>
      </c>
    </row>
    <row r="59" spans="1:5" ht="16" thickBot="1" x14ac:dyDescent="0.35">
      <c r="C59" s="895"/>
      <c r="D59" s="895"/>
      <c r="E59" s="895"/>
    </row>
    <row r="60" spans="1:5" ht="16" thickBot="1" x14ac:dyDescent="0.35">
      <c r="A60" s="896" t="s">
        <v>509</v>
      </c>
      <c r="B60" s="897"/>
      <c r="C60" s="898">
        <v>3</v>
      </c>
      <c r="D60" s="898">
        <v>3</v>
      </c>
      <c r="E60" s="898">
        <v>3</v>
      </c>
    </row>
    <row r="61" spans="1:5" ht="16" thickBot="1" x14ac:dyDescent="0.35">
      <c r="A61" s="896" t="s">
        <v>194</v>
      </c>
      <c r="B61" s="897"/>
      <c r="C61" s="898"/>
      <c r="D61" s="898"/>
      <c r="E61" s="89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>
    <oddFooter>&amp;P. oldal, összesen: &amp;N</oddFooter>
  </headerFooter>
  <rowBreaks count="1" manualBreakCount="1">
    <brk id="4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7"/>
  </sheetPr>
  <dimension ref="A1:E61"/>
  <sheetViews>
    <sheetView topLeftCell="A40" zoomScaleNormal="100" workbookViewId="0">
      <selection activeCell="E48" sqref="E48"/>
    </sheetView>
  </sheetViews>
  <sheetFormatPr defaultColWidth="9.296875" defaultRowHeight="13" x14ac:dyDescent="0.3"/>
  <cols>
    <col min="1" max="1" width="13.796875" style="835" customWidth="1"/>
    <col min="2" max="2" width="48.69921875" style="834" bestFit="1" customWidth="1"/>
    <col min="3" max="5" width="23.296875" style="834" bestFit="1" customWidth="1"/>
    <col min="6" max="16384" width="9.296875" style="834"/>
  </cols>
  <sheetData>
    <row r="1" spans="1:5" s="406" customFormat="1" ht="21" customHeight="1" thickBot="1" x14ac:dyDescent="0.35">
      <c r="A1" s="404"/>
      <c r="B1" s="405" t="str">
        <f>+CONCATENATE("9.3.1. melléklet a ……/",LEFT([1]ÖSSZEFÜGGÉSEK!E5,4),". (….) önkormányzati rendelethez")</f>
        <v>9.3.1. melléklet a ……/. (….) önkormányzati rendelethez</v>
      </c>
      <c r="C1" s="405"/>
      <c r="D1" s="405"/>
      <c r="E1" s="405"/>
    </row>
    <row r="2" spans="1:5" s="409" customFormat="1" ht="36" customHeight="1" x14ac:dyDescent="0.3">
      <c r="A2" s="407" t="s">
        <v>192</v>
      </c>
      <c r="B2" s="408" t="s">
        <v>537</v>
      </c>
      <c r="C2" s="542" t="s">
        <v>55</v>
      </c>
      <c r="D2" s="542" t="s">
        <v>55</v>
      </c>
      <c r="E2" s="542" t="s">
        <v>55</v>
      </c>
    </row>
    <row r="3" spans="1:5" s="409" customFormat="1" ht="23.5" thickBot="1" x14ac:dyDescent="0.35">
      <c r="A3" s="410" t="s">
        <v>191</v>
      </c>
      <c r="B3" s="411" t="s">
        <v>412</v>
      </c>
      <c r="C3" s="543" t="s">
        <v>49</v>
      </c>
      <c r="D3" s="543" t="s">
        <v>49</v>
      </c>
      <c r="E3" s="543" t="s">
        <v>49</v>
      </c>
    </row>
    <row r="4" spans="1:5" s="413" customFormat="1" ht="16" customHeight="1" thickBot="1" x14ac:dyDescent="0.4">
      <c r="A4" s="412"/>
      <c r="B4" s="412"/>
      <c r="C4" s="544" t="s">
        <v>586</v>
      </c>
      <c r="D4" s="544" t="s">
        <v>586</v>
      </c>
      <c r="E4" s="544" t="s">
        <v>586</v>
      </c>
    </row>
    <row r="5" spans="1:5" ht="23.5" thickBot="1" x14ac:dyDescent="0.35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729</v>
      </c>
    </row>
    <row r="6" spans="1:5" s="418" customFormat="1" ht="13" customHeight="1" thickBot="1" x14ac:dyDescent="0.35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6" customHeight="1" thickBot="1" x14ac:dyDescent="0.35">
      <c r="A7" s="419"/>
      <c r="B7" s="420" t="s">
        <v>51</v>
      </c>
      <c r="C7" s="546"/>
      <c r="D7" s="546"/>
      <c r="E7" s="546"/>
    </row>
    <row r="8" spans="1:5" s="422" customFormat="1" ht="12" customHeight="1" thickBot="1" x14ac:dyDescent="0.35">
      <c r="A8" s="416" t="s">
        <v>14</v>
      </c>
      <c r="B8" s="421" t="s">
        <v>510</v>
      </c>
      <c r="C8" s="547">
        <f>SUM(C9:C19)</f>
        <v>5230010</v>
      </c>
      <c r="D8" s="547">
        <f>SUM(D9:D19)</f>
        <v>5230010</v>
      </c>
      <c r="E8" s="547">
        <f>SUM(E9:E19)</f>
        <v>1230010</v>
      </c>
    </row>
    <row r="9" spans="1:5" s="422" customFormat="1" ht="12" customHeight="1" x14ac:dyDescent="0.3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 x14ac:dyDescent="0.3">
      <c r="A10" s="425" t="s">
        <v>94</v>
      </c>
      <c r="B10" s="426" t="s">
        <v>271</v>
      </c>
      <c r="C10" s="549">
        <v>5120000</v>
      </c>
      <c r="D10" s="549">
        <v>5120000</v>
      </c>
      <c r="E10" s="549">
        <f>5120000-4000000</f>
        <v>1120000</v>
      </c>
    </row>
    <row r="11" spans="1:5" s="422" customFormat="1" ht="12" customHeight="1" x14ac:dyDescent="0.3">
      <c r="A11" s="425" t="s">
        <v>95</v>
      </c>
      <c r="B11" s="426" t="s">
        <v>272</v>
      </c>
      <c r="C11" s="549">
        <v>100000</v>
      </c>
      <c r="D11" s="549">
        <v>100000</v>
      </c>
      <c r="E11" s="549">
        <v>100000</v>
      </c>
    </row>
    <row r="12" spans="1:5" s="422" customFormat="1" ht="12" customHeight="1" x14ac:dyDescent="0.3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 x14ac:dyDescent="0.3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 x14ac:dyDescent="0.3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 x14ac:dyDescent="0.3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 x14ac:dyDescent="0.3">
      <c r="A16" s="425" t="s">
        <v>108</v>
      </c>
      <c r="B16" s="426" t="s">
        <v>277</v>
      </c>
      <c r="C16" s="550">
        <v>10</v>
      </c>
      <c r="D16" s="550">
        <v>10</v>
      </c>
      <c r="E16" s="550">
        <v>10</v>
      </c>
    </row>
    <row r="17" spans="1:5" s="428" customFormat="1" ht="12" customHeight="1" x14ac:dyDescent="0.3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 x14ac:dyDescent="0.3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 x14ac:dyDescent="0.35">
      <c r="A19" s="425" t="s">
        <v>111</v>
      </c>
      <c r="B19" s="427" t="s">
        <v>279</v>
      </c>
      <c r="C19" s="551">
        <v>10000</v>
      </c>
      <c r="D19" s="551">
        <v>10000</v>
      </c>
      <c r="E19" s="551">
        <v>10000</v>
      </c>
    </row>
    <row r="20" spans="1:5" s="422" customFormat="1" ht="12" customHeight="1" thickBot="1" x14ac:dyDescent="0.35">
      <c r="A20" s="416" t="s">
        <v>15</v>
      </c>
      <c r="B20" s="421" t="s">
        <v>396</v>
      </c>
      <c r="C20" s="547">
        <f>SUM(C21:C23)</f>
        <v>300000</v>
      </c>
      <c r="D20" s="547">
        <f>SUM(D21:D23)</f>
        <v>300000</v>
      </c>
      <c r="E20" s="547">
        <f>SUM(E21:E23)</f>
        <v>6600000</v>
      </c>
    </row>
    <row r="21" spans="1:5" s="428" customFormat="1" ht="12" customHeight="1" x14ac:dyDescent="0.3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 x14ac:dyDescent="0.3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 x14ac:dyDescent="0.3">
      <c r="A23" s="425" t="s">
        <v>101</v>
      </c>
      <c r="B23" s="426" t="s">
        <v>398</v>
      </c>
      <c r="C23" s="549">
        <v>300000</v>
      </c>
      <c r="D23" s="549">
        <v>300000</v>
      </c>
      <c r="E23" s="549">
        <f>300000+300000+6000000</f>
        <v>6600000</v>
      </c>
    </row>
    <row r="24" spans="1:5" s="428" customFormat="1" ht="12" customHeight="1" thickBot="1" x14ac:dyDescent="0.35">
      <c r="A24" s="425" t="s">
        <v>102</v>
      </c>
      <c r="B24" s="426" t="s">
        <v>515</v>
      </c>
      <c r="C24" s="549"/>
      <c r="D24" s="549"/>
      <c r="E24" s="549"/>
    </row>
    <row r="25" spans="1:5" s="428" customFormat="1" ht="12" customHeight="1" thickBot="1" x14ac:dyDescent="0.35">
      <c r="A25" s="430" t="s">
        <v>16</v>
      </c>
      <c r="B25" s="431" t="s">
        <v>163</v>
      </c>
      <c r="C25" s="552"/>
      <c r="D25" s="552"/>
      <c r="E25" s="552"/>
    </row>
    <row r="26" spans="1:5" s="428" customFormat="1" ht="12" customHeight="1" thickBot="1" x14ac:dyDescent="0.35">
      <c r="A26" s="430" t="s">
        <v>17</v>
      </c>
      <c r="B26" s="431" t="s">
        <v>399</v>
      </c>
      <c r="C26" s="547">
        <f>+C27+C28</f>
        <v>0</v>
      </c>
      <c r="D26" s="547">
        <f>+D27+D28</f>
        <v>0</v>
      </c>
      <c r="E26" s="547">
        <f>+E27+E28</f>
        <v>0</v>
      </c>
    </row>
    <row r="27" spans="1:5" s="428" customFormat="1" ht="12" customHeight="1" x14ac:dyDescent="0.3">
      <c r="A27" s="432" t="s">
        <v>257</v>
      </c>
      <c r="B27" s="433" t="s">
        <v>397</v>
      </c>
      <c r="C27" s="553"/>
      <c r="D27" s="553"/>
      <c r="E27" s="553"/>
    </row>
    <row r="28" spans="1:5" s="428" customFormat="1" ht="12" customHeight="1" x14ac:dyDescent="0.3">
      <c r="A28" s="432" t="s">
        <v>260</v>
      </c>
      <c r="B28" s="434" t="s">
        <v>400</v>
      </c>
      <c r="C28" s="554"/>
      <c r="D28" s="554"/>
      <c r="E28" s="554"/>
    </row>
    <row r="29" spans="1:5" s="428" customFormat="1" ht="12" customHeight="1" thickBot="1" x14ac:dyDescent="0.35">
      <c r="A29" s="425" t="s">
        <v>261</v>
      </c>
      <c r="B29" s="435" t="s">
        <v>516</v>
      </c>
      <c r="C29" s="555"/>
      <c r="D29" s="555"/>
      <c r="E29" s="555"/>
    </row>
    <row r="30" spans="1:5" s="428" customFormat="1" ht="12" customHeight="1" thickBot="1" x14ac:dyDescent="0.35">
      <c r="A30" s="430" t="s">
        <v>18</v>
      </c>
      <c r="B30" s="431" t="s">
        <v>401</v>
      </c>
      <c r="C30" s="547">
        <f>+C31+C32+C33</f>
        <v>0</v>
      </c>
      <c r="D30" s="547">
        <f>+D31+D32+D33</f>
        <v>0</v>
      </c>
      <c r="E30" s="547">
        <f>+E31+E32+E33</f>
        <v>0</v>
      </c>
    </row>
    <row r="31" spans="1:5" s="428" customFormat="1" ht="12" customHeight="1" x14ac:dyDescent="0.3">
      <c r="A31" s="432" t="s">
        <v>86</v>
      </c>
      <c r="B31" s="433" t="s">
        <v>284</v>
      </c>
      <c r="C31" s="553"/>
      <c r="D31" s="553"/>
      <c r="E31" s="553"/>
    </row>
    <row r="32" spans="1:5" s="428" customFormat="1" ht="12" customHeight="1" x14ac:dyDescent="0.3">
      <c r="A32" s="432" t="s">
        <v>87</v>
      </c>
      <c r="B32" s="434" t="s">
        <v>285</v>
      </c>
      <c r="C32" s="554"/>
      <c r="D32" s="554"/>
      <c r="E32" s="554"/>
    </row>
    <row r="33" spans="1:5" s="428" customFormat="1" ht="12" customHeight="1" thickBot="1" x14ac:dyDescent="0.35">
      <c r="A33" s="425" t="s">
        <v>88</v>
      </c>
      <c r="B33" s="435" t="s">
        <v>286</v>
      </c>
      <c r="C33" s="555"/>
      <c r="D33" s="555"/>
      <c r="E33" s="555"/>
    </row>
    <row r="34" spans="1:5" s="422" customFormat="1" ht="12" customHeight="1" thickBot="1" x14ac:dyDescent="0.35">
      <c r="A34" s="430" t="s">
        <v>19</v>
      </c>
      <c r="B34" s="431" t="s">
        <v>371</v>
      </c>
      <c r="C34" s="552"/>
      <c r="D34" s="552"/>
      <c r="E34" s="552"/>
    </row>
    <row r="35" spans="1:5" s="422" customFormat="1" ht="12" customHeight="1" thickBot="1" x14ac:dyDescent="0.35">
      <c r="A35" s="430" t="s">
        <v>20</v>
      </c>
      <c r="B35" s="431" t="s">
        <v>402</v>
      </c>
      <c r="C35" s="556"/>
      <c r="D35" s="556"/>
      <c r="E35" s="556"/>
    </row>
    <row r="36" spans="1:5" s="422" customFormat="1" ht="12" customHeight="1" thickBot="1" x14ac:dyDescent="0.35">
      <c r="A36" s="416" t="s">
        <v>21</v>
      </c>
      <c r="B36" s="431" t="s">
        <v>517</v>
      </c>
      <c r="C36" s="557">
        <f>+C8+C20+C25+C26+C30+C34+C35</f>
        <v>5530010</v>
      </c>
      <c r="D36" s="557">
        <f>+D8+D20+D25+D26+D30+D34+D35</f>
        <v>5530010</v>
      </c>
      <c r="E36" s="557">
        <f>+E8+E20+E25+E26+E30+E34+E35</f>
        <v>7830010</v>
      </c>
    </row>
    <row r="37" spans="1:5" s="422" customFormat="1" ht="12" customHeight="1" thickBot="1" x14ac:dyDescent="0.35">
      <c r="A37" s="436" t="s">
        <v>22</v>
      </c>
      <c r="B37" s="431" t="s">
        <v>404</v>
      </c>
      <c r="C37" s="557">
        <f>+C38+C39+C40</f>
        <v>55688693</v>
      </c>
      <c r="D37" s="557">
        <f>+D38+D39+D40</f>
        <v>55688693</v>
      </c>
      <c r="E37" s="557">
        <f>+E38+E39+E40</f>
        <v>40144273</v>
      </c>
    </row>
    <row r="38" spans="1:5" s="422" customFormat="1" ht="12" customHeight="1" x14ac:dyDescent="0.3">
      <c r="A38" s="432" t="s">
        <v>405</v>
      </c>
      <c r="B38" s="433" t="s">
        <v>226</v>
      </c>
      <c r="C38" s="553"/>
      <c r="D38" s="553">
        <v>558238</v>
      </c>
      <c r="E38" s="553">
        <v>558238</v>
      </c>
    </row>
    <row r="39" spans="1:5" s="422" customFormat="1" ht="12" customHeight="1" x14ac:dyDescent="0.3">
      <c r="A39" s="432" t="s">
        <v>406</v>
      </c>
      <c r="B39" s="434" t="s">
        <v>0</v>
      </c>
      <c r="C39" s="554"/>
      <c r="D39" s="554"/>
      <c r="E39" s="554"/>
    </row>
    <row r="40" spans="1:5" s="428" customFormat="1" ht="12" customHeight="1" thickBot="1" x14ac:dyDescent="0.35">
      <c r="A40" s="425" t="s">
        <v>407</v>
      </c>
      <c r="B40" s="435" t="s">
        <v>408</v>
      </c>
      <c r="C40" s="555">
        <v>55688693</v>
      </c>
      <c r="D40" s="555">
        <f>55688693-558238+145744-145744</f>
        <v>55130455</v>
      </c>
      <c r="E40" s="555">
        <f>55688693-558238+75-967495-159000-19050000+4000000+632000</f>
        <v>39586035</v>
      </c>
    </row>
    <row r="41" spans="1:5" s="428" customFormat="1" ht="15" customHeight="1" thickBot="1" x14ac:dyDescent="0.3">
      <c r="A41" s="436" t="s">
        <v>23</v>
      </c>
      <c r="B41" s="437" t="s">
        <v>409</v>
      </c>
      <c r="C41" s="558">
        <f>+C36+C37</f>
        <v>61218703</v>
      </c>
      <c r="D41" s="558">
        <f>+D36+D37</f>
        <v>61218703</v>
      </c>
      <c r="E41" s="558">
        <f>+E36+E37</f>
        <v>47974283</v>
      </c>
    </row>
    <row r="42" spans="1:5" s="428" customFormat="1" ht="15" customHeight="1" x14ac:dyDescent="0.3">
      <c r="A42" s="438"/>
      <c r="B42" s="439"/>
      <c r="C42" s="559"/>
      <c r="D42" s="559"/>
      <c r="E42" s="559"/>
    </row>
    <row r="43" spans="1:5" ht="13.5" thickBot="1" x14ac:dyDescent="0.35">
      <c r="A43" s="440"/>
      <c r="B43" s="441"/>
      <c r="C43" s="560"/>
      <c r="D43" s="560"/>
      <c r="E43" s="560"/>
    </row>
    <row r="44" spans="1:5" s="418" customFormat="1" ht="16.5" customHeight="1" thickBot="1" x14ac:dyDescent="0.35">
      <c r="A44" s="442"/>
      <c r="B44" s="443" t="s">
        <v>52</v>
      </c>
      <c r="C44" s="558"/>
      <c r="D44" s="558"/>
      <c r="E44" s="558"/>
    </row>
    <row r="45" spans="1:5" s="444" customFormat="1" ht="12" customHeight="1" thickBot="1" x14ac:dyDescent="0.35">
      <c r="A45" s="430" t="s">
        <v>14</v>
      </c>
      <c r="B45" s="431" t="s">
        <v>410</v>
      </c>
      <c r="C45" s="547">
        <f>SUM(C46:C50)</f>
        <v>57470139</v>
      </c>
      <c r="D45" s="547">
        <f>SUM(D46:D50)</f>
        <v>57470139</v>
      </c>
      <c r="E45" s="547">
        <f>SUM(E46:E50)</f>
        <v>43593719</v>
      </c>
    </row>
    <row r="46" spans="1:5" ht="12" customHeight="1" x14ac:dyDescent="0.3">
      <c r="A46" s="425" t="s">
        <v>93</v>
      </c>
      <c r="B46" s="429" t="s">
        <v>44</v>
      </c>
      <c r="C46" s="553">
        <v>14985780</v>
      </c>
      <c r="D46" s="553">
        <v>14985780</v>
      </c>
      <c r="E46" s="553">
        <f>14985780+69000-823400-120000</f>
        <v>14111380</v>
      </c>
    </row>
    <row r="47" spans="1:5" ht="12" customHeight="1" x14ac:dyDescent="0.3">
      <c r="A47" s="425" t="s">
        <v>94</v>
      </c>
      <c r="B47" s="426" t="s">
        <v>172</v>
      </c>
      <c r="C47" s="561">
        <v>2973609</v>
      </c>
      <c r="D47" s="561">
        <v>2973609</v>
      </c>
      <c r="E47" s="561">
        <f>2973609-68925-144095-39000</f>
        <v>2721589</v>
      </c>
    </row>
    <row r="48" spans="1:5" ht="12" customHeight="1" x14ac:dyDescent="0.3">
      <c r="A48" s="425" t="s">
        <v>95</v>
      </c>
      <c r="B48" s="426" t="s">
        <v>131</v>
      </c>
      <c r="C48" s="561">
        <v>39510750</v>
      </c>
      <c r="D48" s="561">
        <v>39510750</v>
      </c>
      <c r="E48" s="561">
        <f>39510750-19050000+300000+6000000</f>
        <v>26760750</v>
      </c>
    </row>
    <row r="49" spans="1:5" ht="12" customHeight="1" x14ac:dyDescent="0.3">
      <c r="A49" s="425" t="s">
        <v>96</v>
      </c>
      <c r="B49" s="426" t="s">
        <v>173</v>
      </c>
      <c r="C49" s="561"/>
      <c r="D49" s="561"/>
      <c r="E49" s="561"/>
    </row>
    <row r="50" spans="1:5" ht="12" customHeight="1" thickBot="1" x14ac:dyDescent="0.35">
      <c r="A50" s="425" t="s">
        <v>139</v>
      </c>
      <c r="B50" s="426" t="s">
        <v>174</v>
      </c>
      <c r="C50" s="561"/>
      <c r="D50" s="561"/>
      <c r="E50" s="561"/>
    </row>
    <row r="51" spans="1:5" ht="12" customHeight="1" thickBot="1" x14ac:dyDescent="0.35">
      <c r="A51" s="430" t="s">
        <v>15</v>
      </c>
      <c r="B51" s="431" t="s">
        <v>411</v>
      </c>
      <c r="C51" s="547">
        <f>SUM(C52:C55)</f>
        <v>3748564</v>
      </c>
      <c r="D51" s="547">
        <f>SUM(D52:D55)</f>
        <v>3748564</v>
      </c>
      <c r="E51" s="547">
        <f>SUM(E52:E55)</f>
        <v>4380564</v>
      </c>
    </row>
    <row r="52" spans="1:5" s="444" customFormat="1" ht="12" customHeight="1" x14ac:dyDescent="0.3">
      <c r="A52" s="425" t="s">
        <v>99</v>
      </c>
      <c r="B52" s="429" t="s">
        <v>217</v>
      </c>
      <c r="C52" s="553">
        <v>3748564</v>
      </c>
      <c r="D52" s="553">
        <v>3748564</v>
      </c>
      <c r="E52" s="553">
        <f>3748564+632000</f>
        <v>4380564</v>
      </c>
    </row>
    <row r="53" spans="1:5" s="444" customFormat="1" ht="12" customHeight="1" x14ac:dyDescent="0.3">
      <c r="A53" s="425"/>
      <c r="B53" s="429" t="s">
        <v>641</v>
      </c>
      <c r="C53" s="553"/>
      <c r="D53" s="553"/>
      <c r="E53" s="553"/>
    </row>
    <row r="54" spans="1:5" ht="12" customHeight="1" x14ac:dyDescent="0.3">
      <c r="A54" s="425" t="s">
        <v>100</v>
      </c>
      <c r="B54" s="426" t="s">
        <v>176</v>
      </c>
      <c r="C54" s="561"/>
      <c r="D54" s="561"/>
      <c r="E54" s="561"/>
    </row>
    <row r="55" spans="1:5" ht="12" customHeight="1" x14ac:dyDescent="0.3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 x14ac:dyDescent="0.35">
      <c r="A56" s="425" t="s">
        <v>102</v>
      </c>
      <c r="B56" s="426" t="s">
        <v>514</v>
      </c>
      <c r="C56" s="561"/>
      <c r="D56" s="561"/>
      <c r="E56" s="561"/>
    </row>
    <row r="57" spans="1:5" ht="15" customHeight="1" thickBot="1" x14ac:dyDescent="0.35">
      <c r="A57" s="430" t="s">
        <v>16</v>
      </c>
      <c r="B57" s="431" t="s">
        <v>10</v>
      </c>
      <c r="C57" s="552"/>
      <c r="D57" s="552"/>
      <c r="E57" s="552"/>
    </row>
    <row r="58" spans="1:5" ht="13.5" thickBot="1" x14ac:dyDescent="0.35">
      <c r="A58" s="430" t="s">
        <v>17</v>
      </c>
      <c r="B58" s="445" t="s">
        <v>519</v>
      </c>
      <c r="C58" s="562">
        <f>+C45+C51+C57</f>
        <v>61218703</v>
      </c>
      <c r="D58" s="562">
        <f>+D45+D51+D57</f>
        <v>61218703</v>
      </c>
      <c r="E58" s="562">
        <f>+E45+E51+E57</f>
        <v>47974283</v>
      </c>
    </row>
    <row r="59" spans="1:5" ht="15" customHeight="1" thickBot="1" x14ac:dyDescent="0.35">
      <c r="C59" s="836"/>
      <c r="D59" s="836"/>
      <c r="E59" s="836"/>
    </row>
    <row r="60" spans="1:5" ht="14.25" customHeight="1" thickBot="1" x14ac:dyDescent="0.35">
      <c r="A60" s="446" t="s">
        <v>509</v>
      </c>
      <c r="B60" s="447"/>
      <c r="C60" s="563">
        <v>3</v>
      </c>
      <c r="D60" s="563">
        <v>3</v>
      </c>
      <c r="E60" s="563">
        <v>3</v>
      </c>
    </row>
    <row r="61" spans="1:5" ht="13.5" thickBot="1" x14ac:dyDescent="0.35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>
    <oddFooter>&amp;P. oldal, összesen: &amp;N</oddFooter>
  </headerFooter>
  <rowBreaks count="1" manualBreakCount="1">
    <brk id="4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7"/>
  </sheetPr>
  <dimension ref="A1:E60"/>
  <sheetViews>
    <sheetView topLeftCell="A37" zoomScaleNormal="100" workbookViewId="0">
      <selection activeCell="E49" sqref="E49"/>
    </sheetView>
  </sheetViews>
  <sheetFormatPr defaultColWidth="9.296875" defaultRowHeight="13" x14ac:dyDescent="0.3"/>
  <cols>
    <col min="1" max="1" width="13.796875" style="835" customWidth="1"/>
    <col min="2" max="2" width="79.19921875" style="834" customWidth="1"/>
    <col min="3" max="5" width="25" style="834" customWidth="1"/>
    <col min="6" max="16384" width="9.296875" style="834"/>
  </cols>
  <sheetData>
    <row r="1" spans="1:5" s="406" customFormat="1" ht="21" customHeight="1" thickBot="1" x14ac:dyDescent="0.35">
      <c r="A1" s="404"/>
      <c r="B1" s="405" t="str">
        <f>+CONCATENATE("9.3.2. melléklet a ……/",LEFT([1]ÖSSZEFÜGGÉSEK!E5,4),". (….) önkormányzati rendelethez")</f>
        <v>9.3.2. melléklet a ……/. (….) önkormányzati rendelethez</v>
      </c>
      <c r="C1" s="405"/>
      <c r="D1" s="405"/>
      <c r="E1" s="405"/>
    </row>
    <row r="2" spans="1:5" s="409" customFormat="1" ht="32.25" customHeight="1" x14ac:dyDescent="0.3">
      <c r="A2" s="407" t="s">
        <v>192</v>
      </c>
      <c r="B2" s="408" t="s">
        <v>537</v>
      </c>
      <c r="C2" s="542" t="s">
        <v>55</v>
      </c>
      <c r="D2" s="542" t="s">
        <v>55</v>
      </c>
      <c r="E2" s="542" t="s">
        <v>55</v>
      </c>
    </row>
    <row r="3" spans="1:5" s="409" customFormat="1" ht="23.5" thickBot="1" x14ac:dyDescent="0.35">
      <c r="A3" s="410" t="s">
        <v>191</v>
      </c>
      <c r="B3" s="411" t="s">
        <v>413</v>
      </c>
      <c r="C3" s="543" t="s">
        <v>55</v>
      </c>
      <c r="D3" s="543" t="s">
        <v>55</v>
      </c>
      <c r="E3" s="543" t="s">
        <v>55</v>
      </c>
    </row>
    <row r="4" spans="1:5" s="413" customFormat="1" ht="16" customHeight="1" thickBot="1" x14ac:dyDescent="0.4">
      <c r="A4" s="412"/>
      <c r="B4" s="412"/>
      <c r="C4" s="544" t="s">
        <v>586</v>
      </c>
      <c r="D4" s="544" t="s">
        <v>586</v>
      </c>
      <c r="E4" s="544" t="s">
        <v>586</v>
      </c>
    </row>
    <row r="5" spans="1:5" ht="26.15" customHeight="1" thickBot="1" x14ac:dyDescent="0.35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729</v>
      </c>
    </row>
    <row r="6" spans="1:5" s="418" customFormat="1" ht="13" customHeight="1" thickBot="1" x14ac:dyDescent="0.35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6" customHeight="1" thickBot="1" x14ac:dyDescent="0.35">
      <c r="A7" s="419"/>
      <c r="B7" s="420" t="s">
        <v>51</v>
      </c>
      <c r="C7" s="546"/>
      <c r="D7" s="546"/>
      <c r="E7" s="546"/>
    </row>
    <row r="8" spans="1:5" s="422" customFormat="1" ht="12" customHeight="1" thickBot="1" x14ac:dyDescent="0.35">
      <c r="A8" s="416" t="s">
        <v>14</v>
      </c>
      <c r="B8" s="421" t="s">
        <v>510</v>
      </c>
      <c r="C8" s="547">
        <f>SUM(C9:C19)</f>
        <v>0</v>
      </c>
      <c r="D8" s="547">
        <f>SUM(D9:D19)</f>
        <v>0</v>
      </c>
      <c r="E8" s="547">
        <f>SUM(E9:E19)</f>
        <v>0</v>
      </c>
    </row>
    <row r="9" spans="1:5" s="422" customFormat="1" ht="12" customHeight="1" x14ac:dyDescent="0.3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 x14ac:dyDescent="0.3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 x14ac:dyDescent="0.3">
      <c r="A11" s="425" t="s">
        <v>95</v>
      </c>
      <c r="B11" s="426" t="s">
        <v>272</v>
      </c>
      <c r="C11" s="549"/>
      <c r="D11" s="549"/>
      <c r="E11" s="549"/>
    </row>
    <row r="12" spans="1:5" s="422" customFormat="1" ht="12" customHeight="1" x14ac:dyDescent="0.3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 x14ac:dyDescent="0.3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 x14ac:dyDescent="0.3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 x14ac:dyDescent="0.3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 x14ac:dyDescent="0.3">
      <c r="A16" s="425" t="s">
        <v>108</v>
      </c>
      <c r="B16" s="426" t="s">
        <v>277</v>
      </c>
      <c r="C16" s="550"/>
      <c r="D16" s="550"/>
      <c r="E16" s="550"/>
    </row>
    <row r="17" spans="1:5" s="428" customFormat="1" ht="12" customHeight="1" x14ac:dyDescent="0.3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 x14ac:dyDescent="0.3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 x14ac:dyDescent="0.35">
      <c r="A19" s="425" t="s">
        <v>111</v>
      </c>
      <c r="B19" s="427" t="s">
        <v>279</v>
      </c>
      <c r="C19" s="551"/>
      <c r="D19" s="551"/>
      <c r="E19" s="551"/>
    </row>
    <row r="20" spans="1:5" s="422" customFormat="1" ht="12" customHeight="1" thickBot="1" x14ac:dyDescent="0.35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 x14ac:dyDescent="0.3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 x14ac:dyDescent="0.3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 x14ac:dyDescent="0.3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 x14ac:dyDescent="0.35">
      <c r="A24" s="425" t="s">
        <v>102</v>
      </c>
      <c r="B24" s="426" t="s">
        <v>515</v>
      </c>
      <c r="C24" s="549"/>
      <c r="D24" s="549"/>
      <c r="E24" s="549"/>
    </row>
    <row r="25" spans="1:5" s="428" customFormat="1" ht="12" customHeight="1" thickBot="1" x14ac:dyDescent="0.35">
      <c r="A25" s="430" t="s">
        <v>16</v>
      </c>
      <c r="B25" s="431" t="s">
        <v>163</v>
      </c>
      <c r="C25" s="552"/>
      <c r="D25" s="552"/>
      <c r="E25" s="552"/>
    </row>
    <row r="26" spans="1:5" s="428" customFormat="1" ht="12" customHeight="1" thickBot="1" x14ac:dyDescent="0.35">
      <c r="A26" s="430" t="s">
        <v>17</v>
      </c>
      <c r="B26" s="431" t="s">
        <v>399</v>
      </c>
      <c r="C26" s="547">
        <f>+C27+C28</f>
        <v>0</v>
      </c>
      <c r="D26" s="547">
        <f>+D27+D28</f>
        <v>0</v>
      </c>
      <c r="E26" s="547">
        <f>+E27+E28</f>
        <v>0</v>
      </c>
    </row>
    <row r="27" spans="1:5" s="428" customFormat="1" ht="12" customHeight="1" x14ac:dyDescent="0.3">
      <c r="A27" s="432" t="s">
        <v>257</v>
      </c>
      <c r="B27" s="433" t="s">
        <v>397</v>
      </c>
      <c r="C27" s="553"/>
      <c r="D27" s="553"/>
      <c r="E27" s="553"/>
    </row>
    <row r="28" spans="1:5" s="428" customFormat="1" ht="12" customHeight="1" x14ac:dyDescent="0.3">
      <c r="A28" s="432" t="s">
        <v>260</v>
      </c>
      <c r="B28" s="434" t="s">
        <v>400</v>
      </c>
      <c r="C28" s="554"/>
      <c r="D28" s="554"/>
      <c r="E28" s="554"/>
    </row>
    <row r="29" spans="1:5" s="428" customFormat="1" ht="12" customHeight="1" thickBot="1" x14ac:dyDescent="0.35">
      <c r="A29" s="425" t="s">
        <v>261</v>
      </c>
      <c r="B29" s="435" t="s">
        <v>516</v>
      </c>
      <c r="C29" s="555"/>
      <c r="D29" s="555"/>
      <c r="E29" s="555"/>
    </row>
    <row r="30" spans="1:5" s="428" customFormat="1" ht="12" customHeight="1" thickBot="1" x14ac:dyDescent="0.35">
      <c r="A30" s="430" t="s">
        <v>18</v>
      </c>
      <c r="B30" s="431" t="s">
        <v>401</v>
      </c>
      <c r="C30" s="547">
        <f>+C31+C32+C33</f>
        <v>0</v>
      </c>
      <c r="D30" s="547">
        <f>+D31+D32+D33</f>
        <v>0</v>
      </c>
      <c r="E30" s="547">
        <f>+E31+E32+E33</f>
        <v>0</v>
      </c>
    </row>
    <row r="31" spans="1:5" s="428" customFormat="1" ht="12" customHeight="1" x14ac:dyDescent="0.3">
      <c r="A31" s="432" t="s">
        <v>86</v>
      </c>
      <c r="B31" s="433" t="s">
        <v>284</v>
      </c>
      <c r="C31" s="553"/>
      <c r="D31" s="553"/>
      <c r="E31" s="553"/>
    </row>
    <row r="32" spans="1:5" s="428" customFormat="1" ht="12" customHeight="1" x14ac:dyDescent="0.3">
      <c r="A32" s="432" t="s">
        <v>87</v>
      </c>
      <c r="B32" s="434" t="s">
        <v>285</v>
      </c>
      <c r="C32" s="554"/>
      <c r="D32" s="554"/>
      <c r="E32" s="554"/>
    </row>
    <row r="33" spans="1:5" s="428" customFormat="1" ht="12" customHeight="1" thickBot="1" x14ac:dyDescent="0.35">
      <c r="A33" s="425" t="s">
        <v>88</v>
      </c>
      <c r="B33" s="435" t="s">
        <v>286</v>
      </c>
      <c r="C33" s="555"/>
      <c r="D33" s="555"/>
      <c r="E33" s="555"/>
    </row>
    <row r="34" spans="1:5" s="422" customFormat="1" ht="12" customHeight="1" thickBot="1" x14ac:dyDescent="0.35">
      <c r="A34" s="430" t="s">
        <v>19</v>
      </c>
      <c r="B34" s="431" t="s">
        <v>371</v>
      </c>
      <c r="C34" s="552"/>
      <c r="D34" s="552"/>
      <c r="E34" s="552"/>
    </row>
    <row r="35" spans="1:5" s="422" customFormat="1" ht="12" customHeight="1" thickBot="1" x14ac:dyDescent="0.35">
      <c r="A35" s="430" t="s">
        <v>20</v>
      </c>
      <c r="B35" s="431" t="s">
        <v>402</v>
      </c>
      <c r="C35" s="556"/>
      <c r="D35" s="556"/>
      <c r="E35" s="556"/>
    </row>
    <row r="36" spans="1:5" s="422" customFormat="1" ht="12" customHeight="1" thickBot="1" x14ac:dyDescent="0.35">
      <c r="A36" s="416" t="s">
        <v>21</v>
      </c>
      <c r="B36" s="431" t="s">
        <v>517</v>
      </c>
      <c r="C36" s="557">
        <f>+C8+C20+C25+C26+C30+C34+C35</f>
        <v>0</v>
      </c>
      <c r="D36" s="557">
        <f>+D8+D20+D25+D26+D30+D34+D35</f>
        <v>0</v>
      </c>
      <c r="E36" s="557">
        <f>+E8+E20+E25+E26+E30+E34+E35</f>
        <v>0</v>
      </c>
    </row>
    <row r="37" spans="1:5" s="422" customFormat="1" ht="12" customHeight="1" thickBot="1" x14ac:dyDescent="0.35">
      <c r="A37" s="436" t="s">
        <v>22</v>
      </c>
      <c r="B37" s="431" t="s">
        <v>404</v>
      </c>
      <c r="C37" s="557">
        <f>+C38+C39+C40</f>
        <v>0</v>
      </c>
      <c r="D37" s="557">
        <f>+D38+D39+D40</f>
        <v>0</v>
      </c>
      <c r="E37" s="557">
        <f>+E38+E39+E40</f>
        <v>0</v>
      </c>
    </row>
    <row r="38" spans="1:5" s="422" customFormat="1" ht="12" customHeight="1" x14ac:dyDescent="0.3">
      <c r="A38" s="432" t="s">
        <v>405</v>
      </c>
      <c r="B38" s="433" t="s">
        <v>226</v>
      </c>
      <c r="C38" s="553"/>
      <c r="D38" s="553"/>
      <c r="E38" s="553"/>
    </row>
    <row r="39" spans="1:5" s="422" customFormat="1" ht="12" customHeight="1" x14ac:dyDescent="0.3">
      <c r="A39" s="432" t="s">
        <v>406</v>
      </c>
      <c r="B39" s="434" t="s">
        <v>0</v>
      </c>
      <c r="C39" s="554"/>
      <c r="D39" s="554"/>
      <c r="E39" s="554"/>
    </row>
    <row r="40" spans="1:5" s="428" customFormat="1" ht="12" customHeight="1" thickBot="1" x14ac:dyDescent="0.35">
      <c r="A40" s="425" t="s">
        <v>407</v>
      </c>
      <c r="B40" s="435" t="s">
        <v>408</v>
      </c>
      <c r="C40" s="555"/>
      <c r="D40" s="555"/>
      <c r="E40" s="555"/>
    </row>
    <row r="41" spans="1:5" s="428" customFormat="1" ht="15" customHeight="1" thickBot="1" x14ac:dyDescent="0.3">
      <c r="A41" s="436" t="s">
        <v>23</v>
      </c>
      <c r="B41" s="437" t="s">
        <v>409</v>
      </c>
      <c r="C41" s="558">
        <f>+C36+C37</f>
        <v>0</v>
      </c>
      <c r="D41" s="558">
        <f>+D36+D37</f>
        <v>0</v>
      </c>
      <c r="E41" s="558">
        <f>+E36+E37</f>
        <v>0</v>
      </c>
    </row>
    <row r="42" spans="1:5" s="428" customFormat="1" ht="15" customHeight="1" x14ac:dyDescent="0.3">
      <c r="A42" s="438"/>
      <c r="B42" s="439"/>
      <c r="C42" s="559"/>
      <c r="D42" s="559"/>
      <c r="E42" s="559"/>
    </row>
    <row r="43" spans="1:5" ht="13.5" thickBot="1" x14ac:dyDescent="0.35">
      <c r="A43" s="440"/>
      <c r="B43" s="441"/>
      <c r="C43" s="560"/>
      <c r="D43" s="560"/>
      <c r="E43" s="560"/>
    </row>
    <row r="44" spans="1:5" s="418" customFormat="1" ht="16.5" customHeight="1" thickBot="1" x14ac:dyDescent="0.35">
      <c r="A44" s="442"/>
      <c r="B44" s="443" t="s">
        <v>52</v>
      </c>
      <c r="C44" s="558"/>
      <c r="D44" s="558"/>
      <c r="E44" s="558"/>
    </row>
    <row r="45" spans="1:5" s="444" customFormat="1" ht="12" customHeight="1" thickBot="1" x14ac:dyDescent="0.35">
      <c r="A45" s="430" t="s">
        <v>14</v>
      </c>
      <c r="B45" s="431" t="s">
        <v>410</v>
      </c>
      <c r="C45" s="547">
        <f>SUM(C46:C50)</f>
        <v>0</v>
      </c>
      <c r="D45" s="547">
        <f>SUM(D46:D50)</f>
        <v>0</v>
      </c>
      <c r="E45" s="547">
        <f>SUM(E46:E50)</f>
        <v>0</v>
      </c>
    </row>
    <row r="46" spans="1:5" ht="12" customHeight="1" x14ac:dyDescent="0.3">
      <c r="A46" s="425" t="s">
        <v>93</v>
      </c>
      <c r="B46" s="429" t="s">
        <v>44</v>
      </c>
      <c r="C46" s="553"/>
      <c r="D46" s="553"/>
      <c r="E46" s="553"/>
    </row>
    <row r="47" spans="1:5" ht="12" customHeight="1" x14ac:dyDescent="0.3">
      <c r="A47" s="425" t="s">
        <v>94</v>
      </c>
      <c r="B47" s="426" t="s">
        <v>172</v>
      </c>
      <c r="C47" s="561"/>
      <c r="D47" s="561"/>
      <c r="E47" s="561"/>
    </row>
    <row r="48" spans="1:5" ht="12" customHeight="1" x14ac:dyDescent="0.3">
      <c r="A48" s="425" t="s">
        <v>95</v>
      </c>
      <c r="B48" s="426" t="s">
        <v>131</v>
      </c>
      <c r="C48" s="561"/>
      <c r="D48" s="561"/>
      <c r="E48" s="561"/>
    </row>
    <row r="49" spans="1:5" ht="12" customHeight="1" x14ac:dyDescent="0.3">
      <c r="A49" s="425" t="s">
        <v>96</v>
      </c>
      <c r="B49" s="426" t="s">
        <v>173</v>
      </c>
      <c r="C49" s="561"/>
      <c r="D49" s="561"/>
      <c r="E49" s="561"/>
    </row>
    <row r="50" spans="1:5" ht="12" customHeight="1" thickBot="1" x14ac:dyDescent="0.35">
      <c r="A50" s="425" t="s">
        <v>139</v>
      </c>
      <c r="B50" s="426" t="s">
        <v>174</v>
      </c>
      <c r="C50" s="561"/>
      <c r="D50" s="561"/>
      <c r="E50" s="561"/>
    </row>
    <row r="51" spans="1:5" ht="12" customHeight="1" thickBot="1" x14ac:dyDescent="0.35">
      <c r="A51" s="430" t="s">
        <v>15</v>
      </c>
      <c r="B51" s="431" t="s">
        <v>411</v>
      </c>
      <c r="C51" s="547">
        <f>SUM(C52:C54)</f>
        <v>0</v>
      </c>
      <c r="D51" s="547">
        <f>SUM(D52:D54)</f>
        <v>0</v>
      </c>
      <c r="E51" s="547">
        <f>SUM(E52:E54)</f>
        <v>0</v>
      </c>
    </row>
    <row r="52" spans="1:5" s="444" customFormat="1" ht="12" customHeight="1" x14ac:dyDescent="0.3">
      <c r="A52" s="425" t="s">
        <v>99</v>
      </c>
      <c r="B52" s="429" t="s">
        <v>217</v>
      </c>
      <c r="C52" s="553"/>
      <c r="D52" s="553"/>
      <c r="E52" s="553"/>
    </row>
    <row r="53" spans="1:5" ht="12" customHeight="1" x14ac:dyDescent="0.3">
      <c r="A53" s="425" t="s">
        <v>100</v>
      </c>
      <c r="B53" s="426" t="s">
        <v>176</v>
      </c>
      <c r="C53" s="561"/>
      <c r="D53" s="561"/>
      <c r="E53" s="561"/>
    </row>
    <row r="54" spans="1:5" ht="12" customHeight="1" x14ac:dyDescent="0.3">
      <c r="A54" s="425" t="s">
        <v>101</v>
      </c>
      <c r="B54" s="426" t="s">
        <v>53</v>
      </c>
      <c r="C54" s="561"/>
      <c r="D54" s="561"/>
      <c r="E54" s="561"/>
    </row>
    <row r="55" spans="1:5" ht="12" customHeight="1" thickBot="1" x14ac:dyDescent="0.35">
      <c r="A55" s="425" t="s">
        <v>102</v>
      </c>
      <c r="B55" s="426" t="s">
        <v>514</v>
      </c>
      <c r="C55" s="561"/>
      <c r="D55" s="561"/>
      <c r="E55" s="561"/>
    </row>
    <row r="56" spans="1:5" ht="15" customHeight="1" thickBot="1" x14ac:dyDescent="0.35">
      <c r="A56" s="430" t="s">
        <v>16</v>
      </c>
      <c r="B56" s="431" t="s">
        <v>10</v>
      </c>
      <c r="C56" s="552"/>
      <c r="D56" s="552"/>
      <c r="E56" s="552"/>
    </row>
    <row r="57" spans="1:5" ht="13.5" thickBot="1" x14ac:dyDescent="0.35">
      <c r="A57" s="430" t="s">
        <v>17</v>
      </c>
      <c r="B57" s="445" t="s">
        <v>519</v>
      </c>
      <c r="C57" s="562">
        <f>+C45+C51+C56</f>
        <v>0</v>
      </c>
      <c r="D57" s="562">
        <f>+D45+D51+D56</f>
        <v>0</v>
      </c>
      <c r="E57" s="562">
        <f>+E45+E51+E56</f>
        <v>0</v>
      </c>
    </row>
    <row r="58" spans="1:5" ht="15" customHeight="1" thickBot="1" x14ac:dyDescent="0.35">
      <c r="C58" s="836"/>
      <c r="D58" s="836"/>
      <c r="E58" s="836"/>
    </row>
    <row r="59" spans="1:5" ht="14.25" customHeight="1" thickBot="1" x14ac:dyDescent="0.35">
      <c r="A59" s="446" t="s">
        <v>509</v>
      </c>
      <c r="B59" s="447"/>
      <c r="C59" s="563"/>
      <c r="D59" s="563"/>
      <c r="E59" s="563"/>
    </row>
    <row r="60" spans="1:5" ht="13.5" thickBot="1" x14ac:dyDescent="0.35">
      <c r="A60" s="446" t="s">
        <v>194</v>
      </c>
      <c r="B60" s="447"/>
      <c r="C60" s="563"/>
      <c r="D60" s="563"/>
      <c r="E60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>
    <oddFooter>&amp;P. oldal, összesen: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7"/>
  </sheetPr>
  <dimension ref="A1:E60"/>
  <sheetViews>
    <sheetView topLeftCell="B37" zoomScaleNormal="100" workbookViewId="0">
      <selection activeCell="E49" sqref="E49"/>
    </sheetView>
  </sheetViews>
  <sheetFormatPr defaultColWidth="9.296875" defaultRowHeight="13" x14ac:dyDescent="0.3"/>
  <cols>
    <col min="1" max="1" width="13.796875" style="835" customWidth="1"/>
    <col min="2" max="2" width="79.19921875" style="834" customWidth="1"/>
    <col min="3" max="5" width="25" style="834" customWidth="1"/>
    <col min="6" max="16384" width="9.296875" style="834"/>
  </cols>
  <sheetData>
    <row r="1" spans="1:5" s="406" customFormat="1" ht="21" customHeight="1" thickBot="1" x14ac:dyDescent="0.35">
      <c r="A1" s="404"/>
      <c r="B1" s="405" t="str">
        <f>+CONCATENATE("9.3.3. melléklet a ……/",LEFT([1]ÖSSZEFÜGGÉSEK!E5,4),". (….) önkormányzati rendelethez")</f>
        <v>9.3.3. melléklet a ……/. (….) önkormányzati rendelethez</v>
      </c>
      <c r="C1" s="405"/>
      <c r="D1" s="405"/>
      <c r="E1" s="405"/>
    </row>
    <row r="2" spans="1:5" s="409" customFormat="1" ht="33" customHeight="1" x14ac:dyDescent="0.3">
      <c r="A2" s="407" t="s">
        <v>192</v>
      </c>
      <c r="B2" s="408" t="s">
        <v>537</v>
      </c>
      <c r="C2" s="542" t="s">
        <v>55</v>
      </c>
      <c r="D2" s="542" t="s">
        <v>55</v>
      </c>
      <c r="E2" s="542" t="s">
        <v>55</v>
      </c>
    </row>
    <row r="3" spans="1:5" s="409" customFormat="1" ht="23.5" thickBot="1" x14ac:dyDescent="0.35">
      <c r="A3" s="410" t="s">
        <v>191</v>
      </c>
      <c r="B3" s="411" t="s">
        <v>520</v>
      </c>
      <c r="C3" s="543" t="s">
        <v>424</v>
      </c>
      <c r="D3" s="543" t="s">
        <v>424</v>
      </c>
      <c r="E3" s="543" t="s">
        <v>424</v>
      </c>
    </row>
    <row r="4" spans="1:5" s="413" customFormat="1" ht="16" customHeight="1" thickBot="1" x14ac:dyDescent="0.4">
      <c r="A4" s="412"/>
      <c r="B4" s="412"/>
      <c r="C4" s="544" t="s">
        <v>586</v>
      </c>
      <c r="D4" s="544" t="s">
        <v>586</v>
      </c>
      <c r="E4" s="544" t="s">
        <v>586</v>
      </c>
    </row>
    <row r="5" spans="1:5" ht="26.15" customHeight="1" thickBot="1" x14ac:dyDescent="0.35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729</v>
      </c>
    </row>
    <row r="6" spans="1:5" s="418" customFormat="1" ht="13" customHeight="1" thickBot="1" x14ac:dyDescent="0.35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6" customHeight="1" thickBot="1" x14ac:dyDescent="0.35">
      <c r="A7" s="419"/>
      <c r="B7" s="420" t="s">
        <v>51</v>
      </c>
      <c r="C7" s="546"/>
      <c r="D7" s="546"/>
      <c r="E7" s="546"/>
    </row>
    <row r="8" spans="1:5" s="422" customFormat="1" ht="12" customHeight="1" thickBot="1" x14ac:dyDescent="0.35">
      <c r="A8" s="416" t="s">
        <v>14</v>
      </c>
      <c r="B8" s="421" t="s">
        <v>510</v>
      </c>
      <c r="C8" s="547">
        <f>SUM(C9:C19)</f>
        <v>0</v>
      </c>
      <c r="D8" s="547">
        <f>SUM(D9:D19)</f>
        <v>0</v>
      </c>
      <c r="E8" s="547">
        <f>SUM(E9:E19)</f>
        <v>0</v>
      </c>
    </row>
    <row r="9" spans="1:5" s="422" customFormat="1" ht="12" customHeight="1" x14ac:dyDescent="0.3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 x14ac:dyDescent="0.3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 x14ac:dyDescent="0.3">
      <c r="A11" s="425" t="s">
        <v>95</v>
      </c>
      <c r="B11" s="426" t="s">
        <v>272</v>
      </c>
      <c r="C11" s="549"/>
      <c r="D11" s="549"/>
      <c r="E11" s="549"/>
    </row>
    <row r="12" spans="1:5" s="422" customFormat="1" ht="12" customHeight="1" x14ac:dyDescent="0.3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 x14ac:dyDescent="0.3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 x14ac:dyDescent="0.3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 x14ac:dyDescent="0.3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 x14ac:dyDescent="0.3">
      <c r="A16" s="425" t="s">
        <v>108</v>
      </c>
      <c r="B16" s="426" t="s">
        <v>277</v>
      </c>
      <c r="C16" s="550"/>
      <c r="D16" s="550"/>
      <c r="E16" s="550"/>
    </row>
    <row r="17" spans="1:5" s="428" customFormat="1" ht="12" customHeight="1" x14ac:dyDescent="0.3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 x14ac:dyDescent="0.3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 x14ac:dyDescent="0.35">
      <c r="A19" s="425" t="s">
        <v>111</v>
      </c>
      <c r="B19" s="427" t="s">
        <v>279</v>
      </c>
      <c r="C19" s="551"/>
      <c r="D19" s="551"/>
      <c r="E19" s="551"/>
    </row>
    <row r="20" spans="1:5" s="422" customFormat="1" ht="12" customHeight="1" thickBot="1" x14ac:dyDescent="0.35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 x14ac:dyDescent="0.3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 x14ac:dyDescent="0.3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 x14ac:dyDescent="0.3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 x14ac:dyDescent="0.35">
      <c r="A24" s="425" t="s">
        <v>102</v>
      </c>
      <c r="B24" s="426" t="s">
        <v>515</v>
      </c>
      <c r="C24" s="549"/>
      <c r="D24" s="549"/>
      <c r="E24" s="549"/>
    </row>
    <row r="25" spans="1:5" s="428" customFormat="1" ht="12" customHeight="1" thickBot="1" x14ac:dyDescent="0.35">
      <c r="A25" s="430" t="s">
        <v>16</v>
      </c>
      <c r="B25" s="431" t="s">
        <v>163</v>
      </c>
      <c r="C25" s="552"/>
      <c r="D25" s="552"/>
      <c r="E25" s="552"/>
    </row>
    <row r="26" spans="1:5" s="428" customFormat="1" ht="12" customHeight="1" thickBot="1" x14ac:dyDescent="0.35">
      <c r="A26" s="430" t="s">
        <v>17</v>
      </c>
      <c r="B26" s="431" t="s">
        <v>399</v>
      </c>
      <c r="C26" s="547">
        <f>+C27+C28</f>
        <v>0</v>
      </c>
      <c r="D26" s="547">
        <f>+D27+D28</f>
        <v>0</v>
      </c>
      <c r="E26" s="547">
        <f>+E27+E28</f>
        <v>0</v>
      </c>
    </row>
    <row r="27" spans="1:5" s="428" customFormat="1" ht="12" customHeight="1" x14ac:dyDescent="0.3">
      <c r="A27" s="432" t="s">
        <v>257</v>
      </c>
      <c r="B27" s="433" t="s">
        <v>397</v>
      </c>
      <c r="C27" s="553"/>
      <c r="D27" s="553"/>
      <c r="E27" s="553"/>
    </row>
    <row r="28" spans="1:5" s="428" customFormat="1" ht="12" customHeight="1" x14ac:dyDescent="0.3">
      <c r="A28" s="432" t="s">
        <v>260</v>
      </c>
      <c r="B28" s="434" t="s">
        <v>400</v>
      </c>
      <c r="C28" s="554"/>
      <c r="D28" s="554"/>
      <c r="E28" s="554"/>
    </row>
    <row r="29" spans="1:5" s="428" customFormat="1" ht="12" customHeight="1" thickBot="1" x14ac:dyDescent="0.35">
      <c r="A29" s="425" t="s">
        <v>261</v>
      </c>
      <c r="B29" s="435" t="s">
        <v>516</v>
      </c>
      <c r="C29" s="555"/>
      <c r="D29" s="555"/>
      <c r="E29" s="555"/>
    </row>
    <row r="30" spans="1:5" s="428" customFormat="1" ht="12" customHeight="1" thickBot="1" x14ac:dyDescent="0.35">
      <c r="A30" s="430" t="s">
        <v>18</v>
      </c>
      <c r="B30" s="431" t="s">
        <v>401</v>
      </c>
      <c r="C30" s="547">
        <f>+C31+C32+C33</f>
        <v>0</v>
      </c>
      <c r="D30" s="547">
        <f>+D31+D32+D33</f>
        <v>0</v>
      </c>
      <c r="E30" s="547">
        <f>+E31+E32+E33</f>
        <v>0</v>
      </c>
    </row>
    <row r="31" spans="1:5" s="428" customFormat="1" ht="12" customHeight="1" x14ac:dyDescent="0.3">
      <c r="A31" s="432" t="s">
        <v>86</v>
      </c>
      <c r="B31" s="433" t="s">
        <v>284</v>
      </c>
      <c r="C31" s="553"/>
      <c r="D31" s="553"/>
      <c r="E31" s="553"/>
    </row>
    <row r="32" spans="1:5" s="428" customFormat="1" ht="12" customHeight="1" x14ac:dyDescent="0.3">
      <c r="A32" s="432" t="s">
        <v>87</v>
      </c>
      <c r="B32" s="434" t="s">
        <v>285</v>
      </c>
      <c r="C32" s="554"/>
      <c r="D32" s="554"/>
      <c r="E32" s="554"/>
    </row>
    <row r="33" spans="1:5" s="428" customFormat="1" ht="12" customHeight="1" thickBot="1" x14ac:dyDescent="0.35">
      <c r="A33" s="425" t="s">
        <v>88</v>
      </c>
      <c r="B33" s="435" t="s">
        <v>286</v>
      </c>
      <c r="C33" s="555"/>
      <c r="D33" s="555"/>
      <c r="E33" s="555"/>
    </row>
    <row r="34" spans="1:5" s="422" customFormat="1" ht="12" customHeight="1" thickBot="1" x14ac:dyDescent="0.35">
      <c r="A34" s="430" t="s">
        <v>19</v>
      </c>
      <c r="B34" s="431" t="s">
        <v>371</v>
      </c>
      <c r="C34" s="552"/>
      <c r="D34" s="552"/>
      <c r="E34" s="552"/>
    </row>
    <row r="35" spans="1:5" s="422" customFormat="1" ht="12" customHeight="1" thickBot="1" x14ac:dyDescent="0.35">
      <c r="A35" s="430" t="s">
        <v>20</v>
      </c>
      <c r="B35" s="431" t="s">
        <v>402</v>
      </c>
      <c r="C35" s="556"/>
      <c r="D35" s="556"/>
      <c r="E35" s="556"/>
    </row>
    <row r="36" spans="1:5" s="422" customFormat="1" ht="12" customHeight="1" thickBot="1" x14ac:dyDescent="0.35">
      <c r="A36" s="416" t="s">
        <v>21</v>
      </c>
      <c r="B36" s="431" t="s">
        <v>517</v>
      </c>
      <c r="C36" s="557">
        <f>+C8+C20+C25+C26+C30+C34+C35</f>
        <v>0</v>
      </c>
      <c r="D36" s="557">
        <f>+D8+D20+D25+D26+D30+D34+D35</f>
        <v>0</v>
      </c>
      <c r="E36" s="557">
        <f>+E8+E20+E25+E26+E30+E34+E35</f>
        <v>0</v>
      </c>
    </row>
    <row r="37" spans="1:5" s="422" customFormat="1" ht="12" customHeight="1" thickBot="1" x14ac:dyDescent="0.35">
      <c r="A37" s="436" t="s">
        <v>22</v>
      </c>
      <c r="B37" s="431" t="s">
        <v>404</v>
      </c>
      <c r="C37" s="557">
        <f>+C38+C39+C40</f>
        <v>0</v>
      </c>
      <c r="D37" s="557">
        <f>+D38+D39+D40</f>
        <v>0</v>
      </c>
      <c r="E37" s="557">
        <f>+E38+E39+E40</f>
        <v>0</v>
      </c>
    </row>
    <row r="38" spans="1:5" s="422" customFormat="1" ht="12" customHeight="1" x14ac:dyDescent="0.3">
      <c r="A38" s="432" t="s">
        <v>405</v>
      </c>
      <c r="B38" s="433" t="s">
        <v>226</v>
      </c>
      <c r="C38" s="553"/>
      <c r="D38" s="553"/>
      <c r="E38" s="553"/>
    </row>
    <row r="39" spans="1:5" s="422" customFormat="1" ht="12" customHeight="1" x14ac:dyDescent="0.3">
      <c r="A39" s="432" t="s">
        <v>406</v>
      </c>
      <c r="B39" s="434" t="s">
        <v>0</v>
      </c>
      <c r="C39" s="554"/>
      <c r="D39" s="554"/>
      <c r="E39" s="554"/>
    </row>
    <row r="40" spans="1:5" s="428" customFormat="1" ht="12" customHeight="1" thickBot="1" x14ac:dyDescent="0.35">
      <c r="A40" s="425" t="s">
        <v>407</v>
      </c>
      <c r="B40" s="435" t="s">
        <v>408</v>
      </c>
      <c r="C40" s="555"/>
      <c r="D40" s="555"/>
      <c r="E40" s="555"/>
    </row>
    <row r="41" spans="1:5" s="428" customFormat="1" ht="15" customHeight="1" thickBot="1" x14ac:dyDescent="0.3">
      <c r="A41" s="436" t="s">
        <v>23</v>
      </c>
      <c r="B41" s="437" t="s">
        <v>409</v>
      </c>
      <c r="C41" s="558">
        <f>+C36+C37</f>
        <v>0</v>
      </c>
      <c r="D41" s="558">
        <f>+D36+D37</f>
        <v>0</v>
      </c>
      <c r="E41" s="558">
        <f>+E36+E37</f>
        <v>0</v>
      </c>
    </row>
    <row r="42" spans="1:5" s="428" customFormat="1" ht="15" customHeight="1" x14ac:dyDescent="0.3">
      <c r="A42" s="438"/>
      <c r="B42" s="439"/>
      <c r="C42" s="559"/>
      <c r="D42" s="559"/>
      <c r="E42" s="559"/>
    </row>
    <row r="43" spans="1:5" ht="13.5" thickBot="1" x14ac:dyDescent="0.35">
      <c r="A43" s="440"/>
      <c r="B43" s="441"/>
      <c r="C43" s="560"/>
      <c r="D43" s="560"/>
      <c r="E43" s="560"/>
    </row>
    <row r="44" spans="1:5" s="418" customFormat="1" ht="16.5" customHeight="1" thickBot="1" x14ac:dyDescent="0.35">
      <c r="A44" s="442"/>
      <c r="B44" s="443" t="s">
        <v>52</v>
      </c>
      <c r="C44" s="558"/>
      <c r="D44" s="558"/>
      <c r="E44" s="558"/>
    </row>
    <row r="45" spans="1:5" s="444" customFormat="1" ht="12" customHeight="1" thickBot="1" x14ac:dyDescent="0.35">
      <c r="A45" s="430" t="s">
        <v>14</v>
      </c>
      <c r="B45" s="431" t="s">
        <v>410</v>
      </c>
      <c r="C45" s="547">
        <f>SUM(C46:C50)</f>
        <v>0</v>
      </c>
      <c r="D45" s="547">
        <f>SUM(D46:D50)</f>
        <v>0</v>
      </c>
      <c r="E45" s="547">
        <f>SUM(E46:E50)</f>
        <v>0</v>
      </c>
    </row>
    <row r="46" spans="1:5" ht="12" customHeight="1" x14ac:dyDescent="0.3">
      <c r="A46" s="425" t="s">
        <v>93</v>
      </c>
      <c r="B46" s="429" t="s">
        <v>44</v>
      </c>
      <c r="C46" s="553"/>
      <c r="D46" s="553"/>
      <c r="E46" s="553"/>
    </row>
    <row r="47" spans="1:5" ht="12" customHeight="1" x14ac:dyDescent="0.3">
      <c r="A47" s="425" t="s">
        <v>94</v>
      </c>
      <c r="B47" s="426" t="s">
        <v>172</v>
      </c>
      <c r="C47" s="561"/>
      <c r="D47" s="561"/>
      <c r="E47" s="561"/>
    </row>
    <row r="48" spans="1:5" ht="12" customHeight="1" x14ac:dyDescent="0.3">
      <c r="A48" s="425" t="s">
        <v>95</v>
      </c>
      <c r="B48" s="426" t="s">
        <v>131</v>
      </c>
      <c r="C48" s="561"/>
      <c r="D48" s="561"/>
      <c r="E48" s="561"/>
    </row>
    <row r="49" spans="1:5" ht="12" customHeight="1" x14ac:dyDescent="0.3">
      <c r="A49" s="425" t="s">
        <v>96</v>
      </c>
      <c r="B49" s="426" t="s">
        <v>173</v>
      </c>
      <c r="C49" s="561"/>
      <c r="D49" s="561"/>
      <c r="E49" s="561"/>
    </row>
    <row r="50" spans="1:5" ht="12" customHeight="1" thickBot="1" x14ac:dyDescent="0.35">
      <c r="A50" s="425" t="s">
        <v>139</v>
      </c>
      <c r="B50" s="426" t="s">
        <v>174</v>
      </c>
      <c r="C50" s="561"/>
      <c r="D50" s="561"/>
      <c r="E50" s="561"/>
    </row>
    <row r="51" spans="1:5" ht="12" customHeight="1" thickBot="1" x14ac:dyDescent="0.35">
      <c r="A51" s="430" t="s">
        <v>15</v>
      </c>
      <c r="B51" s="431" t="s">
        <v>411</v>
      </c>
      <c r="C51" s="547">
        <f>SUM(C52:C54)</f>
        <v>0</v>
      </c>
      <c r="D51" s="547">
        <f>SUM(D52:D54)</f>
        <v>0</v>
      </c>
      <c r="E51" s="547">
        <f>SUM(E52:E54)</f>
        <v>0</v>
      </c>
    </row>
    <row r="52" spans="1:5" s="444" customFormat="1" ht="12" customHeight="1" x14ac:dyDescent="0.3">
      <c r="A52" s="425" t="s">
        <v>99</v>
      </c>
      <c r="B52" s="429" t="s">
        <v>217</v>
      </c>
      <c r="C52" s="553"/>
      <c r="D52" s="553"/>
      <c r="E52" s="553"/>
    </row>
    <row r="53" spans="1:5" ht="12" customHeight="1" x14ac:dyDescent="0.3">
      <c r="A53" s="425" t="s">
        <v>100</v>
      </c>
      <c r="B53" s="426" t="s">
        <v>176</v>
      </c>
      <c r="C53" s="561"/>
      <c r="D53" s="561"/>
      <c r="E53" s="561"/>
    </row>
    <row r="54" spans="1:5" ht="12" customHeight="1" x14ac:dyDescent="0.3">
      <c r="A54" s="425" t="s">
        <v>101</v>
      </c>
      <c r="B54" s="426" t="s">
        <v>53</v>
      </c>
      <c r="C54" s="561"/>
      <c r="D54" s="561"/>
      <c r="E54" s="561"/>
    </row>
    <row r="55" spans="1:5" ht="12" customHeight="1" thickBot="1" x14ac:dyDescent="0.35">
      <c r="A55" s="425" t="s">
        <v>102</v>
      </c>
      <c r="B55" s="426" t="s">
        <v>514</v>
      </c>
      <c r="C55" s="561"/>
      <c r="D55" s="561"/>
      <c r="E55" s="561"/>
    </row>
    <row r="56" spans="1:5" ht="15" customHeight="1" thickBot="1" x14ac:dyDescent="0.35">
      <c r="A56" s="430" t="s">
        <v>16</v>
      </c>
      <c r="B56" s="431" t="s">
        <v>10</v>
      </c>
      <c r="C56" s="552"/>
      <c r="D56" s="552"/>
      <c r="E56" s="552"/>
    </row>
    <row r="57" spans="1:5" ht="13.5" thickBot="1" x14ac:dyDescent="0.35">
      <c r="A57" s="430" t="s">
        <v>17</v>
      </c>
      <c r="B57" s="445" t="s">
        <v>519</v>
      </c>
      <c r="C57" s="562">
        <f>+C45+C51+C56</f>
        <v>0</v>
      </c>
      <c r="D57" s="562">
        <f>+D45+D51+D56</f>
        <v>0</v>
      </c>
      <c r="E57" s="562">
        <f>+E45+E51+E56</f>
        <v>0</v>
      </c>
    </row>
    <row r="58" spans="1:5" ht="15" customHeight="1" thickBot="1" x14ac:dyDescent="0.35">
      <c r="C58" s="836"/>
      <c r="D58" s="836"/>
      <c r="E58" s="836"/>
    </row>
    <row r="59" spans="1:5" ht="14.25" customHeight="1" thickBot="1" x14ac:dyDescent="0.35">
      <c r="A59" s="446" t="s">
        <v>509</v>
      </c>
      <c r="B59" s="447"/>
      <c r="C59" s="563"/>
      <c r="D59" s="563"/>
      <c r="E59" s="563"/>
    </row>
    <row r="60" spans="1:5" ht="13.5" thickBot="1" x14ac:dyDescent="0.35">
      <c r="A60" s="446" t="s">
        <v>194</v>
      </c>
      <c r="B60" s="447"/>
      <c r="C60" s="563"/>
      <c r="D60" s="563"/>
      <c r="E60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>
    <oddFooter>&amp;P. oldal, összesen: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27">
    <tabColor rgb="FFFFFF00"/>
  </sheetPr>
  <dimension ref="A1:G26"/>
  <sheetViews>
    <sheetView zoomScaleNormal="100" workbookViewId="0">
      <selection activeCell="D9" sqref="D9"/>
    </sheetView>
  </sheetViews>
  <sheetFormatPr defaultColWidth="9.296875" defaultRowHeight="13" x14ac:dyDescent="0.3"/>
  <cols>
    <col min="1" max="1" width="5.5" style="207" customWidth="1"/>
    <col min="2" max="2" width="33.19921875" style="207" customWidth="1"/>
    <col min="3" max="3" width="12.296875" style="207" customWidth="1"/>
    <col min="4" max="4" width="11.5" style="207" customWidth="1"/>
    <col min="5" max="5" width="11.296875" style="207" customWidth="1"/>
    <col min="6" max="6" width="11" style="207" customWidth="1"/>
    <col min="7" max="7" width="14.296875" style="207" customWidth="1"/>
    <col min="8" max="16384" width="9.296875" style="207"/>
  </cols>
  <sheetData>
    <row r="1" spans="1:7" ht="43.5" customHeight="1" x14ac:dyDescent="0.3">
      <c r="A1" s="948" t="s">
        <v>1</v>
      </c>
      <c r="B1" s="948"/>
      <c r="C1" s="948"/>
      <c r="D1" s="948"/>
      <c r="E1" s="948"/>
      <c r="F1" s="948"/>
      <c r="G1" s="948"/>
    </row>
    <row r="3" spans="1:7" s="263" customFormat="1" ht="27" customHeight="1" x14ac:dyDescent="0.35">
      <c r="A3" s="261" t="s">
        <v>198</v>
      </c>
      <c r="B3" s="262"/>
      <c r="C3" s="947" t="s">
        <v>535</v>
      </c>
      <c r="D3" s="947"/>
      <c r="E3" s="947"/>
      <c r="F3" s="947"/>
      <c r="G3" s="947"/>
    </row>
    <row r="4" spans="1:7" s="263" customFormat="1" ht="15.5" x14ac:dyDescent="0.35">
      <c r="A4" s="262"/>
      <c r="B4" s="262"/>
      <c r="C4" s="262"/>
      <c r="D4" s="262"/>
      <c r="E4" s="262"/>
      <c r="F4" s="262"/>
      <c r="G4" s="262"/>
    </row>
    <row r="5" spans="1:7" s="263" customFormat="1" ht="24.75" customHeight="1" x14ac:dyDescent="0.35">
      <c r="A5" s="261" t="s">
        <v>199</v>
      </c>
      <c r="B5" s="262"/>
      <c r="C5" s="947" t="s">
        <v>552</v>
      </c>
      <c r="D5" s="947"/>
      <c r="E5" s="947"/>
      <c r="F5" s="947"/>
      <c r="G5" s="262"/>
    </row>
    <row r="6" spans="1:7" s="264" customFormat="1" x14ac:dyDescent="0.3">
      <c r="A6" s="206"/>
      <c r="B6" s="206"/>
      <c r="C6" s="206"/>
      <c r="D6" s="206"/>
      <c r="E6" s="206"/>
      <c r="F6" s="206"/>
      <c r="G6" s="206"/>
    </row>
    <row r="7" spans="1:7" s="267" customFormat="1" ht="15" customHeight="1" x14ac:dyDescent="0.3">
      <c r="A7" s="949" t="s">
        <v>652</v>
      </c>
      <c r="B7" s="949"/>
      <c r="C7" s="949"/>
      <c r="D7" s="949"/>
      <c r="E7" s="266"/>
      <c r="F7" s="266"/>
      <c r="G7" s="266"/>
    </row>
    <row r="8" spans="1:7" s="267" customFormat="1" ht="15" customHeight="1" thickBot="1" x14ac:dyDescent="0.35">
      <c r="A8" s="265" t="s">
        <v>200</v>
      </c>
      <c r="B8" s="266"/>
      <c r="C8" s="266"/>
      <c r="D8" s="266"/>
      <c r="E8" s="266"/>
      <c r="F8" s="266"/>
      <c r="G8" s="266"/>
    </row>
    <row r="9" spans="1:7" s="271" customFormat="1" ht="42" customHeight="1" thickBot="1" x14ac:dyDescent="0.35">
      <c r="A9" s="268" t="s">
        <v>12</v>
      </c>
      <c r="B9" s="269" t="s">
        <v>201</v>
      </c>
      <c r="C9" s="269" t="s">
        <v>202</v>
      </c>
      <c r="D9" s="269" t="s">
        <v>203</v>
      </c>
      <c r="E9" s="269" t="s">
        <v>204</v>
      </c>
      <c r="F9" s="269" t="s">
        <v>205</v>
      </c>
      <c r="G9" s="270" t="s">
        <v>48</v>
      </c>
    </row>
    <row r="10" spans="1:7" ht="24" customHeight="1" x14ac:dyDescent="0.3">
      <c r="A10" s="272" t="s">
        <v>14</v>
      </c>
      <c r="B10" s="273" t="s">
        <v>206</v>
      </c>
      <c r="C10" s="274"/>
      <c r="D10" s="274"/>
      <c r="E10" s="274"/>
      <c r="F10" s="274"/>
      <c r="G10" s="275">
        <f>SUM(C10:F10)</f>
        <v>0</v>
      </c>
    </row>
    <row r="11" spans="1:7" ht="24" customHeight="1" x14ac:dyDescent="0.3">
      <c r="A11" s="276" t="s">
        <v>15</v>
      </c>
      <c r="B11" s="277" t="s">
        <v>207</v>
      </c>
      <c r="C11" s="278"/>
      <c r="D11" s="278"/>
      <c r="E11" s="278"/>
      <c r="F11" s="278"/>
      <c r="G11" s="279">
        <f t="shared" ref="G11:G16" si="0">SUM(C11:F11)</f>
        <v>0</v>
      </c>
    </row>
    <row r="12" spans="1:7" ht="24" customHeight="1" x14ac:dyDescent="0.3">
      <c r="A12" s="276" t="s">
        <v>16</v>
      </c>
      <c r="B12" s="277" t="s">
        <v>208</v>
      </c>
      <c r="C12" s="278"/>
      <c r="D12" s="278"/>
      <c r="E12" s="278"/>
      <c r="F12" s="278"/>
      <c r="G12" s="279">
        <f t="shared" si="0"/>
        <v>0</v>
      </c>
    </row>
    <row r="13" spans="1:7" ht="24" customHeight="1" x14ac:dyDescent="0.3">
      <c r="A13" s="276" t="s">
        <v>17</v>
      </c>
      <c r="B13" s="277" t="s">
        <v>209</v>
      </c>
      <c r="C13" s="278"/>
      <c r="D13" s="278"/>
      <c r="E13" s="278"/>
      <c r="F13" s="278"/>
      <c r="G13" s="279">
        <f t="shared" si="0"/>
        <v>0</v>
      </c>
    </row>
    <row r="14" spans="1:7" ht="24" customHeight="1" x14ac:dyDescent="0.3">
      <c r="A14" s="276" t="s">
        <v>18</v>
      </c>
      <c r="B14" s="277" t="s">
        <v>210</v>
      </c>
      <c r="C14" s="278"/>
      <c r="D14" s="278"/>
      <c r="E14" s="278"/>
      <c r="F14" s="278"/>
      <c r="G14" s="279">
        <f t="shared" si="0"/>
        <v>0</v>
      </c>
    </row>
    <row r="15" spans="1:7" ht="24" customHeight="1" thickBot="1" x14ac:dyDescent="0.35">
      <c r="A15" s="280" t="s">
        <v>19</v>
      </c>
      <c r="B15" s="281" t="s">
        <v>211</v>
      </c>
      <c r="C15" s="282"/>
      <c r="D15" s="282"/>
      <c r="E15" s="282"/>
      <c r="F15" s="282"/>
      <c r="G15" s="283">
        <f t="shared" si="0"/>
        <v>0</v>
      </c>
    </row>
    <row r="16" spans="1:7" s="288" customFormat="1" ht="24" customHeight="1" thickBot="1" x14ac:dyDescent="0.35">
      <c r="A16" s="284" t="s">
        <v>20</v>
      </c>
      <c r="B16" s="285" t="s">
        <v>48</v>
      </c>
      <c r="C16" s="286">
        <f>SUM(C10:C15)</f>
        <v>0</v>
      </c>
      <c r="D16" s="286">
        <f>SUM(D10:D15)</f>
        <v>0</v>
      </c>
      <c r="E16" s="286">
        <f>SUM(E10:E15)</f>
        <v>0</v>
      </c>
      <c r="F16" s="286">
        <f>SUM(F10:F15)</f>
        <v>0</v>
      </c>
      <c r="G16" s="287">
        <f t="shared" si="0"/>
        <v>0</v>
      </c>
    </row>
    <row r="17" spans="1:7" s="264" customFormat="1" x14ac:dyDescent="0.3">
      <c r="A17" s="206"/>
      <c r="B17" s="206"/>
      <c r="C17" s="206"/>
      <c r="D17" s="206"/>
      <c r="E17" s="206"/>
      <c r="F17" s="206"/>
      <c r="G17" s="206"/>
    </row>
    <row r="18" spans="1:7" s="264" customFormat="1" x14ac:dyDescent="0.3">
      <c r="A18" s="206"/>
      <c r="B18" s="206"/>
      <c r="C18" s="206"/>
      <c r="D18" s="206"/>
      <c r="E18" s="206"/>
      <c r="F18" s="206"/>
      <c r="G18" s="206"/>
    </row>
    <row r="19" spans="1:7" s="264" customFormat="1" x14ac:dyDescent="0.3">
      <c r="A19" s="206"/>
      <c r="B19" s="206"/>
      <c r="C19" s="206"/>
      <c r="D19" s="206"/>
      <c r="E19" s="206"/>
      <c r="F19" s="206"/>
      <c r="G19" s="206"/>
    </row>
    <row r="20" spans="1:7" s="264" customFormat="1" ht="15.5" x14ac:dyDescent="0.35">
      <c r="A20" s="263" t="s">
        <v>635</v>
      </c>
      <c r="B20" s="206"/>
      <c r="C20" s="206"/>
      <c r="D20" s="206"/>
      <c r="E20" s="206"/>
      <c r="F20" s="206"/>
      <c r="G20" s="206"/>
    </row>
    <row r="21" spans="1:7" s="264" customFormat="1" x14ac:dyDescent="0.3">
      <c r="A21" s="206"/>
      <c r="B21" s="206"/>
      <c r="C21" s="206"/>
      <c r="D21" s="206"/>
      <c r="E21" s="206"/>
      <c r="F21" s="206"/>
      <c r="G21" s="206"/>
    </row>
    <row r="22" spans="1:7" x14ac:dyDescent="0.3">
      <c r="A22" s="206"/>
      <c r="B22" s="206"/>
      <c r="C22" s="206"/>
      <c r="D22" s="206"/>
      <c r="E22" s="206"/>
      <c r="F22" s="206"/>
      <c r="G22" s="206"/>
    </row>
    <row r="23" spans="1:7" x14ac:dyDescent="0.3">
      <c r="A23" s="206"/>
      <c r="B23" s="206"/>
      <c r="C23" s="264"/>
      <c r="D23" s="264"/>
      <c r="E23" s="264"/>
      <c r="F23" s="264"/>
      <c r="G23" s="206"/>
    </row>
    <row r="24" spans="1:7" ht="13.5" x14ac:dyDescent="0.35">
      <c r="A24" s="206"/>
      <c r="B24" s="206"/>
      <c r="C24" s="289"/>
      <c r="D24" s="290" t="s">
        <v>212</v>
      </c>
      <c r="E24" s="290"/>
      <c r="F24" s="289"/>
      <c r="G24" s="206"/>
    </row>
    <row r="25" spans="1:7" ht="13.5" x14ac:dyDescent="0.35">
      <c r="C25" s="291"/>
      <c r="D25" s="292"/>
      <c r="E25" s="292"/>
      <c r="F25" s="291"/>
    </row>
    <row r="26" spans="1:7" ht="13.5" x14ac:dyDescent="0.35">
      <c r="C26" s="291"/>
      <c r="D26" s="292"/>
      <c r="E26" s="292"/>
      <c r="F26" s="291"/>
    </row>
  </sheetData>
  <mergeCells count="4">
    <mergeCell ref="C3:G3"/>
    <mergeCell ref="C5:F5"/>
    <mergeCell ref="A1:G1"/>
    <mergeCell ref="A7:D7"/>
  </mergeCells>
  <phoneticPr fontId="5" type="noConversion"/>
  <printOptions horizontalCentered="1"/>
  <pageMargins left="0.78740157480314965" right="0.78740157480314965" top="1.06" bottom="0.98425196850393704" header="0.78740157480314965" footer="0.78740157480314965"/>
  <pageSetup paperSize="9" scale="96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28">
    <tabColor rgb="FFFFFF00"/>
  </sheetPr>
  <dimension ref="A1:G169"/>
  <sheetViews>
    <sheetView zoomScaleNormal="100" zoomScaleSheetLayoutView="100" workbookViewId="0">
      <selection activeCell="G117" sqref="G117"/>
    </sheetView>
  </sheetViews>
  <sheetFormatPr defaultColWidth="9.296875" defaultRowHeight="13" x14ac:dyDescent="0.3"/>
  <cols>
    <col min="1" max="1" width="8" style="831" bestFit="1" customWidth="1"/>
    <col min="2" max="2" width="71.69921875" style="831" bestFit="1" customWidth="1"/>
    <col min="3" max="3" width="14.296875" style="832" customWidth="1"/>
    <col min="4" max="4" width="14.296875" style="831" customWidth="1"/>
    <col min="5" max="7" width="18.796875" style="831" customWidth="1"/>
    <col min="8" max="16384" width="9.296875" style="831"/>
  </cols>
  <sheetData>
    <row r="1" spans="1:7" ht="16" customHeight="1" x14ac:dyDescent="0.3">
      <c r="A1" s="950" t="s">
        <v>11</v>
      </c>
      <c r="B1" s="950"/>
      <c r="C1" s="950"/>
      <c r="D1" s="950"/>
    </row>
    <row r="2" spans="1:7" ht="16" customHeight="1" thickBot="1" x14ac:dyDescent="0.35">
      <c r="A2" s="952" t="s">
        <v>142</v>
      </c>
      <c r="B2" s="952"/>
      <c r="D2" s="635"/>
      <c r="E2" s="516" t="s">
        <v>579</v>
      </c>
      <c r="F2" s="516" t="s">
        <v>579</v>
      </c>
      <c r="G2" s="516" t="s">
        <v>579</v>
      </c>
    </row>
    <row r="3" spans="1:7" ht="38.15" customHeight="1" thickBot="1" x14ac:dyDescent="0.35">
      <c r="A3" s="218" t="s">
        <v>64</v>
      </c>
      <c r="B3" s="219" t="s">
        <v>13</v>
      </c>
      <c r="C3" s="219" t="s">
        <v>653</v>
      </c>
      <c r="D3" s="652" t="s">
        <v>654</v>
      </c>
      <c r="E3" s="517" t="s">
        <v>640</v>
      </c>
      <c r="F3" s="517" t="s">
        <v>724</v>
      </c>
      <c r="G3" s="654" t="s">
        <v>730</v>
      </c>
    </row>
    <row r="4" spans="1:7" s="220" customFormat="1" ht="12" customHeight="1" thickBot="1" x14ac:dyDescent="0.35">
      <c r="A4" s="218" t="s">
        <v>482</v>
      </c>
      <c r="B4" s="219" t="s">
        <v>483</v>
      </c>
      <c r="C4" s="219" t="s">
        <v>484</v>
      </c>
      <c r="D4" s="219" t="s">
        <v>486</v>
      </c>
      <c r="E4" s="518" t="s">
        <v>485</v>
      </c>
      <c r="F4" s="518" t="s">
        <v>485</v>
      </c>
      <c r="G4" s="518" t="s">
        <v>485</v>
      </c>
    </row>
    <row r="5" spans="1:7" s="220" customFormat="1" ht="12" customHeight="1" thickBot="1" x14ac:dyDescent="0.35">
      <c r="A5" s="221" t="s">
        <v>14</v>
      </c>
      <c r="B5" s="222" t="s">
        <v>241</v>
      </c>
      <c r="C5" s="519">
        <f>+C6+C7+C8+C9+C10+C11</f>
        <v>249841722</v>
      </c>
      <c r="D5" s="519">
        <f>+D6+D7+D8+D9+D10+D11</f>
        <v>262572971</v>
      </c>
      <c r="E5" s="519">
        <f>+E6+E7+E8+E9+E10+E11</f>
        <v>229497311</v>
      </c>
      <c r="F5" s="519">
        <f>+F6+F7+F8+F9+F10+F11</f>
        <v>239534121</v>
      </c>
      <c r="G5" s="536">
        <f>+G6+G7+G8+G9+G10+G11</f>
        <v>217756969</v>
      </c>
    </row>
    <row r="6" spans="1:7" s="220" customFormat="1" ht="12" customHeight="1" x14ac:dyDescent="0.3">
      <c r="A6" s="223" t="s">
        <v>93</v>
      </c>
      <c r="B6" s="112" t="s">
        <v>242</v>
      </c>
      <c r="C6" s="637">
        <v>117996462</v>
      </c>
      <c r="D6" s="637">
        <v>121324206</v>
      </c>
      <c r="E6" s="520">
        <v>119931664</v>
      </c>
      <c r="F6" s="520">
        <f>119931664+9701500</f>
        <v>129633164</v>
      </c>
      <c r="G6" s="533">
        <f>119931664+9701500+189566+243701-21207500</f>
        <v>108858931</v>
      </c>
    </row>
    <row r="7" spans="1:7" s="220" customFormat="1" ht="12" customHeight="1" x14ac:dyDescent="0.3">
      <c r="A7" s="224" t="s">
        <v>94</v>
      </c>
      <c r="B7" s="113" t="s">
        <v>243</v>
      </c>
      <c r="C7" s="638">
        <v>57292900</v>
      </c>
      <c r="D7" s="638">
        <v>65887942</v>
      </c>
      <c r="E7" s="521">
        <v>64851900</v>
      </c>
      <c r="F7" s="521">
        <v>64851900</v>
      </c>
      <c r="G7" s="528">
        <f>64851900-29220</f>
        <v>64822680</v>
      </c>
    </row>
    <row r="8" spans="1:7" s="220" customFormat="1" ht="12" customHeight="1" x14ac:dyDescent="0.3">
      <c r="A8" s="224" t="s">
        <v>95</v>
      </c>
      <c r="B8" s="113" t="s">
        <v>244</v>
      </c>
      <c r="C8" s="638">
        <v>40752031</v>
      </c>
      <c r="D8" s="638">
        <v>38574306</v>
      </c>
      <c r="E8" s="521">
        <v>41522446</v>
      </c>
      <c r="F8" s="521">
        <v>41522446</v>
      </c>
      <c r="G8" s="528">
        <f>41522446-1631440</f>
        <v>39891006</v>
      </c>
    </row>
    <row r="9" spans="1:7" s="220" customFormat="1" ht="12" customHeight="1" x14ac:dyDescent="0.3">
      <c r="A9" s="224" t="s">
        <v>96</v>
      </c>
      <c r="B9" s="113" t="s">
        <v>245</v>
      </c>
      <c r="C9" s="638">
        <v>4635145</v>
      </c>
      <c r="D9" s="638">
        <v>4906867</v>
      </c>
      <c r="E9" s="521">
        <v>3191301</v>
      </c>
      <c r="F9" s="521">
        <v>3191301</v>
      </c>
      <c r="G9" s="528">
        <f>3191301+632000+145744+215307</f>
        <v>4184352</v>
      </c>
    </row>
    <row r="10" spans="1:7" s="220" customFormat="1" ht="12" customHeight="1" x14ac:dyDescent="0.3">
      <c r="A10" s="224" t="s">
        <v>139</v>
      </c>
      <c r="B10" s="225" t="s">
        <v>425</v>
      </c>
      <c r="C10" s="638">
        <v>29165184</v>
      </c>
      <c r="D10" s="638">
        <v>31879650</v>
      </c>
      <c r="E10" s="521"/>
      <c r="F10" s="521">
        <f>189566+145744</f>
        <v>335310</v>
      </c>
      <c r="G10" s="528">
        <f>189566+145744-189566-145744</f>
        <v>0</v>
      </c>
    </row>
    <row r="11" spans="1:7" s="220" customFormat="1" ht="12" customHeight="1" thickBot="1" x14ac:dyDescent="0.35">
      <c r="A11" s="226" t="s">
        <v>97</v>
      </c>
      <c r="B11" s="227" t="s">
        <v>426</v>
      </c>
      <c r="C11" s="638"/>
      <c r="D11" s="638"/>
      <c r="E11" s="521"/>
      <c r="F11" s="521"/>
      <c r="G11" s="528"/>
    </row>
    <row r="12" spans="1:7" s="220" customFormat="1" ht="12" customHeight="1" thickBot="1" x14ac:dyDescent="0.35">
      <c r="A12" s="221" t="s">
        <v>15</v>
      </c>
      <c r="B12" s="228" t="s">
        <v>246</v>
      </c>
      <c r="C12" s="525">
        <f>+C13+C14+C15+C16+C17</f>
        <v>34915162</v>
      </c>
      <c r="D12" s="525">
        <f>+D13+D14+D15+D16+D17</f>
        <v>56999248</v>
      </c>
      <c r="E12" s="519">
        <f>+E13+E14+E15+E16+E17</f>
        <v>86368865</v>
      </c>
      <c r="F12" s="519">
        <f>+F13+F14+F15+F16+F17</f>
        <v>85253068</v>
      </c>
      <c r="G12" s="519">
        <f>+G13+G14+G15+G16+G17</f>
        <v>85834135</v>
      </c>
    </row>
    <row r="13" spans="1:7" s="220" customFormat="1" ht="12" customHeight="1" x14ac:dyDescent="0.3">
      <c r="A13" s="223" t="s">
        <v>99</v>
      </c>
      <c r="B13" s="112" t="s">
        <v>247</v>
      </c>
      <c r="C13" s="637"/>
      <c r="D13" s="637"/>
      <c r="E13" s="520"/>
      <c r="F13" s="520"/>
      <c r="G13" s="520"/>
    </row>
    <row r="14" spans="1:7" s="220" customFormat="1" ht="12" customHeight="1" x14ac:dyDescent="0.3">
      <c r="A14" s="224" t="s">
        <v>100</v>
      </c>
      <c r="B14" s="113" t="s">
        <v>248</v>
      </c>
      <c r="C14" s="638"/>
      <c r="D14" s="638"/>
      <c r="E14" s="521"/>
      <c r="F14" s="521"/>
      <c r="G14" s="521"/>
    </row>
    <row r="15" spans="1:7" s="220" customFormat="1" ht="12" customHeight="1" x14ac:dyDescent="0.3">
      <c r="A15" s="224" t="s">
        <v>101</v>
      </c>
      <c r="B15" s="113" t="s">
        <v>415</v>
      </c>
      <c r="C15" s="638"/>
      <c r="D15" s="638"/>
      <c r="E15" s="521"/>
      <c r="F15" s="521"/>
      <c r="G15" s="521"/>
    </row>
    <row r="16" spans="1:7" s="220" customFormat="1" ht="12" customHeight="1" x14ac:dyDescent="0.3">
      <c r="A16" s="224" t="s">
        <v>102</v>
      </c>
      <c r="B16" s="113" t="s">
        <v>416</v>
      </c>
      <c r="C16" s="638"/>
      <c r="D16" s="638"/>
      <c r="E16" s="521"/>
      <c r="F16" s="521"/>
      <c r="G16" s="521"/>
    </row>
    <row r="17" spans="1:7" s="220" customFormat="1" ht="12" customHeight="1" x14ac:dyDescent="0.3">
      <c r="A17" s="224" t="s">
        <v>103</v>
      </c>
      <c r="B17" s="113" t="s">
        <v>249</v>
      </c>
      <c r="C17" s="638">
        <v>34915162</v>
      </c>
      <c r="D17" s="638">
        <v>56999248</v>
      </c>
      <c r="E17" s="521">
        <v>86368865</v>
      </c>
      <c r="F17" s="521">
        <f>86368865-3379392+1986068+277527</f>
        <v>85253068</v>
      </c>
      <c r="G17" s="521">
        <f>86368865-3379392+1986068+277527+75000+379473+284369+140809-241702+1560482+1551000+1135050-3748146-1055268+500000</f>
        <v>85834135</v>
      </c>
    </row>
    <row r="18" spans="1:7" s="220" customFormat="1" ht="12" customHeight="1" thickBot="1" x14ac:dyDescent="0.35">
      <c r="A18" s="226" t="s">
        <v>112</v>
      </c>
      <c r="B18" s="227" t="s">
        <v>250</v>
      </c>
      <c r="C18" s="639"/>
      <c r="D18" s="639"/>
      <c r="E18" s="522"/>
      <c r="F18" s="522"/>
      <c r="G18" s="522"/>
    </row>
    <row r="19" spans="1:7" s="220" customFormat="1" ht="12" customHeight="1" thickBot="1" x14ac:dyDescent="0.35">
      <c r="A19" s="221" t="s">
        <v>16</v>
      </c>
      <c r="B19" s="222" t="s">
        <v>251</v>
      </c>
      <c r="C19" s="519">
        <f>+C20+C21+C22+C23+C24</f>
        <v>34251452</v>
      </c>
      <c r="D19" s="519">
        <f>+D20+D21+D22+D23+D24</f>
        <v>262612388</v>
      </c>
      <c r="E19" s="519">
        <f>+E20+E21+E22+E23+E24</f>
        <v>62734377</v>
      </c>
      <c r="F19" s="519">
        <f>+F20+F21+F22+F23+F24</f>
        <v>62734377</v>
      </c>
      <c r="G19" s="519">
        <f>+G20+G21+G22+G23+G24</f>
        <v>62570704</v>
      </c>
    </row>
    <row r="20" spans="1:7" s="220" customFormat="1" ht="12" customHeight="1" x14ac:dyDescent="0.3">
      <c r="A20" s="223" t="s">
        <v>82</v>
      </c>
      <c r="B20" s="112" t="s">
        <v>252</v>
      </c>
      <c r="C20" s="638">
        <v>506728</v>
      </c>
      <c r="D20" s="638">
        <v>458000</v>
      </c>
      <c r="E20" s="520"/>
      <c r="F20" s="520"/>
      <c r="G20" s="520"/>
    </row>
    <row r="21" spans="1:7" s="220" customFormat="1" ht="12" customHeight="1" x14ac:dyDescent="0.3">
      <c r="A21" s="224" t="s">
        <v>83</v>
      </c>
      <c r="B21" s="113" t="s">
        <v>253</v>
      </c>
      <c r="C21" s="638"/>
      <c r="D21" s="638"/>
      <c r="E21" s="521"/>
      <c r="F21" s="521"/>
      <c r="G21" s="521"/>
    </row>
    <row r="22" spans="1:7" s="220" customFormat="1" ht="12" customHeight="1" x14ac:dyDescent="0.3">
      <c r="A22" s="224" t="s">
        <v>84</v>
      </c>
      <c r="B22" s="113" t="s">
        <v>417</v>
      </c>
      <c r="C22" s="638"/>
      <c r="D22" s="638"/>
      <c r="E22" s="521"/>
      <c r="F22" s="521"/>
      <c r="G22" s="521"/>
    </row>
    <row r="23" spans="1:7" s="220" customFormat="1" ht="12" customHeight="1" x14ac:dyDescent="0.3">
      <c r="A23" s="224" t="s">
        <v>85</v>
      </c>
      <c r="B23" s="113" t="s">
        <v>418</v>
      </c>
      <c r="C23" s="638"/>
      <c r="D23" s="638"/>
      <c r="E23" s="521"/>
      <c r="F23" s="521"/>
      <c r="G23" s="521"/>
    </row>
    <row r="24" spans="1:7" s="220" customFormat="1" ht="12" customHeight="1" x14ac:dyDescent="0.3">
      <c r="A24" s="224" t="s">
        <v>160</v>
      </c>
      <c r="B24" s="113" t="s">
        <v>254</v>
      </c>
      <c r="C24" s="638">
        <v>33744724</v>
      </c>
      <c r="D24" s="638">
        <v>262154388</v>
      </c>
      <c r="E24" s="521">
        <v>62734377</v>
      </c>
      <c r="F24" s="521">
        <v>62734377</v>
      </c>
      <c r="G24" s="521">
        <f>62734377-163673</f>
        <v>62570704</v>
      </c>
    </row>
    <row r="25" spans="1:7" s="220" customFormat="1" ht="12" customHeight="1" thickBot="1" x14ac:dyDescent="0.35">
      <c r="A25" s="226" t="s">
        <v>161</v>
      </c>
      <c r="B25" s="115" t="s">
        <v>255</v>
      </c>
      <c r="C25" s="639"/>
      <c r="D25" s="639"/>
      <c r="E25" s="522"/>
      <c r="F25" s="522"/>
      <c r="G25" s="522"/>
    </row>
    <row r="26" spans="1:7" s="220" customFormat="1" ht="12" customHeight="1" thickBot="1" x14ac:dyDescent="0.35">
      <c r="A26" s="221" t="s">
        <v>162</v>
      </c>
      <c r="B26" s="222" t="s">
        <v>256</v>
      </c>
      <c r="C26" s="525">
        <f>+C27+C31+C32+C33</f>
        <v>149056011</v>
      </c>
      <c r="D26" s="525">
        <f>+D27+D31+D32+D33</f>
        <v>158170127</v>
      </c>
      <c r="E26" s="519">
        <f>+E27+E31+E32+E33</f>
        <v>161200000</v>
      </c>
      <c r="F26" s="519">
        <f>+F27+F31+F32+F33</f>
        <v>161200000</v>
      </c>
      <c r="G26" s="519">
        <f>+G27+G31+G32+G33</f>
        <v>115200000</v>
      </c>
    </row>
    <row r="27" spans="1:7" s="220" customFormat="1" ht="12" customHeight="1" x14ac:dyDescent="0.3">
      <c r="A27" s="223" t="s">
        <v>257</v>
      </c>
      <c r="B27" s="112" t="s">
        <v>432</v>
      </c>
      <c r="C27" s="640">
        <f>C28+C29+C30</f>
        <v>108691243</v>
      </c>
      <c r="D27" s="640">
        <f>D28+D29+D30</f>
        <v>116558264</v>
      </c>
      <c r="E27" s="523">
        <f>E28+E29+E30</f>
        <v>120000000</v>
      </c>
      <c r="F27" s="523">
        <f>F28+F29+F30</f>
        <v>120000000</v>
      </c>
      <c r="G27" s="523">
        <f>G28+G29+G30</f>
        <v>105000000</v>
      </c>
    </row>
    <row r="28" spans="1:7" s="220" customFormat="1" ht="12" customHeight="1" x14ac:dyDescent="0.3">
      <c r="A28" s="224" t="s">
        <v>258</v>
      </c>
      <c r="B28" s="113" t="s">
        <v>590</v>
      </c>
      <c r="C28" s="638">
        <v>60314873</v>
      </c>
      <c r="D28" s="638">
        <v>59788928</v>
      </c>
      <c r="E28" s="521">
        <v>75000000</v>
      </c>
      <c r="F28" s="521">
        <v>75000000</v>
      </c>
      <c r="G28" s="521">
        <v>75000000</v>
      </c>
    </row>
    <row r="29" spans="1:7" s="220" customFormat="1" ht="12" customHeight="1" x14ac:dyDescent="0.3">
      <c r="A29" s="224" t="s">
        <v>259</v>
      </c>
      <c r="B29" s="113" t="s">
        <v>591</v>
      </c>
      <c r="C29" s="638"/>
      <c r="D29" s="638"/>
      <c r="E29" s="521"/>
      <c r="F29" s="521"/>
      <c r="G29" s="521"/>
    </row>
    <row r="30" spans="1:7" s="220" customFormat="1" ht="12" customHeight="1" x14ac:dyDescent="0.3">
      <c r="A30" s="224" t="s">
        <v>430</v>
      </c>
      <c r="B30" s="114" t="s">
        <v>431</v>
      </c>
      <c r="C30" s="638">
        <v>48376370</v>
      </c>
      <c r="D30" s="638">
        <v>56769336</v>
      </c>
      <c r="E30" s="521">
        <v>45000000</v>
      </c>
      <c r="F30" s="521">
        <v>45000000</v>
      </c>
      <c r="G30" s="521">
        <f>45000000-7000000-8000000</f>
        <v>30000000</v>
      </c>
    </row>
    <row r="31" spans="1:7" s="220" customFormat="1" ht="12" customHeight="1" x14ac:dyDescent="0.3">
      <c r="A31" s="224" t="s">
        <v>260</v>
      </c>
      <c r="B31" s="113" t="s">
        <v>265</v>
      </c>
      <c r="C31" s="638">
        <v>9700935</v>
      </c>
      <c r="D31" s="638">
        <v>10194070</v>
      </c>
      <c r="E31" s="521">
        <v>9000000</v>
      </c>
      <c r="F31" s="521">
        <v>9000000</v>
      </c>
      <c r="G31" s="521">
        <f>9000000-9000000</f>
        <v>0</v>
      </c>
    </row>
    <row r="32" spans="1:7" s="220" customFormat="1" ht="12" customHeight="1" x14ac:dyDescent="0.3">
      <c r="A32" s="224" t="s">
        <v>261</v>
      </c>
      <c r="B32" s="113" t="s">
        <v>574</v>
      </c>
      <c r="C32" s="638">
        <v>29454800</v>
      </c>
      <c r="D32" s="638">
        <v>30586260</v>
      </c>
      <c r="E32" s="521">
        <v>32000000</v>
      </c>
      <c r="F32" s="521">
        <v>32000000</v>
      </c>
      <c r="G32" s="521">
        <f>32000000-17000000-5000000</f>
        <v>10000000</v>
      </c>
    </row>
    <row r="33" spans="1:7" s="220" customFormat="1" ht="12" customHeight="1" thickBot="1" x14ac:dyDescent="0.35">
      <c r="A33" s="226" t="s">
        <v>262</v>
      </c>
      <c r="B33" s="115" t="s">
        <v>267</v>
      </c>
      <c r="C33" s="639">
        <v>1209033</v>
      </c>
      <c r="D33" s="639">
        <v>831533</v>
      </c>
      <c r="E33" s="522">
        <v>200000</v>
      </c>
      <c r="F33" s="522">
        <v>200000</v>
      </c>
      <c r="G33" s="522">
        <v>200000</v>
      </c>
    </row>
    <row r="34" spans="1:7" s="220" customFormat="1" ht="12" customHeight="1" thickBot="1" x14ac:dyDescent="0.35">
      <c r="A34" s="221" t="s">
        <v>18</v>
      </c>
      <c r="B34" s="222" t="s">
        <v>427</v>
      </c>
      <c r="C34" s="525">
        <f>SUM(C35:C45)</f>
        <v>172283173</v>
      </c>
      <c r="D34" s="525">
        <f>SUM(D35:D45)</f>
        <v>170987413</v>
      </c>
      <c r="E34" s="519">
        <f>SUM(E35:E45)</f>
        <v>145231626</v>
      </c>
      <c r="F34" s="519">
        <f>SUM(F35:F45)</f>
        <v>145231626</v>
      </c>
      <c r="G34" s="519">
        <f>SUM(G35:G45)</f>
        <v>125508728</v>
      </c>
    </row>
    <row r="35" spans="1:7" s="220" customFormat="1" ht="12" customHeight="1" x14ac:dyDescent="0.3">
      <c r="A35" s="223" t="s">
        <v>86</v>
      </c>
      <c r="B35" s="112" t="s">
        <v>270</v>
      </c>
      <c r="C35" s="637"/>
      <c r="D35" s="637"/>
      <c r="E35" s="520"/>
      <c r="F35" s="520"/>
      <c r="G35" s="520"/>
    </row>
    <row r="36" spans="1:7" s="220" customFormat="1" ht="12" customHeight="1" x14ac:dyDescent="0.3">
      <c r="A36" s="224" t="s">
        <v>87</v>
      </c>
      <c r="B36" s="113" t="s">
        <v>271</v>
      </c>
      <c r="C36" s="638">
        <v>120822485</v>
      </c>
      <c r="D36" s="638">
        <v>126069583</v>
      </c>
      <c r="E36" s="521">
        <v>102856540</v>
      </c>
      <c r="F36" s="521">
        <v>102856540</v>
      </c>
      <c r="G36" s="521">
        <f>102856540-76700-17000000</f>
        <v>85779840</v>
      </c>
    </row>
    <row r="37" spans="1:7" s="220" customFormat="1" ht="12" customHeight="1" x14ac:dyDescent="0.3">
      <c r="A37" s="224" t="s">
        <v>88</v>
      </c>
      <c r="B37" s="113" t="s">
        <v>272</v>
      </c>
      <c r="C37" s="638">
        <v>1960569</v>
      </c>
      <c r="D37" s="638">
        <v>2550680</v>
      </c>
      <c r="E37" s="521">
        <v>1600000</v>
      </c>
      <c r="F37" s="521">
        <v>1600000</v>
      </c>
      <c r="G37" s="521">
        <v>1600000</v>
      </c>
    </row>
    <row r="38" spans="1:7" s="220" customFormat="1" ht="12" customHeight="1" x14ac:dyDescent="0.3">
      <c r="A38" s="224" t="s">
        <v>164</v>
      </c>
      <c r="B38" s="113" t="s">
        <v>273</v>
      </c>
      <c r="C38" s="638"/>
      <c r="D38" s="638"/>
      <c r="E38" s="521"/>
      <c r="F38" s="521"/>
      <c r="G38" s="521"/>
    </row>
    <row r="39" spans="1:7" s="220" customFormat="1" ht="12" customHeight="1" x14ac:dyDescent="0.3">
      <c r="A39" s="224" t="s">
        <v>165</v>
      </c>
      <c r="B39" s="113" t="s">
        <v>274</v>
      </c>
      <c r="C39" s="638">
        <v>1834116</v>
      </c>
      <c r="D39" s="638">
        <v>1853043</v>
      </c>
      <c r="E39" s="521">
        <v>1500000</v>
      </c>
      <c r="F39" s="521">
        <v>1500000</v>
      </c>
      <c r="G39" s="521">
        <v>1500000</v>
      </c>
    </row>
    <row r="40" spans="1:7" s="220" customFormat="1" ht="12" customHeight="1" x14ac:dyDescent="0.3">
      <c r="A40" s="224" t="s">
        <v>166</v>
      </c>
      <c r="B40" s="113" t="s">
        <v>275</v>
      </c>
      <c r="C40" s="638">
        <v>33738887</v>
      </c>
      <c r="D40" s="638">
        <v>35366857</v>
      </c>
      <c r="E40" s="521">
        <v>28608266</v>
      </c>
      <c r="F40" s="521">
        <v>28608266</v>
      </c>
      <c r="G40" s="521">
        <f>28608266+392396-20709-4590000</f>
        <v>24389953</v>
      </c>
    </row>
    <row r="41" spans="1:7" s="220" customFormat="1" ht="12" customHeight="1" x14ac:dyDescent="0.3">
      <c r="A41" s="224" t="s">
        <v>167</v>
      </c>
      <c r="B41" s="113" t="s">
        <v>276</v>
      </c>
      <c r="C41" s="638">
        <v>13300000</v>
      </c>
      <c r="D41" s="638">
        <v>4316000</v>
      </c>
      <c r="E41" s="521">
        <v>10655820</v>
      </c>
      <c r="F41" s="521">
        <v>10655820</v>
      </c>
      <c r="G41" s="521">
        <v>10655820</v>
      </c>
    </row>
    <row r="42" spans="1:7" s="220" customFormat="1" ht="12" customHeight="1" x14ac:dyDescent="0.3">
      <c r="A42" s="224" t="s">
        <v>168</v>
      </c>
      <c r="B42" s="113" t="s">
        <v>277</v>
      </c>
      <c r="C42" s="638">
        <v>503</v>
      </c>
      <c r="D42" s="638">
        <v>277</v>
      </c>
      <c r="E42" s="521">
        <v>1000</v>
      </c>
      <c r="F42" s="521">
        <v>1000</v>
      </c>
      <c r="G42" s="521">
        <v>1000</v>
      </c>
    </row>
    <row r="43" spans="1:7" s="220" customFormat="1" ht="12" customHeight="1" x14ac:dyDescent="0.3">
      <c r="A43" s="224" t="s">
        <v>268</v>
      </c>
      <c r="B43" s="113" t="s">
        <v>278</v>
      </c>
      <c r="C43" s="638"/>
      <c r="D43" s="638"/>
      <c r="E43" s="521"/>
      <c r="F43" s="521"/>
      <c r="G43" s="521"/>
    </row>
    <row r="44" spans="1:7" s="220" customFormat="1" ht="12" customHeight="1" x14ac:dyDescent="0.3">
      <c r="A44" s="226" t="s">
        <v>269</v>
      </c>
      <c r="B44" s="115" t="s">
        <v>429</v>
      </c>
      <c r="C44" s="639"/>
      <c r="D44" s="639"/>
      <c r="E44" s="522"/>
      <c r="F44" s="522"/>
      <c r="G44" s="522"/>
    </row>
    <row r="45" spans="1:7" s="220" customFormat="1" ht="12" customHeight="1" thickBot="1" x14ac:dyDescent="0.35">
      <c r="A45" s="226" t="s">
        <v>428</v>
      </c>
      <c r="B45" s="227" t="s">
        <v>279</v>
      </c>
      <c r="C45" s="639">
        <v>626613</v>
      </c>
      <c r="D45" s="639">
        <v>830973</v>
      </c>
      <c r="E45" s="522">
        <v>10000</v>
      </c>
      <c r="F45" s="522">
        <v>10000</v>
      </c>
      <c r="G45" s="522">
        <f>10000+1453320+118795</f>
        <v>1582115</v>
      </c>
    </row>
    <row r="46" spans="1:7" s="220" customFormat="1" ht="12" customHeight="1" thickBot="1" x14ac:dyDescent="0.35">
      <c r="A46" s="221" t="s">
        <v>19</v>
      </c>
      <c r="B46" s="222" t="s">
        <v>280</v>
      </c>
      <c r="C46" s="525">
        <f>SUM(C47:C51)</f>
        <v>9574</v>
      </c>
      <c r="D46" s="525">
        <f>SUM(D47:D51)</f>
        <v>7000000</v>
      </c>
      <c r="E46" s="519">
        <f>SUM(E47:E51)</f>
        <v>0</v>
      </c>
      <c r="F46" s="519">
        <f>SUM(F47:F51)</f>
        <v>3151165</v>
      </c>
      <c r="G46" s="519">
        <f>SUM(G47:G51)</f>
        <v>3901165</v>
      </c>
    </row>
    <row r="47" spans="1:7" s="220" customFormat="1" ht="12" customHeight="1" x14ac:dyDescent="0.3">
      <c r="A47" s="223" t="s">
        <v>89</v>
      </c>
      <c r="B47" s="112" t="s">
        <v>284</v>
      </c>
      <c r="C47" s="637"/>
      <c r="D47" s="637"/>
      <c r="E47" s="520"/>
      <c r="F47" s="520"/>
      <c r="G47" s="520"/>
    </row>
    <row r="48" spans="1:7" s="220" customFormat="1" ht="12" customHeight="1" x14ac:dyDescent="0.3">
      <c r="A48" s="224" t="s">
        <v>90</v>
      </c>
      <c r="B48" s="113" t="s">
        <v>285</v>
      </c>
      <c r="C48" s="638"/>
      <c r="D48" s="638">
        <v>7000000</v>
      </c>
      <c r="E48" s="521"/>
      <c r="F48" s="521">
        <v>3151165</v>
      </c>
      <c r="G48" s="521">
        <v>3151165</v>
      </c>
    </row>
    <row r="49" spans="1:7" s="220" customFormat="1" ht="12" customHeight="1" x14ac:dyDescent="0.3">
      <c r="A49" s="224" t="s">
        <v>281</v>
      </c>
      <c r="B49" s="113" t="s">
        <v>286</v>
      </c>
      <c r="C49" s="638"/>
      <c r="D49" s="638"/>
      <c r="E49" s="521"/>
      <c r="F49" s="521"/>
      <c r="G49" s="521">
        <f>750000</f>
        <v>750000</v>
      </c>
    </row>
    <row r="50" spans="1:7" s="220" customFormat="1" ht="12" customHeight="1" x14ac:dyDescent="0.3">
      <c r="A50" s="224" t="s">
        <v>282</v>
      </c>
      <c r="B50" s="113" t="s">
        <v>287</v>
      </c>
      <c r="C50" s="638">
        <v>9574</v>
      </c>
      <c r="D50" s="638"/>
      <c r="E50" s="521"/>
      <c r="F50" s="521"/>
      <c r="G50" s="521"/>
    </row>
    <row r="51" spans="1:7" s="220" customFormat="1" ht="12" customHeight="1" thickBot="1" x14ac:dyDescent="0.35">
      <c r="A51" s="226" t="s">
        <v>283</v>
      </c>
      <c r="B51" s="227" t="s">
        <v>288</v>
      </c>
      <c r="C51" s="639"/>
      <c r="D51" s="639"/>
      <c r="E51" s="522"/>
      <c r="F51" s="522"/>
      <c r="G51" s="522"/>
    </row>
    <row r="52" spans="1:7" s="220" customFormat="1" ht="12" customHeight="1" thickBot="1" x14ac:dyDescent="0.35">
      <c r="A52" s="221" t="s">
        <v>169</v>
      </c>
      <c r="B52" s="222" t="s">
        <v>289</v>
      </c>
      <c r="C52" s="525">
        <f>SUM(C53:C55)</f>
        <v>0</v>
      </c>
      <c r="D52" s="525">
        <f>SUM(D53:D55)</f>
        <v>505503</v>
      </c>
      <c r="E52" s="519">
        <f>SUM(E53:E55)</f>
        <v>0</v>
      </c>
      <c r="F52" s="519">
        <f>SUM(F53:F55)</f>
        <v>0</v>
      </c>
      <c r="G52" s="519">
        <f>SUM(G53:G55)</f>
        <v>0</v>
      </c>
    </row>
    <row r="53" spans="1:7" s="220" customFormat="1" ht="12" customHeight="1" x14ac:dyDescent="0.3">
      <c r="A53" s="223" t="s">
        <v>91</v>
      </c>
      <c r="B53" s="112" t="s">
        <v>290</v>
      </c>
      <c r="C53" s="637"/>
      <c r="D53" s="637"/>
      <c r="E53" s="520"/>
      <c r="F53" s="520"/>
      <c r="G53" s="520"/>
    </row>
    <row r="54" spans="1:7" s="220" customFormat="1" ht="12" customHeight="1" x14ac:dyDescent="0.3">
      <c r="A54" s="224" t="s">
        <v>92</v>
      </c>
      <c r="B54" s="113" t="s">
        <v>419</v>
      </c>
      <c r="C54" s="638"/>
      <c r="D54" s="638"/>
      <c r="E54" s="521"/>
      <c r="F54" s="521"/>
      <c r="G54" s="521"/>
    </row>
    <row r="55" spans="1:7" s="220" customFormat="1" ht="12" customHeight="1" x14ac:dyDescent="0.3">
      <c r="A55" s="224" t="s">
        <v>293</v>
      </c>
      <c r="B55" s="113" t="s">
        <v>291</v>
      </c>
      <c r="C55" s="638"/>
      <c r="D55" s="638">
        <v>505503</v>
      </c>
      <c r="E55" s="521"/>
      <c r="F55" s="521"/>
      <c r="G55" s="521"/>
    </row>
    <row r="56" spans="1:7" s="220" customFormat="1" ht="12" customHeight="1" thickBot="1" x14ac:dyDescent="0.35">
      <c r="A56" s="226" t="s">
        <v>294</v>
      </c>
      <c r="B56" s="227" t="s">
        <v>292</v>
      </c>
      <c r="C56" s="639"/>
      <c r="D56" s="639"/>
      <c r="E56" s="522"/>
      <c r="F56" s="522"/>
      <c r="G56" s="522"/>
    </row>
    <row r="57" spans="1:7" s="220" customFormat="1" ht="12" customHeight="1" thickBot="1" x14ac:dyDescent="0.35">
      <c r="A57" s="221" t="s">
        <v>21</v>
      </c>
      <c r="B57" s="228" t="s">
        <v>295</v>
      </c>
      <c r="C57" s="525">
        <f>SUM(C58:C60)</f>
        <v>110000</v>
      </c>
      <c r="D57" s="525">
        <f>SUM(D58:D60)</f>
        <v>1068261</v>
      </c>
      <c r="E57" s="519">
        <f>SUM(E58:E60)</f>
        <v>500000</v>
      </c>
      <c r="F57" s="519">
        <f>SUM(F58:F60)</f>
        <v>500000</v>
      </c>
      <c r="G57" s="519">
        <f>SUM(G58:G60)</f>
        <v>833248</v>
      </c>
    </row>
    <row r="58" spans="1:7" s="220" customFormat="1" ht="12" customHeight="1" x14ac:dyDescent="0.3">
      <c r="A58" s="223" t="s">
        <v>170</v>
      </c>
      <c r="B58" s="112" t="s">
        <v>297</v>
      </c>
      <c r="C58" s="638"/>
      <c r="D58" s="638"/>
      <c r="E58" s="521"/>
      <c r="F58" s="521"/>
      <c r="G58" s="521"/>
    </row>
    <row r="59" spans="1:7" s="220" customFormat="1" ht="12" customHeight="1" x14ac:dyDescent="0.3">
      <c r="A59" s="224" t="s">
        <v>171</v>
      </c>
      <c r="B59" s="113" t="s">
        <v>420</v>
      </c>
      <c r="C59" s="638">
        <v>110000</v>
      </c>
      <c r="D59" s="638">
        <v>115761</v>
      </c>
      <c r="E59" s="521"/>
      <c r="F59" s="521"/>
      <c r="G59" s="521"/>
    </row>
    <row r="60" spans="1:7" s="220" customFormat="1" ht="12" customHeight="1" x14ac:dyDescent="0.3">
      <c r="A60" s="224" t="s">
        <v>218</v>
      </c>
      <c r="B60" s="113" t="s">
        <v>298</v>
      </c>
      <c r="C60" s="638"/>
      <c r="D60" s="638">
        <v>952500</v>
      </c>
      <c r="E60" s="521">
        <f>500000</f>
        <v>500000</v>
      </c>
      <c r="F60" s="521">
        <f>500000</f>
        <v>500000</v>
      </c>
      <c r="G60" s="521">
        <f>500000+333248</f>
        <v>833248</v>
      </c>
    </row>
    <row r="61" spans="1:7" s="220" customFormat="1" ht="12" customHeight="1" thickBot="1" x14ac:dyDescent="0.35">
      <c r="A61" s="226" t="s">
        <v>296</v>
      </c>
      <c r="B61" s="227" t="s">
        <v>299</v>
      </c>
      <c r="C61" s="638"/>
      <c r="D61" s="638"/>
      <c r="E61" s="521"/>
      <c r="F61" s="521"/>
      <c r="G61" s="521"/>
    </row>
    <row r="62" spans="1:7" s="220" customFormat="1" ht="12" customHeight="1" thickBot="1" x14ac:dyDescent="0.35">
      <c r="A62" s="229" t="s">
        <v>471</v>
      </c>
      <c r="B62" s="222" t="s">
        <v>300</v>
      </c>
      <c r="C62" s="519">
        <f>C5+C12+C19+C26+C34+C46+C52+C57</f>
        <v>640467094</v>
      </c>
      <c r="D62" s="519">
        <f>D5+D12+D19+D26+D34+D46+D52+D57</f>
        <v>919915911</v>
      </c>
      <c r="E62" s="519">
        <f>+E5+E12+E19+E26+E34+E46+E52+E57</f>
        <v>685532179</v>
      </c>
      <c r="F62" s="519">
        <f>+F5+F12+F19+F26+F34+F46+F52+F57</f>
        <v>697604357</v>
      </c>
      <c r="G62" s="519">
        <f>+G5+G12+G19+G26+G34+G46+G52+G57</f>
        <v>611604949</v>
      </c>
    </row>
    <row r="63" spans="1:7" s="220" customFormat="1" ht="12" customHeight="1" thickBot="1" x14ac:dyDescent="0.35">
      <c r="A63" s="230" t="s">
        <v>301</v>
      </c>
      <c r="B63" s="228" t="s">
        <v>533</v>
      </c>
      <c r="C63" s="525">
        <f>SUM(C64:C66)</f>
        <v>0</v>
      </c>
      <c r="D63" s="525">
        <f>SUM(D64:D66)</f>
        <v>0</v>
      </c>
      <c r="E63" s="519">
        <f>SUM(E64:E66)</f>
        <v>0</v>
      </c>
      <c r="F63" s="519">
        <f>SUM(F64:F66)</f>
        <v>0</v>
      </c>
      <c r="G63" s="519">
        <f>SUM(G64:G66)</f>
        <v>0</v>
      </c>
    </row>
    <row r="64" spans="1:7" s="220" customFormat="1" ht="12" customHeight="1" x14ac:dyDescent="0.3">
      <c r="A64" s="223" t="s">
        <v>333</v>
      </c>
      <c r="B64" s="112" t="s">
        <v>303</v>
      </c>
      <c r="C64" s="638"/>
      <c r="D64" s="638"/>
      <c r="E64" s="521"/>
      <c r="F64" s="521"/>
      <c r="G64" s="521"/>
    </row>
    <row r="65" spans="1:7" s="220" customFormat="1" ht="12" customHeight="1" x14ac:dyDescent="0.3">
      <c r="A65" s="224" t="s">
        <v>342</v>
      </c>
      <c r="B65" s="113" t="s">
        <v>304</v>
      </c>
      <c r="C65" s="638"/>
      <c r="D65" s="638"/>
      <c r="E65" s="521"/>
      <c r="F65" s="521"/>
      <c r="G65" s="521"/>
    </row>
    <row r="66" spans="1:7" s="220" customFormat="1" ht="12" customHeight="1" thickBot="1" x14ac:dyDescent="0.35">
      <c r="A66" s="226" t="s">
        <v>343</v>
      </c>
      <c r="B66" s="231" t="s">
        <v>456</v>
      </c>
      <c r="C66" s="638"/>
      <c r="D66" s="638"/>
      <c r="E66" s="521"/>
      <c r="F66" s="521"/>
      <c r="G66" s="521"/>
    </row>
    <row r="67" spans="1:7" s="220" customFormat="1" ht="12" customHeight="1" thickBot="1" x14ac:dyDescent="0.35">
      <c r="A67" s="230" t="s">
        <v>306</v>
      </c>
      <c r="B67" s="228" t="s">
        <v>307</v>
      </c>
      <c r="C67" s="525">
        <f>SUM(C68:C71)</f>
        <v>0</v>
      </c>
      <c r="D67" s="525">
        <f>SUM(D68:D71)</f>
        <v>0</v>
      </c>
      <c r="E67" s="519">
        <f>SUM(E68:E71)</f>
        <v>0</v>
      </c>
      <c r="F67" s="519">
        <f>SUM(F68:F71)</f>
        <v>0</v>
      </c>
      <c r="G67" s="519">
        <f>SUM(G68:G71)</f>
        <v>0</v>
      </c>
    </row>
    <row r="68" spans="1:7" s="220" customFormat="1" ht="12" customHeight="1" x14ac:dyDescent="0.3">
      <c r="A68" s="223" t="s">
        <v>140</v>
      </c>
      <c r="B68" s="112" t="s">
        <v>308</v>
      </c>
      <c r="C68" s="638"/>
      <c r="D68" s="638"/>
      <c r="E68" s="521"/>
      <c r="F68" s="521"/>
      <c r="G68" s="521"/>
    </row>
    <row r="69" spans="1:7" s="220" customFormat="1" ht="17.25" customHeight="1" x14ac:dyDescent="0.3">
      <c r="A69" s="224" t="s">
        <v>141</v>
      </c>
      <c r="B69" s="113" t="s">
        <v>309</v>
      </c>
      <c r="C69" s="638"/>
      <c r="D69" s="638"/>
      <c r="E69" s="521"/>
      <c r="F69" s="521"/>
      <c r="G69" s="521"/>
    </row>
    <row r="70" spans="1:7" s="220" customFormat="1" ht="12" customHeight="1" x14ac:dyDescent="0.3">
      <c r="A70" s="224" t="s">
        <v>334</v>
      </c>
      <c r="B70" s="113" t="s">
        <v>310</v>
      </c>
      <c r="C70" s="638"/>
      <c r="D70" s="638"/>
      <c r="E70" s="521"/>
      <c r="F70" s="521"/>
      <c r="G70" s="521"/>
    </row>
    <row r="71" spans="1:7" s="220" customFormat="1" ht="12" customHeight="1" thickBot="1" x14ac:dyDescent="0.35">
      <c r="A71" s="226" t="s">
        <v>335</v>
      </c>
      <c r="B71" s="227" t="s">
        <v>311</v>
      </c>
      <c r="C71" s="638"/>
      <c r="D71" s="638"/>
      <c r="E71" s="521"/>
      <c r="F71" s="521"/>
      <c r="G71" s="521"/>
    </row>
    <row r="72" spans="1:7" s="220" customFormat="1" ht="12" customHeight="1" thickBot="1" x14ac:dyDescent="0.35">
      <c r="A72" s="230" t="s">
        <v>312</v>
      </c>
      <c r="B72" s="228" t="s">
        <v>313</v>
      </c>
      <c r="C72" s="525">
        <f>SUM(C73:C74)</f>
        <v>605704429</v>
      </c>
      <c r="D72" s="525">
        <f>SUM(D73:D74)</f>
        <v>541475499</v>
      </c>
      <c r="E72" s="519">
        <f>SUM(E73:E74)</f>
        <v>700000000</v>
      </c>
      <c r="F72" s="519">
        <f>SUM(F73:F74)</f>
        <v>702467033</v>
      </c>
      <c r="G72" s="519">
        <f>SUM(G73:G74)</f>
        <v>702467033</v>
      </c>
    </row>
    <row r="73" spans="1:7" s="220" customFormat="1" ht="12" customHeight="1" x14ac:dyDescent="0.3">
      <c r="A73" s="223" t="s">
        <v>336</v>
      </c>
      <c r="B73" s="112" t="s">
        <v>314</v>
      </c>
      <c r="C73" s="638">
        <v>605704429</v>
      </c>
      <c r="D73" s="638">
        <v>541475499</v>
      </c>
      <c r="E73" s="521">
        <v>700000000</v>
      </c>
      <c r="F73" s="521">
        <f>700000000+2467033</f>
        <v>702467033</v>
      </c>
      <c r="G73" s="521">
        <f>700000000+2467033</f>
        <v>702467033</v>
      </c>
    </row>
    <row r="74" spans="1:7" s="220" customFormat="1" ht="12" customHeight="1" thickBot="1" x14ac:dyDescent="0.35">
      <c r="A74" s="226" t="s">
        <v>337</v>
      </c>
      <c r="B74" s="227" t="s">
        <v>315</v>
      </c>
      <c r="C74" s="638"/>
      <c r="D74" s="638"/>
      <c r="E74" s="521"/>
      <c r="F74" s="521"/>
      <c r="G74" s="521"/>
    </row>
    <row r="75" spans="1:7" s="220" customFormat="1" ht="12" customHeight="1" thickBot="1" x14ac:dyDescent="0.35">
      <c r="A75" s="230" t="s">
        <v>316</v>
      </c>
      <c r="B75" s="228" t="s">
        <v>317</v>
      </c>
      <c r="C75" s="525">
        <f>SUM(C76:C78)</f>
        <v>8180284</v>
      </c>
      <c r="D75" s="525">
        <f>SUM(D76:D78)</f>
        <v>9441982</v>
      </c>
      <c r="E75" s="519">
        <f>SUM(E76:E78)</f>
        <v>429499</v>
      </c>
      <c r="F75" s="519">
        <f>SUM(F76:F78)</f>
        <v>429499</v>
      </c>
      <c r="G75" s="519">
        <f>SUM(G76:G78)</f>
        <v>206682</v>
      </c>
    </row>
    <row r="76" spans="1:7" s="220" customFormat="1" ht="12" customHeight="1" x14ac:dyDescent="0.3">
      <c r="A76" s="223" t="s">
        <v>338</v>
      </c>
      <c r="B76" s="112" t="s">
        <v>318</v>
      </c>
      <c r="C76" s="638">
        <v>8180284</v>
      </c>
      <c r="D76" s="638">
        <v>9441982</v>
      </c>
      <c r="E76" s="521">
        <v>429499</v>
      </c>
      <c r="F76" s="521">
        <v>429499</v>
      </c>
      <c r="G76" s="521">
        <f>429499-429499+206682</f>
        <v>206682</v>
      </c>
    </row>
    <row r="77" spans="1:7" s="220" customFormat="1" ht="12" customHeight="1" x14ac:dyDescent="0.3">
      <c r="A77" s="224" t="s">
        <v>339</v>
      </c>
      <c r="B77" s="113" t="s">
        <v>319</v>
      </c>
      <c r="C77" s="638"/>
      <c r="D77" s="638"/>
      <c r="E77" s="521"/>
      <c r="F77" s="521"/>
      <c r="G77" s="521"/>
    </row>
    <row r="78" spans="1:7" s="220" customFormat="1" ht="12" customHeight="1" thickBot="1" x14ac:dyDescent="0.35">
      <c r="A78" s="226" t="s">
        <v>340</v>
      </c>
      <c r="B78" s="227" t="s">
        <v>320</v>
      </c>
      <c r="C78" s="638"/>
      <c r="D78" s="638"/>
      <c r="E78" s="521"/>
      <c r="F78" s="521"/>
      <c r="G78" s="521"/>
    </row>
    <row r="79" spans="1:7" s="220" customFormat="1" ht="12" customHeight="1" thickBot="1" x14ac:dyDescent="0.35">
      <c r="A79" s="230" t="s">
        <v>321</v>
      </c>
      <c r="B79" s="228" t="s">
        <v>341</v>
      </c>
      <c r="C79" s="525">
        <f>SUM(C80:C83)</f>
        <v>0</v>
      </c>
      <c r="D79" s="525">
        <f>SUM(D80:D83)</f>
        <v>0</v>
      </c>
      <c r="E79" s="519">
        <f>SUM(E80:E83)</f>
        <v>0</v>
      </c>
      <c r="F79" s="519">
        <f>SUM(F80:F83)</f>
        <v>0</v>
      </c>
      <c r="G79" s="519">
        <f>SUM(G80:G83)</f>
        <v>0</v>
      </c>
    </row>
    <row r="80" spans="1:7" s="220" customFormat="1" ht="12" customHeight="1" x14ac:dyDescent="0.3">
      <c r="A80" s="232" t="s">
        <v>322</v>
      </c>
      <c r="B80" s="112" t="s">
        <v>323</v>
      </c>
      <c r="C80" s="638"/>
      <c r="D80" s="638"/>
      <c r="E80" s="521"/>
      <c r="F80" s="521"/>
      <c r="G80" s="521"/>
    </row>
    <row r="81" spans="1:7" s="220" customFormat="1" ht="12" customHeight="1" x14ac:dyDescent="0.3">
      <c r="A81" s="233" t="s">
        <v>324</v>
      </c>
      <c r="B81" s="113" t="s">
        <v>325</v>
      </c>
      <c r="C81" s="638"/>
      <c r="D81" s="638"/>
      <c r="E81" s="521"/>
      <c r="F81" s="521"/>
      <c r="G81" s="521"/>
    </row>
    <row r="82" spans="1:7" s="220" customFormat="1" ht="12" customHeight="1" x14ac:dyDescent="0.3">
      <c r="A82" s="233" t="s">
        <v>326</v>
      </c>
      <c r="B82" s="113" t="s">
        <v>327</v>
      </c>
      <c r="C82" s="638"/>
      <c r="D82" s="638"/>
      <c r="E82" s="521"/>
      <c r="F82" s="521"/>
      <c r="G82" s="521"/>
    </row>
    <row r="83" spans="1:7" s="220" customFormat="1" ht="12" customHeight="1" thickBot="1" x14ac:dyDescent="0.35">
      <c r="A83" s="234" t="s">
        <v>328</v>
      </c>
      <c r="B83" s="227" t="s">
        <v>329</v>
      </c>
      <c r="C83" s="638"/>
      <c r="D83" s="638"/>
      <c r="E83" s="521"/>
      <c r="F83" s="521"/>
      <c r="G83" s="521"/>
    </row>
    <row r="84" spans="1:7" s="220" customFormat="1" ht="12" customHeight="1" thickBot="1" x14ac:dyDescent="0.35">
      <c r="A84" s="230" t="s">
        <v>330</v>
      </c>
      <c r="B84" s="228" t="s">
        <v>470</v>
      </c>
      <c r="C84" s="641"/>
      <c r="D84" s="641"/>
      <c r="E84" s="524"/>
      <c r="F84" s="524"/>
      <c r="G84" s="524"/>
    </row>
    <row r="85" spans="1:7" s="220" customFormat="1" ht="12" customHeight="1" thickBot="1" x14ac:dyDescent="0.35">
      <c r="A85" s="230" t="s">
        <v>332</v>
      </c>
      <c r="B85" s="228" t="s">
        <v>331</v>
      </c>
      <c r="C85" s="641"/>
      <c r="D85" s="641"/>
      <c r="E85" s="524"/>
      <c r="F85" s="524"/>
      <c r="G85" s="524"/>
    </row>
    <row r="86" spans="1:7" s="220" customFormat="1" ht="12" customHeight="1" thickBot="1" x14ac:dyDescent="0.35">
      <c r="A86" s="230" t="s">
        <v>344</v>
      </c>
      <c r="B86" s="235" t="s">
        <v>473</v>
      </c>
      <c r="C86" s="525">
        <f>+C63+C67+C72+C75+C79+C85+C84</f>
        <v>613884713</v>
      </c>
      <c r="D86" s="525">
        <f>+D63+D67+D72+D75+D79+D85+D84</f>
        <v>550917481</v>
      </c>
      <c r="E86" s="519">
        <f>+E63+E67+E72+E75+E79+E85+E84</f>
        <v>700429499</v>
      </c>
      <c r="F86" s="519">
        <f>+F63+F67+F72+F75+F79+F85+F84</f>
        <v>702896532</v>
      </c>
      <c r="G86" s="519">
        <f>+G63+G67+G72+G75+G79+G85+G84</f>
        <v>702673715</v>
      </c>
    </row>
    <row r="87" spans="1:7" s="220" customFormat="1" ht="12" customHeight="1" thickBot="1" x14ac:dyDescent="0.35">
      <c r="A87" s="236" t="s">
        <v>31</v>
      </c>
      <c r="B87" s="237" t="s">
        <v>554</v>
      </c>
      <c r="C87" s="525"/>
      <c r="D87" s="525"/>
      <c r="E87" s="519"/>
      <c r="F87" s="519"/>
      <c r="G87" s="519"/>
    </row>
    <row r="88" spans="1:7" s="220" customFormat="1" ht="12" customHeight="1" thickBot="1" x14ac:dyDescent="0.35">
      <c r="A88" s="236" t="s">
        <v>32</v>
      </c>
      <c r="B88" s="237" t="s">
        <v>474</v>
      </c>
      <c r="C88" s="525">
        <f>+C62+C86+C87</f>
        <v>1254351807</v>
      </c>
      <c r="D88" s="525">
        <f>+D62+D86+D87</f>
        <v>1470833392</v>
      </c>
      <c r="E88" s="525">
        <f>+E62+E86+E87</f>
        <v>1385961678</v>
      </c>
      <c r="F88" s="525">
        <f>+F62+F86+F87</f>
        <v>1400500889</v>
      </c>
      <c r="G88" s="525">
        <f>+G62+G86+G87</f>
        <v>1314278664</v>
      </c>
    </row>
    <row r="89" spans="1:7" s="220" customFormat="1" ht="12" customHeight="1" x14ac:dyDescent="0.3">
      <c r="A89" s="950" t="s">
        <v>42</v>
      </c>
      <c r="B89" s="950"/>
      <c r="C89" s="950"/>
      <c r="D89" s="950"/>
    </row>
    <row r="90" spans="1:7" s="220" customFormat="1" ht="12" customHeight="1" thickBot="1" x14ac:dyDescent="0.4">
      <c r="A90" s="951" t="s">
        <v>143</v>
      </c>
      <c r="B90" s="951"/>
      <c r="C90" s="832"/>
      <c r="D90" s="635"/>
      <c r="E90" s="516" t="s">
        <v>579</v>
      </c>
      <c r="F90" s="516" t="s">
        <v>579</v>
      </c>
      <c r="G90" s="516" t="s">
        <v>579</v>
      </c>
    </row>
    <row r="91" spans="1:7" s="220" customFormat="1" ht="39.5" thickBot="1" x14ac:dyDescent="0.35">
      <c r="A91" s="218" t="s">
        <v>12</v>
      </c>
      <c r="B91" s="219" t="s">
        <v>43</v>
      </c>
      <c r="C91" s="219" t="s">
        <v>653</v>
      </c>
      <c r="D91" s="652" t="s">
        <v>654</v>
      </c>
      <c r="E91" s="517" t="s">
        <v>640</v>
      </c>
      <c r="F91" s="517" t="s">
        <v>724</v>
      </c>
      <c r="G91" s="654" t="s">
        <v>730</v>
      </c>
    </row>
    <row r="92" spans="1:7" s="220" customFormat="1" ht="12" customHeight="1" thickBot="1" x14ac:dyDescent="0.35">
      <c r="A92" s="218" t="s">
        <v>482</v>
      </c>
      <c r="B92" s="219" t="s">
        <v>483</v>
      </c>
      <c r="C92" s="219" t="s">
        <v>484</v>
      </c>
      <c r="D92" s="219" t="s">
        <v>486</v>
      </c>
      <c r="E92" s="518" t="s">
        <v>485</v>
      </c>
      <c r="F92" s="518" t="s">
        <v>485</v>
      </c>
      <c r="G92" s="518" t="s">
        <v>485</v>
      </c>
    </row>
    <row r="93" spans="1:7" s="220" customFormat="1" ht="15" customHeight="1" thickBot="1" x14ac:dyDescent="0.35">
      <c r="A93" s="238" t="s">
        <v>14</v>
      </c>
      <c r="B93" s="239" t="s">
        <v>613</v>
      </c>
      <c r="C93" s="642">
        <f>C94+C95+C96+C97+C98+C111</f>
        <v>410674676</v>
      </c>
      <c r="D93" s="642">
        <f>D94+D95+D96+D97+D98+D111</f>
        <v>438095829</v>
      </c>
      <c r="E93" s="526">
        <f>E94+E95+E96+E97+E98+E111</f>
        <v>803597961</v>
      </c>
      <c r="F93" s="526">
        <f>F94+F95+F96+F97+F98+F111</f>
        <v>820360826</v>
      </c>
      <c r="G93" s="526">
        <f>G94+G95+G96+G97+G98+G111</f>
        <v>779275764</v>
      </c>
    </row>
    <row r="94" spans="1:7" s="220" customFormat="1" ht="13" customHeight="1" x14ac:dyDescent="0.3">
      <c r="A94" s="240" t="s">
        <v>93</v>
      </c>
      <c r="B94" s="241" t="s">
        <v>44</v>
      </c>
      <c r="C94" s="643">
        <v>64551072</v>
      </c>
      <c r="D94" s="643">
        <v>79020635</v>
      </c>
      <c r="E94" s="527">
        <v>88632818</v>
      </c>
      <c r="F94" s="527">
        <f>88632818+2282840</f>
        <v>90915658</v>
      </c>
      <c r="G94" s="527">
        <f>88632818+2282840+1728436+1650000+1207500+364000-4081250-2500000+500000</f>
        <v>89784344</v>
      </c>
    </row>
    <row r="95" spans="1:7" ht="16.5" customHeight="1" x14ac:dyDescent="0.3">
      <c r="A95" s="224" t="s">
        <v>94</v>
      </c>
      <c r="B95" s="242" t="s">
        <v>172</v>
      </c>
      <c r="C95" s="530">
        <v>13060224</v>
      </c>
      <c r="D95" s="530">
        <v>13725059</v>
      </c>
      <c r="E95" s="528">
        <v>17115177</v>
      </c>
      <c r="F95" s="528">
        <f>17115177+199749</f>
        <v>17314926</v>
      </c>
      <c r="G95" s="528">
        <f>17115177+199749+151240+288750+211312-1074019-437500+87500</f>
        <v>16542209</v>
      </c>
    </row>
    <row r="96" spans="1:7" x14ac:dyDescent="0.3">
      <c r="A96" s="224" t="s">
        <v>95</v>
      </c>
      <c r="B96" s="242" t="s">
        <v>131</v>
      </c>
      <c r="C96" s="644">
        <v>194374532</v>
      </c>
      <c r="D96" s="644">
        <v>189077661</v>
      </c>
      <c r="E96" s="529">
        <v>258201921</v>
      </c>
      <c r="F96" s="529">
        <v>258201921</v>
      </c>
      <c r="G96" s="529">
        <f>258201921-24000000+3175000-8636000</f>
        <v>228740921</v>
      </c>
    </row>
    <row r="97" spans="1:7" s="220" customFormat="1" ht="12" customHeight="1" x14ac:dyDescent="0.3">
      <c r="A97" s="224" t="s">
        <v>96</v>
      </c>
      <c r="B97" s="243" t="s">
        <v>173</v>
      </c>
      <c r="C97" s="644">
        <v>4410102</v>
      </c>
      <c r="D97" s="644">
        <v>7234510</v>
      </c>
      <c r="E97" s="529">
        <v>12600000</v>
      </c>
      <c r="F97" s="529">
        <v>12600000</v>
      </c>
      <c r="G97" s="529">
        <f>12600000-3175000</f>
        <v>9425000</v>
      </c>
    </row>
    <row r="98" spans="1:7" ht="12" customHeight="1" x14ac:dyDescent="0.3">
      <c r="A98" s="224" t="s">
        <v>107</v>
      </c>
      <c r="B98" s="244" t="s">
        <v>174</v>
      </c>
      <c r="C98" s="529">
        <f>C99+C100+C101+C102+C103+C104+C105+C106+C107+C108+C109+C110</f>
        <v>134278746</v>
      </c>
      <c r="D98" s="529">
        <f>D99+D100+D101+D102+D103+D104+D105+D106+D107+D108+D109+D110</f>
        <v>149037964</v>
      </c>
      <c r="E98" s="529">
        <f>E99+E100+E101+E102+E103+E104+E105+E106+E107+E108+E109+E110</f>
        <v>175177509</v>
      </c>
      <c r="F98" s="529">
        <f>F99+F100+F101+F102+F103+F104+F105+F106+F107+F108+F109+F110</f>
        <v>173671996</v>
      </c>
      <c r="G98" s="529">
        <f>G99+G100+G101+G102+G103+G104+G105+G106+G107+G108+G109+G110</f>
        <v>161982830</v>
      </c>
    </row>
    <row r="99" spans="1:7" ht="12" customHeight="1" x14ac:dyDescent="0.3">
      <c r="A99" s="224" t="s">
        <v>97</v>
      </c>
      <c r="B99" s="242" t="s">
        <v>437</v>
      </c>
      <c r="C99" s="644"/>
      <c r="D99" s="644"/>
      <c r="E99" s="529"/>
      <c r="F99" s="529"/>
      <c r="G99" s="529"/>
    </row>
    <row r="100" spans="1:7" ht="12" customHeight="1" x14ac:dyDescent="0.3">
      <c r="A100" s="224" t="s">
        <v>98</v>
      </c>
      <c r="B100" s="245" t="s">
        <v>436</v>
      </c>
      <c r="C100" s="644"/>
      <c r="D100" s="644"/>
      <c r="E100" s="529"/>
      <c r="F100" s="529"/>
      <c r="G100" s="529"/>
    </row>
    <row r="101" spans="1:7" ht="12" customHeight="1" x14ac:dyDescent="0.3">
      <c r="A101" s="224" t="s">
        <v>108</v>
      </c>
      <c r="B101" s="245" t="s">
        <v>435</v>
      </c>
      <c r="C101" s="644">
        <v>109362</v>
      </c>
      <c r="D101" s="644">
        <v>3764122</v>
      </c>
      <c r="E101" s="529">
        <v>1100000</v>
      </c>
      <c r="F101" s="529">
        <f>1100000+900000</f>
        <v>2000000</v>
      </c>
      <c r="G101" s="529">
        <f>1100000+900000</f>
        <v>2000000</v>
      </c>
    </row>
    <row r="102" spans="1:7" ht="12" customHeight="1" x14ac:dyDescent="0.3">
      <c r="A102" s="224" t="s">
        <v>109</v>
      </c>
      <c r="B102" s="246" t="s">
        <v>347</v>
      </c>
      <c r="C102" s="644"/>
      <c r="D102" s="644"/>
      <c r="E102" s="529"/>
      <c r="F102" s="529"/>
      <c r="G102" s="529"/>
    </row>
    <row r="103" spans="1:7" ht="12" customHeight="1" x14ac:dyDescent="0.3">
      <c r="A103" s="224" t="s">
        <v>110</v>
      </c>
      <c r="B103" s="247" t="s">
        <v>348</v>
      </c>
      <c r="C103" s="644"/>
      <c r="D103" s="644"/>
      <c r="E103" s="529"/>
      <c r="F103" s="529"/>
      <c r="G103" s="529"/>
    </row>
    <row r="104" spans="1:7" ht="12" customHeight="1" x14ac:dyDescent="0.3">
      <c r="A104" s="224" t="s">
        <v>111</v>
      </c>
      <c r="B104" s="247" t="s">
        <v>349</v>
      </c>
      <c r="C104" s="644"/>
      <c r="D104" s="644"/>
      <c r="E104" s="529"/>
      <c r="F104" s="529"/>
      <c r="G104" s="529"/>
    </row>
    <row r="105" spans="1:7" ht="12" customHeight="1" x14ac:dyDescent="0.3">
      <c r="A105" s="224" t="s">
        <v>113</v>
      </c>
      <c r="B105" s="246" t="s">
        <v>350</v>
      </c>
      <c r="C105" s="644">
        <v>93471784</v>
      </c>
      <c r="D105" s="644">
        <v>107140242</v>
      </c>
      <c r="E105" s="529">
        <v>132997509</v>
      </c>
      <c r="F105" s="529">
        <f>132997509-2405513</f>
        <v>130591996</v>
      </c>
      <c r="G105" s="529">
        <f>132997509-2405513-5489166-800000-200000-300000</f>
        <v>123802830</v>
      </c>
    </row>
    <row r="106" spans="1:7" ht="12" customHeight="1" x14ac:dyDescent="0.3">
      <c r="A106" s="224" t="s">
        <v>175</v>
      </c>
      <c r="B106" s="246" t="s">
        <v>351</v>
      </c>
      <c r="C106" s="644"/>
      <c r="D106" s="644"/>
      <c r="E106" s="529"/>
      <c r="F106" s="529"/>
      <c r="G106" s="529"/>
    </row>
    <row r="107" spans="1:7" ht="12" customHeight="1" x14ac:dyDescent="0.3">
      <c r="A107" s="224" t="s">
        <v>345</v>
      </c>
      <c r="B107" s="247" t="s">
        <v>352</v>
      </c>
      <c r="C107" s="644"/>
      <c r="D107" s="644"/>
      <c r="E107" s="529"/>
      <c r="F107" s="529"/>
      <c r="G107" s="529"/>
    </row>
    <row r="108" spans="1:7" ht="12" customHeight="1" x14ac:dyDescent="0.3">
      <c r="A108" s="248" t="s">
        <v>346</v>
      </c>
      <c r="B108" s="245" t="s">
        <v>353</v>
      </c>
      <c r="C108" s="644"/>
      <c r="D108" s="644"/>
      <c r="E108" s="529"/>
      <c r="F108" s="529"/>
      <c r="G108" s="529"/>
    </row>
    <row r="109" spans="1:7" ht="12" customHeight="1" x14ac:dyDescent="0.3">
      <c r="A109" s="224" t="s">
        <v>433</v>
      </c>
      <c r="B109" s="245" t="s">
        <v>354</v>
      </c>
      <c r="C109" s="644"/>
      <c r="D109" s="644"/>
      <c r="E109" s="529"/>
      <c r="F109" s="529"/>
      <c r="G109" s="529"/>
    </row>
    <row r="110" spans="1:7" ht="12" customHeight="1" x14ac:dyDescent="0.3">
      <c r="A110" s="226" t="s">
        <v>434</v>
      </c>
      <c r="B110" s="245" t="s">
        <v>355</v>
      </c>
      <c r="C110" s="644">
        <v>40697600</v>
      </c>
      <c r="D110" s="644">
        <v>38133600</v>
      </c>
      <c r="E110" s="529">
        <v>41080000</v>
      </c>
      <c r="F110" s="529">
        <v>41080000</v>
      </c>
      <c r="G110" s="529">
        <f>41080000-4900000</f>
        <v>36180000</v>
      </c>
    </row>
    <row r="111" spans="1:7" ht="12" customHeight="1" x14ac:dyDescent="0.3">
      <c r="A111" s="224" t="s">
        <v>438</v>
      </c>
      <c r="B111" s="243" t="s">
        <v>45</v>
      </c>
      <c r="C111" s="530">
        <f>C112+C114</f>
        <v>0</v>
      </c>
      <c r="D111" s="530">
        <f>D112+D114</f>
        <v>0</v>
      </c>
      <c r="E111" s="530">
        <f>E112+E114</f>
        <v>251870536</v>
      </c>
      <c r="F111" s="530">
        <f>F112+F114</f>
        <v>267656325</v>
      </c>
      <c r="G111" s="530">
        <f>G112+G114</f>
        <v>272800460</v>
      </c>
    </row>
    <row r="112" spans="1:7" ht="12" customHeight="1" x14ac:dyDescent="0.3">
      <c r="A112" s="224" t="s">
        <v>439</v>
      </c>
      <c r="B112" s="242" t="s">
        <v>441</v>
      </c>
      <c r="C112" s="530"/>
      <c r="D112" s="530"/>
      <c r="E112" s="528">
        <v>8834856</v>
      </c>
      <c r="F112" s="528">
        <f>8834856+2405513+558238+2291474+189566+145744+9701500-3379392-496521+277527-626058+2467033-900000</f>
        <v>21469480</v>
      </c>
      <c r="G112" s="528">
        <f>8834856+2405513+558238+2291474+189566+145744+9701500-3379392-496521+277527-626058+2467033-900000-163673+243701+215307+632000+15544420+8544974+5489166-9000000-21207500+75000+379473+284369+140809-241702+1845716-1660660+118795-319194-387750-283762+4791269-3748146-1055268-97409-1524000+1270000+800000+200000+300000+4900000+4572000+254000+3124200-13000000+160000-770900-355600+750000-87500</f>
        <v>22201615</v>
      </c>
    </row>
    <row r="113" spans="1:7" ht="12" customHeight="1" x14ac:dyDescent="0.3">
      <c r="A113" s="226"/>
      <c r="B113" s="253" t="s">
        <v>633</v>
      </c>
      <c r="C113" s="644"/>
      <c r="D113" s="644"/>
      <c r="E113" s="529"/>
      <c r="F113" s="529"/>
      <c r="G113" s="529"/>
    </row>
    <row r="114" spans="1:7" ht="12" customHeight="1" thickBot="1" x14ac:dyDescent="0.35">
      <c r="A114" s="249" t="s">
        <v>440</v>
      </c>
      <c r="B114" s="250" t="s">
        <v>442</v>
      </c>
      <c r="C114" s="645"/>
      <c r="D114" s="645"/>
      <c r="E114" s="531">
        <v>243035680</v>
      </c>
      <c r="F114" s="531">
        <f>243035680+3151165</f>
        <v>246186845</v>
      </c>
      <c r="G114" s="531">
        <f>243035680+3151165+4572000-160000</f>
        <v>250598845</v>
      </c>
    </row>
    <row r="115" spans="1:7" ht="12" customHeight="1" thickBot="1" x14ac:dyDescent="0.35">
      <c r="A115" s="251" t="s">
        <v>15</v>
      </c>
      <c r="B115" s="252" t="s">
        <v>614</v>
      </c>
      <c r="C115" s="646">
        <f>+C116+C118+C120</f>
        <v>146857384</v>
      </c>
      <c r="D115" s="646">
        <f>+D116+D118+D120</f>
        <v>157083499</v>
      </c>
      <c r="E115" s="532">
        <f>+E116+E118+E120</f>
        <v>380637528</v>
      </c>
      <c r="F115" s="532">
        <f>+F116+F118+F120</f>
        <v>380637528</v>
      </c>
      <c r="G115" s="532">
        <f>+G116+G118+G120</f>
        <v>359812576</v>
      </c>
    </row>
    <row r="116" spans="1:7" ht="12" customHeight="1" x14ac:dyDescent="0.3">
      <c r="A116" s="223" t="s">
        <v>99</v>
      </c>
      <c r="B116" s="242" t="s">
        <v>217</v>
      </c>
      <c r="C116" s="647">
        <v>63207101</v>
      </c>
      <c r="D116" s="647">
        <v>71829250</v>
      </c>
      <c r="E116" s="533">
        <v>366997728</v>
      </c>
      <c r="F116" s="533">
        <v>366997728</v>
      </c>
      <c r="G116" s="533">
        <f>366997728+70000+18900+298350-298350+1524000-1270000-3124200-4572000-9245600+762000+333248</f>
        <v>351494076</v>
      </c>
    </row>
    <row r="117" spans="1:7" x14ac:dyDescent="0.3">
      <c r="A117" s="223" t="s">
        <v>100</v>
      </c>
      <c r="B117" s="253" t="s">
        <v>359</v>
      </c>
      <c r="C117" s="647"/>
      <c r="D117" s="647"/>
      <c r="E117" s="533"/>
      <c r="F117" s="533"/>
      <c r="G117" s="533"/>
    </row>
    <row r="118" spans="1:7" ht="12" customHeight="1" x14ac:dyDescent="0.3">
      <c r="A118" s="223" t="s">
        <v>101</v>
      </c>
      <c r="B118" s="253" t="s">
        <v>176</v>
      </c>
      <c r="C118" s="530">
        <v>83022283</v>
      </c>
      <c r="D118" s="530">
        <v>83349182</v>
      </c>
      <c r="E118" s="528">
        <v>13639800</v>
      </c>
      <c r="F118" s="528">
        <v>13639800</v>
      </c>
      <c r="G118" s="528">
        <f>13639800-70000-18900-4572000-254000-406400</f>
        <v>8318500</v>
      </c>
    </row>
    <row r="119" spans="1:7" ht="12" customHeight="1" x14ac:dyDescent="0.3">
      <c r="A119" s="223" t="s">
        <v>102</v>
      </c>
      <c r="B119" s="253" t="s">
        <v>360</v>
      </c>
      <c r="C119" s="530"/>
      <c r="D119" s="530"/>
      <c r="E119" s="534"/>
      <c r="F119" s="534"/>
      <c r="G119" s="534"/>
    </row>
    <row r="120" spans="1:7" ht="12" customHeight="1" x14ac:dyDescent="0.3">
      <c r="A120" s="223" t="s">
        <v>103</v>
      </c>
      <c r="B120" s="227" t="s">
        <v>219</v>
      </c>
      <c r="C120" s="534">
        <f>C121+C122+C123+C124+C125+C126+C127+C128</f>
        <v>628000</v>
      </c>
      <c r="D120" s="534">
        <f>D121+D122+D123+D124+D125+D126+D127+D128</f>
        <v>1905067</v>
      </c>
      <c r="E120" s="534">
        <f>E121+E122+E123+E124+E125+E126+E127+E128</f>
        <v>0</v>
      </c>
      <c r="F120" s="534">
        <f>F121+F122+F123+F124+F125+F126+F127+F128</f>
        <v>0</v>
      </c>
      <c r="G120" s="534">
        <f>G121+G122+G123+G124+G125+G126+G127+G128</f>
        <v>0</v>
      </c>
    </row>
    <row r="121" spans="1:7" ht="12" customHeight="1" x14ac:dyDescent="0.3">
      <c r="A121" s="223" t="s">
        <v>112</v>
      </c>
      <c r="B121" s="225" t="s">
        <v>421</v>
      </c>
      <c r="C121" s="530"/>
      <c r="D121" s="530"/>
      <c r="E121" s="534"/>
      <c r="F121" s="534"/>
      <c r="G121" s="534"/>
    </row>
    <row r="122" spans="1:7" ht="12" customHeight="1" x14ac:dyDescent="0.3">
      <c r="A122" s="223" t="s">
        <v>114</v>
      </c>
      <c r="B122" s="254" t="s">
        <v>365</v>
      </c>
      <c r="C122" s="530"/>
      <c r="D122" s="530"/>
      <c r="E122" s="534"/>
      <c r="F122" s="534"/>
      <c r="G122" s="534"/>
    </row>
    <row r="123" spans="1:7" ht="12" customHeight="1" x14ac:dyDescent="0.3">
      <c r="A123" s="223" t="s">
        <v>177</v>
      </c>
      <c r="B123" s="247" t="s">
        <v>349</v>
      </c>
      <c r="C123" s="530"/>
      <c r="D123" s="530"/>
      <c r="E123" s="534"/>
      <c r="F123" s="534"/>
      <c r="G123" s="534"/>
    </row>
    <row r="124" spans="1:7" ht="12" customHeight="1" x14ac:dyDescent="0.3">
      <c r="A124" s="223" t="s">
        <v>178</v>
      </c>
      <c r="B124" s="247" t="s">
        <v>364</v>
      </c>
      <c r="C124" s="530"/>
      <c r="D124" s="530"/>
      <c r="E124" s="534"/>
      <c r="F124" s="534"/>
      <c r="G124" s="534"/>
    </row>
    <row r="125" spans="1:7" ht="12" customHeight="1" x14ac:dyDescent="0.3">
      <c r="A125" s="223" t="s">
        <v>179</v>
      </c>
      <c r="B125" s="247" t="s">
        <v>363</v>
      </c>
      <c r="C125" s="530"/>
      <c r="D125" s="530"/>
      <c r="E125" s="534"/>
      <c r="F125" s="534"/>
      <c r="G125" s="534"/>
    </row>
    <row r="126" spans="1:7" ht="12" customHeight="1" x14ac:dyDescent="0.3">
      <c r="A126" s="223" t="s">
        <v>356</v>
      </c>
      <c r="B126" s="247" t="s">
        <v>352</v>
      </c>
      <c r="C126" s="530"/>
      <c r="D126" s="530"/>
      <c r="E126" s="534"/>
      <c r="F126" s="534"/>
      <c r="G126" s="534"/>
    </row>
    <row r="127" spans="1:7" ht="12" customHeight="1" x14ac:dyDescent="0.3">
      <c r="A127" s="223" t="s">
        <v>357</v>
      </c>
      <c r="B127" s="247" t="s">
        <v>362</v>
      </c>
      <c r="C127" s="530"/>
      <c r="D127" s="530"/>
      <c r="E127" s="534"/>
      <c r="F127" s="534"/>
      <c r="G127" s="534"/>
    </row>
    <row r="128" spans="1:7" ht="12" customHeight="1" thickBot="1" x14ac:dyDescent="0.35">
      <c r="A128" s="248" t="s">
        <v>358</v>
      </c>
      <c r="B128" s="247" t="s">
        <v>361</v>
      </c>
      <c r="C128" s="644">
        <v>628000</v>
      </c>
      <c r="D128" s="644">
        <f>5067+1900000</f>
        <v>1905067</v>
      </c>
      <c r="E128" s="535"/>
      <c r="F128" s="535"/>
      <c r="G128" s="535"/>
    </row>
    <row r="129" spans="1:7" ht="12" customHeight="1" thickBot="1" x14ac:dyDescent="0.35">
      <c r="A129" s="221" t="s">
        <v>16</v>
      </c>
      <c r="B129" s="255" t="s">
        <v>443</v>
      </c>
      <c r="C129" s="648">
        <f>+C93+C115</f>
        <v>557532060</v>
      </c>
      <c r="D129" s="648">
        <f>+D93+D115</f>
        <v>595179328</v>
      </c>
      <c r="E129" s="536">
        <f>+E93+E115</f>
        <v>1184235489</v>
      </c>
      <c r="F129" s="536">
        <f>+F93+F115</f>
        <v>1200998354</v>
      </c>
      <c r="G129" s="536">
        <f>+G93+G115</f>
        <v>1139088340</v>
      </c>
    </row>
    <row r="130" spans="1:7" ht="12" customHeight="1" thickBot="1" x14ac:dyDescent="0.35">
      <c r="A130" s="221" t="s">
        <v>17</v>
      </c>
      <c r="B130" s="255" t="s">
        <v>444</v>
      </c>
      <c r="C130" s="648">
        <f>+C131+C132+C133</f>
        <v>0</v>
      </c>
      <c r="D130" s="648">
        <f>+D131+D132+D133</f>
        <v>0</v>
      </c>
      <c r="E130" s="536">
        <f>+E131+E132+E133</f>
        <v>0</v>
      </c>
      <c r="F130" s="536">
        <f>+F131+F132+F133</f>
        <v>0</v>
      </c>
      <c r="G130" s="536">
        <f>+G131+G132+G133</f>
        <v>0</v>
      </c>
    </row>
    <row r="131" spans="1:7" ht="12" customHeight="1" x14ac:dyDescent="0.3">
      <c r="A131" s="223" t="s">
        <v>257</v>
      </c>
      <c r="B131" s="253" t="s">
        <v>451</v>
      </c>
      <c r="C131" s="530"/>
      <c r="D131" s="530"/>
      <c r="E131" s="534"/>
      <c r="F131" s="534"/>
      <c r="G131" s="534"/>
    </row>
    <row r="132" spans="1:7" ht="12" customHeight="1" x14ac:dyDescent="0.3">
      <c r="A132" s="223" t="s">
        <v>260</v>
      </c>
      <c r="B132" s="253" t="s">
        <v>452</v>
      </c>
      <c r="C132" s="530"/>
      <c r="D132" s="530"/>
      <c r="E132" s="534"/>
      <c r="F132" s="534"/>
      <c r="G132" s="534"/>
    </row>
    <row r="133" spans="1:7" ht="12" customHeight="1" thickBot="1" x14ac:dyDescent="0.35">
      <c r="A133" s="248" t="s">
        <v>261</v>
      </c>
      <c r="B133" s="253" t="s">
        <v>453</v>
      </c>
      <c r="C133" s="530"/>
      <c r="D133" s="530"/>
      <c r="E133" s="534"/>
      <c r="F133" s="534"/>
      <c r="G133" s="534"/>
    </row>
    <row r="134" spans="1:7" ht="12" customHeight="1" thickBot="1" x14ac:dyDescent="0.35">
      <c r="A134" s="221" t="s">
        <v>18</v>
      </c>
      <c r="B134" s="255" t="s">
        <v>445</v>
      </c>
      <c r="C134" s="648">
        <f>SUM(C135:C140)</f>
        <v>0</v>
      </c>
      <c r="D134" s="648">
        <f>SUM(D135:D140)</f>
        <v>0</v>
      </c>
      <c r="E134" s="536">
        <f>SUM(E135:E140)</f>
        <v>0</v>
      </c>
      <c r="F134" s="536">
        <f>SUM(F135:F140)</f>
        <v>0</v>
      </c>
      <c r="G134" s="536">
        <f>SUM(G135:G140)</f>
        <v>0</v>
      </c>
    </row>
    <row r="135" spans="1:7" ht="12" customHeight="1" x14ac:dyDescent="0.3">
      <c r="A135" s="223" t="s">
        <v>86</v>
      </c>
      <c r="B135" s="256" t="s">
        <v>454</v>
      </c>
      <c r="C135" s="530"/>
      <c r="D135" s="530"/>
      <c r="E135" s="534"/>
      <c r="F135" s="534"/>
      <c r="G135" s="534"/>
    </row>
    <row r="136" spans="1:7" ht="12" customHeight="1" x14ac:dyDescent="0.3">
      <c r="A136" s="223" t="s">
        <v>87</v>
      </c>
      <c r="B136" s="256" t="s">
        <v>446</v>
      </c>
      <c r="C136" s="530"/>
      <c r="D136" s="530"/>
      <c r="E136" s="534"/>
      <c r="F136" s="534"/>
      <c r="G136" s="534"/>
    </row>
    <row r="137" spans="1:7" ht="12" customHeight="1" x14ac:dyDescent="0.3">
      <c r="A137" s="223" t="s">
        <v>88</v>
      </c>
      <c r="B137" s="256" t="s">
        <v>447</v>
      </c>
      <c r="C137" s="530"/>
      <c r="D137" s="530"/>
      <c r="E137" s="534"/>
      <c r="F137" s="534"/>
      <c r="G137" s="534"/>
    </row>
    <row r="138" spans="1:7" ht="12" customHeight="1" x14ac:dyDescent="0.3">
      <c r="A138" s="223" t="s">
        <v>164</v>
      </c>
      <c r="B138" s="256" t="s">
        <v>448</v>
      </c>
      <c r="C138" s="530"/>
      <c r="D138" s="530"/>
      <c r="E138" s="534"/>
      <c r="F138" s="534"/>
      <c r="G138" s="534"/>
    </row>
    <row r="139" spans="1:7" ht="12" customHeight="1" x14ac:dyDescent="0.3">
      <c r="A139" s="223" t="s">
        <v>165</v>
      </c>
      <c r="B139" s="256" t="s">
        <v>449</v>
      </c>
      <c r="C139" s="530"/>
      <c r="D139" s="530"/>
      <c r="E139" s="534"/>
      <c r="F139" s="534"/>
      <c r="G139" s="534"/>
    </row>
    <row r="140" spans="1:7" ht="12" customHeight="1" thickBot="1" x14ac:dyDescent="0.35">
      <c r="A140" s="248" t="s">
        <v>166</v>
      </c>
      <c r="B140" s="256" t="s">
        <v>450</v>
      </c>
      <c r="C140" s="530"/>
      <c r="D140" s="530"/>
      <c r="E140" s="534"/>
      <c r="F140" s="534"/>
      <c r="G140" s="534"/>
    </row>
    <row r="141" spans="1:7" ht="12" customHeight="1" thickBot="1" x14ac:dyDescent="0.35">
      <c r="A141" s="221" t="s">
        <v>19</v>
      </c>
      <c r="B141" s="255" t="s">
        <v>458</v>
      </c>
      <c r="C141" s="649">
        <f>+C142+C143+C144+C145</f>
        <v>8033142</v>
      </c>
      <c r="D141" s="649">
        <f>+D142+D143+D144+D145</f>
        <v>8369810</v>
      </c>
      <c r="E141" s="537">
        <f>+E142+E143+E144+E145</f>
        <v>9609391</v>
      </c>
      <c r="F141" s="537">
        <f>+F142+F143+F144+F145</f>
        <v>9609391</v>
      </c>
      <c r="G141" s="537">
        <f>+G142+G143+G144+G145</f>
        <v>9386574</v>
      </c>
    </row>
    <row r="142" spans="1:7" ht="12" customHeight="1" x14ac:dyDescent="0.3">
      <c r="A142" s="223" t="s">
        <v>89</v>
      </c>
      <c r="B142" s="256" t="s">
        <v>366</v>
      </c>
      <c r="C142" s="530"/>
      <c r="D142" s="530"/>
      <c r="E142" s="534"/>
      <c r="F142" s="534"/>
      <c r="G142" s="534"/>
    </row>
    <row r="143" spans="1:7" ht="12" customHeight="1" x14ac:dyDescent="0.3">
      <c r="A143" s="223" t="s">
        <v>90</v>
      </c>
      <c r="B143" s="256" t="s">
        <v>367</v>
      </c>
      <c r="C143" s="530">
        <v>8033142</v>
      </c>
      <c r="D143" s="530">
        <v>8369810</v>
      </c>
      <c r="E143" s="534">
        <v>9609391</v>
      </c>
      <c r="F143" s="534">
        <v>9609391</v>
      </c>
      <c r="G143" s="534">
        <f>9609391-429499+206682</f>
        <v>9386574</v>
      </c>
    </row>
    <row r="144" spans="1:7" ht="12" customHeight="1" x14ac:dyDescent="0.3">
      <c r="A144" s="223" t="s">
        <v>281</v>
      </c>
      <c r="B144" s="256" t="s">
        <v>459</v>
      </c>
      <c r="C144" s="530"/>
      <c r="D144" s="530"/>
      <c r="E144" s="534"/>
      <c r="F144" s="534"/>
      <c r="G144" s="534"/>
    </row>
    <row r="145" spans="1:7" ht="12" customHeight="1" thickBot="1" x14ac:dyDescent="0.35">
      <c r="A145" s="248" t="s">
        <v>282</v>
      </c>
      <c r="B145" s="257" t="s">
        <v>385</v>
      </c>
      <c r="C145" s="530"/>
      <c r="D145" s="530"/>
      <c r="E145" s="534"/>
      <c r="F145" s="534"/>
      <c r="G145" s="534"/>
    </row>
    <row r="146" spans="1:7" ht="12" customHeight="1" thickBot="1" x14ac:dyDescent="0.35">
      <c r="A146" s="221" t="s">
        <v>20</v>
      </c>
      <c r="B146" s="255" t="s">
        <v>460</v>
      </c>
      <c r="C146" s="650">
        <f>SUM(C147:C151)</f>
        <v>0</v>
      </c>
      <c r="D146" s="650">
        <f>SUM(D147:D151)</f>
        <v>0</v>
      </c>
      <c r="E146" s="538">
        <f>SUM(E147:E151)</f>
        <v>0</v>
      </c>
      <c r="F146" s="538">
        <f>SUM(F147:F151)</f>
        <v>0</v>
      </c>
      <c r="G146" s="538">
        <f>SUM(G147:G151)</f>
        <v>0</v>
      </c>
    </row>
    <row r="147" spans="1:7" ht="12" customHeight="1" x14ac:dyDescent="0.3">
      <c r="A147" s="223" t="s">
        <v>91</v>
      </c>
      <c r="B147" s="256" t="s">
        <v>455</v>
      </c>
      <c r="C147" s="530"/>
      <c r="D147" s="530"/>
      <c r="E147" s="534"/>
      <c r="F147" s="534"/>
      <c r="G147" s="534"/>
    </row>
    <row r="148" spans="1:7" ht="12" customHeight="1" x14ac:dyDescent="0.3">
      <c r="A148" s="223" t="s">
        <v>92</v>
      </c>
      <c r="B148" s="256" t="s">
        <v>462</v>
      </c>
      <c r="C148" s="530"/>
      <c r="D148" s="530"/>
      <c r="E148" s="534"/>
      <c r="F148" s="534"/>
      <c r="G148" s="534"/>
    </row>
    <row r="149" spans="1:7" ht="12" customHeight="1" x14ac:dyDescent="0.3">
      <c r="A149" s="223" t="s">
        <v>293</v>
      </c>
      <c r="B149" s="256" t="s">
        <v>457</v>
      </c>
      <c r="C149" s="530"/>
      <c r="D149" s="530"/>
      <c r="E149" s="534"/>
      <c r="F149" s="534"/>
      <c r="G149" s="534"/>
    </row>
    <row r="150" spans="1:7" ht="12" customHeight="1" x14ac:dyDescent="0.3">
      <c r="A150" s="223" t="s">
        <v>294</v>
      </c>
      <c r="B150" s="256" t="s">
        <v>463</v>
      </c>
      <c r="C150" s="530"/>
      <c r="D150" s="530"/>
      <c r="E150" s="534"/>
      <c r="F150" s="534"/>
      <c r="G150" s="534"/>
    </row>
    <row r="151" spans="1:7" ht="12" customHeight="1" thickBot="1" x14ac:dyDescent="0.35">
      <c r="A151" s="223" t="s">
        <v>461</v>
      </c>
      <c r="B151" s="256" t="s">
        <v>464</v>
      </c>
      <c r="C151" s="530"/>
      <c r="D151" s="530"/>
      <c r="E151" s="534"/>
      <c r="F151" s="534"/>
      <c r="G151" s="534"/>
    </row>
    <row r="152" spans="1:7" ht="12" customHeight="1" thickBot="1" x14ac:dyDescent="0.35">
      <c r="A152" s="221" t="s">
        <v>21</v>
      </c>
      <c r="B152" s="255" t="s">
        <v>465</v>
      </c>
      <c r="C152" s="651"/>
      <c r="D152" s="651"/>
      <c r="E152" s="539"/>
      <c r="F152" s="539"/>
      <c r="G152" s="539"/>
    </row>
    <row r="153" spans="1:7" ht="12" customHeight="1" thickBot="1" x14ac:dyDescent="0.35">
      <c r="A153" s="221" t="s">
        <v>22</v>
      </c>
      <c r="B153" s="255" t="s">
        <v>572</v>
      </c>
      <c r="C153" s="651">
        <v>147311106</v>
      </c>
      <c r="D153" s="651">
        <v>165355702</v>
      </c>
      <c r="E153" s="539">
        <v>192116798</v>
      </c>
      <c r="F153" s="539">
        <f>192116798-558238-2291474+626058</f>
        <v>189893144</v>
      </c>
      <c r="G153" s="539">
        <f>192116798-558238-2291474+626058-15544420-8544974</f>
        <v>165803750</v>
      </c>
    </row>
    <row r="154" spans="1:7" ht="15" customHeight="1" thickBot="1" x14ac:dyDescent="0.35">
      <c r="A154" s="221" t="s">
        <v>23</v>
      </c>
      <c r="B154" s="255" t="s">
        <v>468</v>
      </c>
      <c r="C154" s="541">
        <f>+C130+C134+C141+C146+C152+C153</f>
        <v>155344248</v>
      </c>
      <c r="D154" s="541">
        <f>+D130+D134+D141+D146+D152+D153</f>
        <v>173725512</v>
      </c>
      <c r="E154" s="540">
        <f>+E130+E134+E141+E146+E152+E153</f>
        <v>201726189</v>
      </c>
      <c r="F154" s="540">
        <f>+F130+F134+F141+F146+F152+F153</f>
        <v>199502535</v>
      </c>
      <c r="G154" s="540">
        <f>+G130+G134+G141+G146+G152+G153</f>
        <v>175190324</v>
      </c>
    </row>
    <row r="155" spans="1:7" ht="15" customHeight="1" thickBot="1" x14ac:dyDescent="0.35">
      <c r="A155" s="251" t="s">
        <v>24</v>
      </c>
      <c r="B155" s="258" t="s">
        <v>555</v>
      </c>
      <c r="C155" s="541"/>
      <c r="D155" s="541"/>
      <c r="E155" s="540"/>
      <c r="F155" s="540"/>
      <c r="G155" s="540"/>
    </row>
    <row r="156" spans="1:7" s="220" customFormat="1" ht="13" customHeight="1" thickBot="1" x14ac:dyDescent="0.35">
      <c r="A156" s="259" t="s">
        <v>25</v>
      </c>
      <c r="B156" s="260" t="s">
        <v>467</v>
      </c>
      <c r="C156" s="541">
        <f>+C129+C154+C155</f>
        <v>712876308</v>
      </c>
      <c r="D156" s="541">
        <f>+D129+D154+D155</f>
        <v>768904840</v>
      </c>
      <c r="E156" s="541">
        <f>+E129+E154+E155</f>
        <v>1385961678</v>
      </c>
      <c r="F156" s="541">
        <f>+F129+F154+F155</f>
        <v>1400500889</v>
      </c>
      <c r="G156" s="541">
        <f>+G129+G154+G155</f>
        <v>1314278664</v>
      </c>
    </row>
    <row r="157" spans="1:7" x14ac:dyDescent="0.3">
      <c r="C157" s="831"/>
    </row>
    <row r="158" spans="1:7" x14ac:dyDescent="0.3">
      <c r="C158" s="833"/>
      <c r="D158" s="833"/>
      <c r="E158" s="833">
        <f>E88-E156</f>
        <v>0</v>
      </c>
      <c r="F158" s="833">
        <f>F88-F156</f>
        <v>0</v>
      </c>
      <c r="G158" s="833">
        <f>G88-G156</f>
        <v>0</v>
      </c>
    </row>
    <row r="159" spans="1:7" x14ac:dyDescent="0.3">
      <c r="C159" s="831"/>
      <c r="D159" s="833"/>
    </row>
    <row r="160" spans="1:7" ht="16.5" customHeight="1" x14ac:dyDescent="0.3">
      <c r="C160" s="833"/>
      <c r="D160" s="833"/>
    </row>
    <row r="161" spans="3:4" x14ac:dyDescent="0.3">
      <c r="C161" s="831"/>
      <c r="D161" s="833"/>
    </row>
    <row r="162" spans="3:4" x14ac:dyDescent="0.3">
      <c r="C162" s="831"/>
      <c r="D162" s="833"/>
    </row>
    <row r="163" spans="3:4" x14ac:dyDescent="0.3">
      <c r="C163" s="831"/>
    </row>
    <row r="164" spans="3:4" x14ac:dyDescent="0.3">
      <c r="C164" s="831"/>
    </row>
    <row r="165" spans="3:4" x14ac:dyDescent="0.3">
      <c r="C165" s="831"/>
    </row>
    <row r="166" spans="3:4" x14ac:dyDescent="0.3">
      <c r="C166" s="831"/>
    </row>
    <row r="167" spans="3:4" x14ac:dyDescent="0.3">
      <c r="C167" s="831"/>
    </row>
    <row r="168" spans="3:4" x14ac:dyDescent="0.3">
      <c r="C168" s="831"/>
    </row>
    <row r="169" spans="3:4" x14ac:dyDescent="0.3">
      <c r="C169" s="831"/>
    </row>
  </sheetData>
  <mergeCells count="4">
    <mergeCell ref="A1:D1"/>
    <mergeCell ref="A89:D89"/>
    <mergeCell ref="A90:B90"/>
    <mergeCell ref="A2:B2"/>
  </mergeCells>
  <phoneticPr fontId="5" type="noConversion"/>
  <printOptions horizontalCentered="1"/>
  <pageMargins left="0.78740157480314965" right="0.78740157480314965" top="1.06" bottom="0.98425196850393704" header="0.78740157480314965" footer="0.78740157480314965"/>
  <pageSetup paperSize="9" scale="65" fitToWidth="3" fitToHeight="2" orientation="portrait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  <rowBreaks count="4" manualBreakCount="4">
    <brk id="34" max="5" man="1"/>
    <brk id="62" max="5" man="1"/>
    <brk id="88" max="5" man="1"/>
    <brk id="129" max="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unka29">
    <tabColor rgb="FFFFFF00"/>
  </sheetPr>
  <dimension ref="A1:I18"/>
  <sheetViews>
    <sheetView zoomScaleNormal="100" workbookViewId="0">
      <selection activeCell="D9" sqref="D9"/>
    </sheetView>
  </sheetViews>
  <sheetFormatPr defaultColWidth="9.296875" defaultRowHeight="13" x14ac:dyDescent="0.3"/>
  <cols>
    <col min="1" max="1" width="6.796875" style="209" customWidth="1"/>
    <col min="2" max="2" width="49.69921875" style="210" customWidth="1"/>
    <col min="3" max="3" width="12.796875" style="210" customWidth="1"/>
    <col min="4" max="4" width="13.296875" style="210" bestFit="1" customWidth="1"/>
    <col min="5" max="8" width="12.796875" style="210" customWidth="1"/>
    <col min="9" max="9" width="14.296875" style="210" customWidth="1"/>
    <col min="10" max="16384" width="9.296875" style="210"/>
  </cols>
  <sheetData>
    <row r="1" spans="1:9" ht="27.75" customHeight="1" x14ac:dyDescent="0.3">
      <c r="A1" s="953" t="s">
        <v>2</v>
      </c>
      <c r="B1" s="953"/>
      <c r="C1" s="953"/>
      <c r="D1" s="953"/>
      <c r="E1" s="953"/>
      <c r="F1" s="953"/>
      <c r="G1" s="953"/>
      <c r="H1" s="953"/>
      <c r="I1" s="953"/>
    </row>
    <row r="2" spans="1:9" ht="20.25" customHeight="1" thickBot="1" x14ac:dyDescent="0.4">
      <c r="I2" s="293" t="s">
        <v>579</v>
      </c>
    </row>
    <row r="3" spans="1:9" s="294" customFormat="1" ht="26.25" customHeight="1" x14ac:dyDescent="0.3">
      <c r="A3" s="904" t="s">
        <v>64</v>
      </c>
      <c r="B3" s="956" t="s">
        <v>80</v>
      </c>
      <c r="C3" s="904" t="s">
        <v>81</v>
      </c>
      <c r="D3" s="904" t="s">
        <v>650</v>
      </c>
      <c r="E3" s="958" t="s">
        <v>63</v>
      </c>
      <c r="F3" s="959"/>
      <c r="G3" s="959"/>
      <c r="H3" s="960"/>
      <c r="I3" s="956" t="s">
        <v>46</v>
      </c>
    </row>
    <row r="4" spans="1:9" s="297" customFormat="1" ht="32.25" customHeight="1" thickBot="1" x14ac:dyDescent="0.35">
      <c r="A4" s="905"/>
      <c r="B4" s="957"/>
      <c r="C4" s="957"/>
      <c r="D4" s="905"/>
      <c r="E4" s="295" t="s">
        <v>592</v>
      </c>
      <c r="F4" s="295" t="s">
        <v>593</v>
      </c>
      <c r="G4" s="295" t="s">
        <v>626</v>
      </c>
      <c r="H4" s="296" t="s">
        <v>651</v>
      </c>
      <c r="I4" s="957"/>
    </row>
    <row r="5" spans="1:9" s="301" customFormat="1" ht="13" customHeight="1" thickBot="1" x14ac:dyDescent="0.35">
      <c r="A5" s="298" t="s">
        <v>482</v>
      </c>
      <c r="B5" s="164" t="s">
        <v>483</v>
      </c>
      <c r="C5" s="299" t="s">
        <v>484</v>
      </c>
      <c r="D5" s="164" t="s">
        <v>486</v>
      </c>
      <c r="E5" s="298" t="s">
        <v>485</v>
      </c>
      <c r="F5" s="299" t="s">
        <v>487</v>
      </c>
      <c r="G5" s="299" t="s">
        <v>489</v>
      </c>
      <c r="H5" s="166" t="s">
        <v>490</v>
      </c>
      <c r="I5" s="300" t="s">
        <v>491</v>
      </c>
    </row>
    <row r="6" spans="1:9" ht="24.75" customHeight="1" thickBot="1" x14ac:dyDescent="0.35">
      <c r="A6" s="165" t="s">
        <v>14</v>
      </c>
      <c r="B6" s="302" t="s">
        <v>3</v>
      </c>
      <c r="C6" s="303"/>
      <c r="D6" s="304">
        <f>+D7+D8</f>
        <v>0</v>
      </c>
      <c r="E6" s="305">
        <f>+E7+E8</f>
        <v>0</v>
      </c>
      <c r="F6" s="306">
        <f>+F7+F8</f>
        <v>0</v>
      </c>
      <c r="G6" s="306">
        <f>+G7+G8</f>
        <v>0</v>
      </c>
      <c r="H6" s="307">
        <f>+H7+H8</f>
        <v>0</v>
      </c>
      <c r="I6" s="304">
        <f t="shared" ref="I6:I17" si="0">SUM(D6:H6)</f>
        <v>0</v>
      </c>
    </row>
    <row r="7" spans="1:9" ht="20.149999999999999" customHeight="1" x14ac:dyDescent="0.3">
      <c r="A7" s="308" t="s">
        <v>15</v>
      </c>
      <c r="B7" s="309" t="s">
        <v>65</v>
      </c>
      <c r="C7" s="215"/>
      <c r="D7" s="310"/>
      <c r="E7" s="311"/>
      <c r="F7" s="312"/>
      <c r="G7" s="312"/>
      <c r="H7" s="313"/>
      <c r="I7" s="314">
        <f t="shared" si="0"/>
        <v>0</v>
      </c>
    </row>
    <row r="8" spans="1:9" ht="20.149999999999999" customHeight="1" thickBot="1" x14ac:dyDescent="0.35">
      <c r="A8" s="308" t="s">
        <v>16</v>
      </c>
      <c r="B8" s="309" t="s">
        <v>65</v>
      </c>
      <c r="C8" s="215"/>
      <c r="D8" s="310"/>
      <c r="E8" s="311"/>
      <c r="F8" s="312"/>
      <c r="G8" s="312"/>
      <c r="H8" s="313"/>
      <c r="I8" s="314">
        <f t="shared" si="0"/>
        <v>0</v>
      </c>
    </row>
    <row r="9" spans="1:9" ht="26.15" customHeight="1" thickBot="1" x14ac:dyDescent="0.35">
      <c r="A9" s="165" t="s">
        <v>17</v>
      </c>
      <c r="B9" s="302" t="s">
        <v>4</v>
      </c>
      <c r="C9" s="315"/>
      <c r="D9" s="304">
        <f>+D10+D11</f>
        <v>0</v>
      </c>
      <c r="E9" s="305">
        <f>+E10+E11</f>
        <v>0</v>
      </c>
      <c r="F9" s="306">
        <f>+F10+F11</f>
        <v>0</v>
      </c>
      <c r="G9" s="306">
        <f>+G10+G11</f>
        <v>0</v>
      </c>
      <c r="H9" s="307">
        <f>+H10+H11</f>
        <v>0</v>
      </c>
      <c r="I9" s="403">
        <f t="shared" si="0"/>
        <v>0</v>
      </c>
    </row>
    <row r="10" spans="1:9" ht="20.149999999999999" customHeight="1" x14ac:dyDescent="0.3">
      <c r="A10" s="308" t="s">
        <v>18</v>
      </c>
      <c r="B10" s="309" t="s">
        <v>65</v>
      </c>
      <c r="C10" s="215"/>
      <c r="D10" s="310"/>
      <c r="E10" s="311"/>
      <c r="F10" s="312"/>
      <c r="G10" s="312"/>
      <c r="H10" s="313"/>
      <c r="I10" s="314">
        <f t="shared" si="0"/>
        <v>0</v>
      </c>
    </row>
    <row r="11" spans="1:9" ht="20.149999999999999" customHeight="1" thickBot="1" x14ac:dyDescent="0.35">
      <c r="A11" s="308" t="s">
        <v>19</v>
      </c>
      <c r="B11" s="309" t="s">
        <v>65</v>
      </c>
      <c r="C11" s="215"/>
      <c r="D11" s="310"/>
      <c r="E11" s="311"/>
      <c r="F11" s="312"/>
      <c r="G11" s="312"/>
      <c r="H11" s="313"/>
      <c r="I11" s="314">
        <f t="shared" si="0"/>
        <v>0</v>
      </c>
    </row>
    <row r="12" spans="1:9" ht="20.149999999999999" customHeight="1" thickBot="1" x14ac:dyDescent="0.35">
      <c r="A12" s="165" t="s">
        <v>20</v>
      </c>
      <c r="B12" s="302" t="s">
        <v>195</v>
      </c>
      <c r="C12" s="315"/>
      <c r="D12" s="304">
        <f>+D13</f>
        <v>0</v>
      </c>
      <c r="E12" s="305">
        <f>+E13</f>
        <v>0</v>
      </c>
      <c r="F12" s="306">
        <f>+F13</f>
        <v>0</v>
      </c>
      <c r="G12" s="306">
        <f>+G13</f>
        <v>0</v>
      </c>
      <c r="H12" s="307">
        <f>+H13</f>
        <v>0</v>
      </c>
      <c r="I12" s="304">
        <f t="shared" si="0"/>
        <v>0</v>
      </c>
    </row>
    <row r="13" spans="1:9" ht="20.149999999999999" customHeight="1" thickBot="1" x14ac:dyDescent="0.35">
      <c r="A13" s="308" t="s">
        <v>21</v>
      </c>
      <c r="B13" s="309" t="s">
        <v>65</v>
      </c>
      <c r="C13" s="215"/>
      <c r="D13" s="310"/>
      <c r="E13" s="311"/>
      <c r="F13" s="312"/>
      <c r="G13" s="312"/>
      <c r="H13" s="313"/>
      <c r="I13" s="314">
        <f t="shared" si="0"/>
        <v>0</v>
      </c>
    </row>
    <row r="14" spans="1:9" ht="20.149999999999999" customHeight="1" thickBot="1" x14ac:dyDescent="0.35">
      <c r="A14" s="165" t="s">
        <v>22</v>
      </c>
      <c r="B14" s="302" t="s">
        <v>196</v>
      </c>
      <c r="C14" s="315"/>
      <c r="D14" s="304">
        <f>+D15</f>
        <v>0</v>
      </c>
      <c r="E14" s="305">
        <f>+E15</f>
        <v>0</v>
      </c>
      <c r="F14" s="306">
        <f>+F15</f>
        <v>0</v>
      </c>
      <c r="G14" s="306">
        <f>+G15</f>
        <v>0</v>
      </c>
      <c r="H14" s="307">
        <f>+H15</f>
        <v>0</v>
      </c>
      <c r="I14" s="304">
        <f t="shared" si="0"/>
        <v>0</v>
      </c>
    </row>
    <row r="15" spans="1:9" ht="20.149999999999999" customHeight="1" thickBot="1" x14ac:dyDescent="0.35">
      <c r="A15" s="316" t="s">
        <v>23</v>
      </c>
      <c r="B15" s="317" t="s">
        <v>65</v>
      </c>
      <c r="C15" s="216"/>
      <c r="D15" s="318"/>
      <c r="E15" s="319"/>
      <c r="F15" s="320"/>
      <c r="G15" s="320"/>
      <c r="H15" s="321"/>
      <c r="I15" s="322">
        <f t="shared" si="0"/>
        <v>0</v>
      </c>
    </row>
    <row r="16" spans="1:9" ht="20.149999999999999" customHeight="1" thickBot="1" x14ac:dyDescent="0.35">
      <c r="A16" s="165" t="s">
        <v>24</v>
      </c>
      <c r="B16" s="302" t="s">
        <v>197</v>
      </c>
      <c r="C16" s="315"/>
      <c r="D16" s="304">
        <f>+D17</f>
        <v>0</v>
      </c>
      <c r="E16" s="305">
        <f>+E17</f>
        <v>0</v>
      </c>
      <c r="F16" s="306">
        <f>+F17</f>
        <v>0</v>
      </c>
      <c r="G16" s="306">
        <f>+G17</f>
        <v>0</v>
      </c>
      <c r="H16" s="307">
        <f>+H17</f>
        <v>0</v>
      </c>
      <c r="I16" s="304">
        <f t="shared" si="0"/>
        <v>0</v>
      </c>
    </row>
    <row r="17" spans="1:9" ht="20.149999999999999" customHeight="1" thickBot="1" x14ac:dyDescent="0.35">
      <c r="A17" s="323" t="s">
        <v>25</v>
      </c>
      <c r="B17" s="324" t="s">
        <v>65</v>
      </c>
      <c r="C17" s="325"/>
      <c r="D17" s="326"/>
      <c r="E17" s="327"/>
      <c r="F17" s="328"/>
      <c r="G17" s="328"/>
      <c r="H17" s="329"/>
      <c r="I17" s="330">
        <f t="shared" si="0"/>
        <v>0</v>
      </c>
    </row>
    <row r="18" spans="1:9" ht="20.149999999999999" customHeight="1" thickBot="1" x14ac:dyDescent="0.35">
      <c r="A18" s="954" t="s">
        <v>137</v>
      </c>
      <c r="B18" s="955"/>
      <c r="C18" s="331"/>
      <c r="D18" s="304">
        <f t="shared" ref="D18:I18" si="1">+D6+D9+D12+D14+D16</f>
        <v>0</v>
      </c>
      <c r="E18" s="305">
        <f t="shared" si="1"/>
        <v>0</v>
      </c>
      <c r="F18" s="306">
        <f t="shared" si="1"/>
        <v>0</v>
      </c>
      <c r="G18" s="306">
        <f t="shared" si="1"/>
        <v>0</v>
      </c>
      <c r="H18" s="307">
        <f t="shared" si="1"/>
        <v>0</v>
      </c>
      <c r="I18" s="304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6" bottom="0.98425196850393704" header="0.78740157480314965" footer="0.78740157480314965"/>
  <pageSetup paperSize="9" scale="64" orientation="portrait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tabColor rgb="FFFFC000"/>
  </sheetPr>
  <dimension ref="A1:E159"/>
  <sheetViews>
    <sheetView view="pageLayout" topLeftCell="A134" zoomScaleNormal="100" zoomScaleSheetLayoutView="100" workbookViewId="0">
      <selection activeCell="B163" sqref="B163"/>
    </sheetView>
  </sheetViews>
  <sheetFormatPr defaultColWidth="9.296875" defaultRowHeight="15.5" x14ac:dyDescent="0.3"/>
  <cols>
    <col min="1" max="1" width="7.19921875" style="793" bestFit="1" customWidth="1"/>
    <col min="2" max="2" width="83.296875" style="794" bestFit="1" customWidth="1"/>
    <col min="3" max="3" width="22" style="799" customWidth="1"/>
    <col min="4" max="4" width="23.19921875" style="799" customWidth="1"/>
    <col min="5" max="5" width="23.69921875" style="799" customWidth="1"/>
    <col min="6" max="16384" width="9.296875" style="721"/>
  </cols>
  <sheetData>
    <row r="1" spans="1:5" s="33" customFormat="1" x14ac:dyDescent="0.35">
      <c r="B1" s="376" t="s">
        <v>622</v>
      </c>
      <c r="C1" s="466"/>
      <c r="D1" s="466"/>
      <c r="E1" s="466"/>
    </row>
    <row r="2" spans="1:5" s="33" customFormat="1" x14ac:dyDescent="0.35">
      <c r="B2" s="376" t="s">
        <v>717</v>
      </c>
      <c r="C2" s="466"/>
      <c r="D2" s="466"/>
      <c r="E2" s="466"/>
    </row>
    <row r="3" spans="1:5" s="33" customFormat="1" x14ac:dyDescent="0.35">
      <c r="B3" s="379" t="s">
        <v>624</v>
      </c>
      <c r="C3" s="466"/>
      <c r="D3" s="466"/>
      <c r="E3" s="466"/>
    </row>
    <row r="6" spans="1:5" s="33" customFormat="1" ht="16" customHeight="1" x14ac:dyDescent="0.35">
      <c r="A6" s="900" t="s">
        <v>576</v>
      </c>
      <c r="B6" s="900"/>
    </row>
    <row r="7" spans="1:5" s="33" customFormat="1" ht="16" customHeight="1" thickBot="1" x14ac:dyDescent="0.4">
      <c r="A7" s="899" t="s">
        <v>142</v>
      </c>
      <c r="B7" s="899"/>
      <c r="C7" s="634" t="s">
        <v>579</v>
      </c>
      <c r="D7" s="634" t="s">
        <v>579</v>
      </c>
      <c r="E7" s="634" t="s">
        <v>579</v>
      </c>
    </row>
    <row r="8" spans="1:5" s="33" customFormat="1" ht="38.15" customHeight="1" thickBot="1" x14ac:dyDescent="0.4">
      <c r="A8" s="761" t="s">
        <v>64</v>
      </c>
      <c r="B8" s="762" t="s">
        <v>13</v>
      </c>
      <c r="C8" s="677" t="s">
        <v>640</v>
      </c>
      <c r="D8" s="677" t="s">
        <v>724</v>
      </c>
      <c r="E8" s="827" t="s">
        <v>730</v>
      </c>
    </row>
    <row r="9" spans="1:5" s="731" customFormat="1" ht="12" customHeight="1" thickBot="1" x14ac:dyDescent="0.4">
      <c r="A9" s="801" t="s">
        <v>482</v>
      </c>
      <c r="B9" s="802" t="s">
        <v>483</v>
      </c>
      <c r="C9" s="803" t="s">
        <v>484</v>
      </c>
      <c r="D9" s="803" t="s">
        <v>484</v>
      </c>
      <c r="E9" s="803" t="s">
        <v>484</v>
      </c>
    </row>
    <row r="10" spans="1:5" s="731" customFormat="1" ht="12" customHeight="1" thickBot="1" x14ac:dyDescent="0.4">
      <c r="A10" s="728" t="s">
        <v>14</v>
      </c>
      <c r="B10" s="729" t="s">
        <v>241</v>
      </c>
      <c r="C10" s="730">
        <f>+C11+C12+C13+C14+C15+C16</f>
        <v>0</v>
      </c>
      <c r="D10" s="730">
        <f>+D11+D12+D13+D14+D15+D16</f>
        <v>0</v>
      </c>
      <c r="E10" s="730">
        <f>+E11+E12+E13+E14+E15+E16</f>
        <v>0</v>
      </c>
    </row>
    <row r="11" spans="1:5" s="731" customFormat="1" ht="12" customHeight="1" x14ac:dyDescent="0.35">
      <c r="A11" s="732" t="s">
        <v>93</v>
      </c>
      <c r="B11" s="733" t="s">
        <v>242</v>
      </c>
      <c r="C11" s="734"/>
      <c r="D11" s="734"/>
      <c r="E11" s="734"/>
    </row>
    <row r="12" spans="1:5" s="731" customFormat="1" ht="12" customHeight="1" x14ac:dyDescent="0.35">
      <c r="A12" s="735" t="s">
        <v>94</v>
      </c>
      <c r="B12" s="736" t="s">
        <v>243</v>
      </c>
      <c r="C12" s="737"/>
      <c r="D12" s="737"/>
      <c r="E12" s="737"/>
    </row>
    <row r="13" spans="1:5" s="731" customFormat="1" ht="12" customHeight="1" x14ac:dyDescent="0.35">
      <c r="A13" s="735" t="s">
        <v>95</v>
      </c>
      <c r="B13" s="736" t="s">
        <v>244</v>
      </c>
      <c r="C13" s="737"/>
      <c r="D13" s="737"/>
      <c r="E13" s="737"/>
    </row>
    <row r="14" spans="1:5" s="731" customFormat="1" ht="12" customHeight="1" x14ac:dyDescent="0.35">
      <c r="A14" s="735" t="s">
        <v>96</v>
      </c>
      <c r="B14" s="736" t="s">
        <v>245</v>
      </c>
      <c r="C14" s="737"/>
      <c r="D14" s="737"/>
      <c r="E14" s="737"/>
    </row>
    <row r="15" spans="1:5" s="731" customFormat="1" ht="12" customHeight="1" x14ac:dyDescent="0.35">
      <c r="A15" s="735" t="s">
        <v>139</v>
      </c>
      <c r="B15" s="738" t="s">
        <v>425</v>
      </c>
      <c r="C15" s="737"/>
      <c r="D15" s="737"/>
      <c r="E15" s="737"/>
    </row>
    <row r="16" spans="1:5" s="731" customFormat="1" ht="12" customHeight="1" thickBot="1" x14ac:dyDescent="0.4">
      <c r="A16" s="739" t="s">
        <v>97</v>
      </c>
      <c r="B16" s="740" t="s">
        <v>426</v>
      </c>
      <c r="C16" s="737"/>
      <c r="D16" s="737"/>
      <c r="E16" s="737"/>
    </row>
    <row r="17" spans="1:5" s="731" customFormat="1" ht="12" customHeight="1" thickBot="1" x14ac:dyDescent="0.4">
      <c r="A17" s="728" t="s">
        <v>15</v>
      </c>
      <c r="B17" s="741" t="s">
        <v>246</v>
      </c>
      <c r="C17" s="730">
        <f>+C18+C19+C20+C21+C22</f>
        <v>0</v>
      </c>
      <c r="D17" s="730">
        <f>+D18+D19+D20+D21+D22</f>
        <v>0</v>
      </c>
      <c r="E17" s="730">
        <f>+E18+E19+E20+E21+E22</f>
        <v>0</v>
      </c>
    </row>
    <row r="18" spans="1:5" s="731" customFormat="1" ht="12" customHeight="1" x14ac:dyDescent="0.35">
      <c r="A18" s="732" t="s">
        <v>99</v>
      </c>
      <c r="B18" s="733" t="s">
        <v>247</v>
      </c>
      <c r="C18" s="734"/>
      <c r="D18" s="734"/>
      <c r="E18" s="734"/>
    </row>
    <row r="19" spans="1:5" s="731" customFormat="1" ht="12" customHeight="1" x14ac:dyDescent="0.35">
      <c r="A19" s="735" t="s">
        <v>100</v>
      </c>
      <c r="B19" s="736" t="s">
        <v>248</v>
      </c>
      <c r="C19" s="737"/>
      <c r="D19" s="737"/>
      <c r="E19" s="737"/>
    </row>
    <row r="20" spans="1:5" s="731" customFormat="1" ht="12" customHeight="1" x14ac:dyDescent="0.35">
      <c r="A20" s="735" t="s">
        <v>101</v>
      </c>
      <c r="B20" s="736" t="s">
        <v>415</v>
      </c>
      <c r="C20" s="737"/>
      <c r="D20" s="737"/>
      <c r="E20" s="737"/>
    </row>
    <row r="21" spans="1:5" s="731" customFormat="1" ht="12" customHeight="1" x14ac:dyDescent="0.35">
      <c r="A21" s="735" t="s">
        <v>102</v>
      </c>
      <c r="B21" s="736" t="s">
        <v>416</v>
      </c>
      <c r="C21" s="737"/>
      <c r="D21" s="737"/>
      <c r="E21" s="737"/>
    </row>
    <row r="22" spans="1:5" s="731" customFormat="1" ht="12" customHeight="1" x14ac:dyDescent="0.35">
      <c r="A22" s="735" t="s">
        <v>103</v>
      </c>
      <c r="B22" s="736" t="s">
        <v>249</v>
      </c>
      <c r="C22" s="737"/>
      <c r="D22" s="737"/>
      <c r="E22" s="737"/>
    </row>
    <row r="23" spans="1:5" s="731" customFormat="1" ht="12" customHeight="1" thickBot="1" x14ac:dyDescent="0.4">
      <c r="A23" s="739" t="s">
        <v>112</v>
      </c>
      <c r="B23" s="740" t="s">
        <v>250</v>
      </c>
      <c r="C23" s="742"/>
      <c r="D23" s="742"/>
      <c r="E23" s="742"/>
    </row>
    <row r="24" spans="1:5" s="731" customFormat="1" ht="12" customHeight="1" thickBot="1" x14ac:dyDescent="0.4">
      <c r="A24" s="728" t="s">
        <v>16</v>
      </c>
      <c r="B24" s="729" t="s">
        <v>251</v>
      </c>
      <c r="C24" s="730">
        <f>+C25+C26+C27+C28+C29</f>
        <v>0</v>
      </c>
      <c r="D24" s="730">
        <f>+D25+D26+D27+D28+D29</f>
        <v>0</v>
      </c>
      <c r="E24" s="730">
        <f>+E25+E26+E27+E28+E29</f>
        <v>0</v>
      </c>
    </row>
    <row r="25" spans="1:5" s="731" customFormat="1" ht="12" customHeight="1" x14ac:dyDescent="0.35">
      <c r="A25" s="732" t="s">
        <v>82</v>
      </c>
      <c r="B25" s="733" t="s">
        <v>252</v>
      </c>
      <c r="C25" s="734"/>
      <c r="D25" s="734"/>
      <c r="E25" s="734"/>
    </row>
    <row r="26" spans="1:5" s="731" customFormat="1" ht="12" customHeight="1" x14ac:dyDescent="0.35">
      <c r="A26" s="735" t="s">
        <v>83</v>
      </c>
      <c r="B26" s="736" t="s">
        <v>253</v>
      </c>
      <c r="C26" s="737"/>
      <c r="D26" s="737"/>
      <c r="E26" s="737"/>
    </row>
    <row r="27" spans="1:5" s="731" customFormat="1" ht="12" customHeight="1" x14ac:dyDescent="0.35">
      <c r="A27" s="735" t="s">
        <v>84</v>
      </c>
      <c r="B27" s="736" t="s">
        <v>417</v>
      </c>
      <c r="C27" s="737"/>
      <c r="D27" s="737"/>
      <c r="E27" s="737"/>
    </row>
    <row r="28" spans="1:5" s="731" customFormat="1" ht="12" customHeight="1" x14ac:dyDescent="0.35">
      <c r="A28" s="735" t="s">
        <v>85</v>
      </c>
      <c r="B28" s="736" t="s">
        <v>418</v>
      </c>
      <c r="C28" s="737"/>
      <c r="D28" s="737"/>
      <c r="E28" s="737"/>
    </row>
    <row r="29" spans="1:5" s="731" customFormat="1" ht="12" customHeight="1" x14ac:dyDescent="0.35">
      <c r="A29" s="735" t="s">
        <v>160</v>
      </c>
      <c r="B29" s="736" t="s">
        <v>254</v>
      </c>
      <c r="C29" s="737"/>
      <c r="D29" s="737"/>
      <c r="E29" s="737"/>
    </row>
    <row r="30" spans="1:5" s="731" customFormat="1" ht="12" customHeight="1" thickBot="1" x14ac:dyDescent="0.4">
      <c r="A30" s="739" t="s">
        <v>161</v>
      </c>
      <c r="B30" s="743" t="s">
        <v>255</v>
      </c>
      <c r="C30" s="742"/>
      <c r="D30" s="742"/>
      <c r="E30" s="742"/>
    </row>
    <row r="31" spans="1:5" s="731" customFormat="1" ht="12" customHeight="1" thickBot="1" x14ac:dyDescent="0.4">
      <c r="A31" s="728" t="s">
        <v>162</v>
      </c>
      <c r="B31" s="729" t="s">
        <v>256</v>
      </c>
      <c r="C31" s="744">
        <f>+C32+C36+C37+C38</f>
        <v>22017106</v>
      </c>
      <c r="D31" s="744">
        <f>+D32+D36+D37+D38</f>
        <v>22017106</v>
      </c>
      <c r="E31" s="744">
        <f>+E32+E36+E37+E38</f>
        <v>0</v>
      </c>
    </row>
    <row r="32" spans="1:5" s="731" customFormat="1" ht="12" customHeight="1" x14ac:dyDescent="0.35">
      <c r="A32" s="732" t="s">
        <v>257</v>
      </c>
      <c r="B32" s="733" t="s">
        <v>432</v>
      </c>
      <c r="C32" s="745">
        <f>C33+C34+C35</f>
        <v>22017106</v>
      </c>
      <c r="D32" s="745">
        <f>D33+D34+D35</f>
        <v>22017106</v>
      </c>
      <c r="E32" s="745">
        <f>E33+E34+E35</f>
        <v>0</v>
      </c>
    </row>
    <row r="33" spans="1:5" s="731" customFormat="1" ht="12" customHeight="1" x14ac:dyDescent="0.35">
      <c r="A33" s="735" t="s">
        <v>258</v>
      </c>
      <c r="B33" s="736" t="s">
        <v>590</v>
      </c>
      <c r="C33" s="737">
        <v>22017106</v>
      </c>
      <c r="D33" s="737">
        <v>22017106</v>
      </c>
      <c r="E33" s="737"/>
    </row>
    <row r="34" spans="1:5" s="731" customFormat="1" ht="12" customHeight="1" x14ac:dyDescent="0.35">
      <c r="A34" s="735" t="s">
        <v>259</v>
      </c>
      <c r="B34" s="736" t="s">
        <v>591</v>
      </c>
      <c r="C34" s="737"/>
      <c r="D34" s="737"/>
      <c r="E34" s="737"/>
    </row>
    <row r="35" spans="1:5" s="731" customFormat="1" ht="12" customHeight="1" x14ac:dyDescent="0.35">
      <c r="A35" s="735" t="s">
        <v>430</v>
      </c>
      <c r="B35" s="746" t="s">
        <v>431</v>
      </c>
      <c r="C35" s="737"/>
      <c r="D35" s="737"/>
      <c r="E35" s="737"/>
    </row>
    <row r="36" spans="1:5" s="731" customFormat="1" ht="12" customHeight="1" x14ac:dyDescent="0.35">
      <c r="A36" s="735" t="s">
        <v>260</v>
      </c>
      <c r="B36" s="736" t="s">
        <v>265</v>
      </c>
      <c r="C36" s="737"/>
      <c r="D36" s="737"/>
      <c r="E36" s="737"/>
    </row>
    <row r="37" spans="1:5" s="731" customFormat="1" ht="12" customHeight="1" x14ac:dyDescent="0.35">
      <c r="A37" s="735" t="s">
        <v>261</v>
      </c>
      <c r="B37" s="736" t="s">
        <v>574</v>
      </c>
      <c r="C37" s="737"/>
      <c r="D37" s="737"/>
      <c r="E37" s="737"/>
    </row>
    <row r="38" spans="1:5" s="731" customFormat="1" ht="12" customHeight="1" thickBot="1" x14ac:dyDescent="0.4">
      <c r="A38" s="739" t="s">
        <v>262</v>
      </c>
      <c r="B38" s="743" t="s">
        <v>267</v>
      </c>
      <c r="C38" s="742"/>
      <c r="D38" s="742"/>
      <c r="E38" s="742"/>
    </row>
    <row r="39" spans="1:5" s="731" customFormat="1" ht="12" customHeight="1" thickBot="1" x14ac:dyDescent="0.4">
      <c r="A39" s="728" t="s">
        <v>18</v>
      </c>
      <c r="B39" s="729" t="s">
        <v>427</v>
      </c>
      <c r="C39" s="730">
        <f>SUM(C40:C50)</f>
        <v>113868200</v>
      </c>
      <c r="D39" s="730">
        <f>SUM(D40:D50)</f>
        <v>113868200</v>
      </c>
      <c r="E39" s="730">
        <f>SUM(E40:E50)</f>
        <v>90831656</v>
      </c>
    </row>
    <row r="40" spans="1:5" s="731" customFormat="1" ht="12" customHeight="1" x14ac:dyDescent="0.35">
      <c r="A40" s="732" t="s">
        <v>86</v>
      </c>
      <c r="B40" s="733" t="s">
        <v>270</v>
      </c>
      <c r="C40" s="734"/>
      <c r="D40" s="734"/>
      <c r="E40" s="734"/>
    </row>
    <row r="41" spans="1:5" s="731" customFormat="1" ht="12" customHeight="1" x14ac:dyDescent="0.35">
      <c r="A41" s="735" t="s">
        <v>87</v>
      </c>
      <c r="B41" s="736" t="s">
        <v>271</v>
      </c>
      <c r="C41" s="737">
        <v>89660000</v>
      </c>
      <c r="D41" s="737">
        <v>89660000</v>
      </c>
      <c r="E41" s="737">
        <f>69367740</f>
        <v>69367740</v>
      </c>
    </row>
    <row r="42" spans="1:5" s="731" customFormat="1" ht="12" customHeight="1" x14ac:dyDescent="0.35">
      <c r="A42" s="735" t="s">
        <v>88</v>
      </c>
      <c r="B42" s="736" t="s">
        <v>272</v>
      </c>
      <c r="C42" s="737"/>
      <c r="D42" s="737"/>
      <c r="E42" s="737"/>
    </row>
    <row r="43" spans="1:5" s="731" customFormat="1" ht="12" customHeight="1" x14ac:dyDescent="0.35">
      <c r="A43" s="735" t="s">
        <v>164</v>
      </c>
      <c r="B43" s="736" t="s">
        <v>273</v>
      </c>
      <c r="C43" s="737"/>
      <c r="D43" s="737"/>
      <c r="E43" s="737"/>
    </row>
    <row r="44" spans="1:5" s="731" customFormat="1" ht="12" customHeight="1" x14ac:dyDescent="0.35">
      <c r="A44" s="735" t="s">
        <v>165</v>
      </c>
      <c r="B44" s="736" t="s">
        <v>274</v>
      </c>
      <c r="C44" s="737"/>
      <c r="D44" s="737"/>
      <c r="E44" s="737"/>
    </row>
    <row r="45" spans="1:5" s="731" customFormat="1" ht="12" customHeight="1" x14ac:dyDescent="0.35">
      <c r="A45" s="735" t="s">
        <v>166</v>
      </c>
      <c r="B45" s="736" t="s">
        <v>275</v>
      </c>
      <c r="C45" s="737">
        <v>24208200</v>
      </c>
      <c r="D45" s="737">
        <v>24208200</v>
      </c>
      <c r="E45" s="737">
        <f>20010596</f>
        <v>20010596</v>
      </c>
    </row>
    <row r="46" spans="1:5" s="731" customFormat="1" ht="12" customHeight="1" x14ac:dyDescent="0.35">
      <c r="A46" s="735" t="s">
        <v>167</v>
      </c>
      <c r="B46" s="736" t="s">
        <v>276</v>
      </c>
      <c r="C46" s="737"/>
      <c r="D46" s="737"/>
      <c r="E46" s="737"/>
    </row>
    <row r="47" spans="1:5" s="731" customFormat="1" ht="12" customHeight="1" x14ac:dyDescent="0.35">
      <c r="A47" s="735" t="s">
        <v>168</v>
      </c>
      <c r="B47" s="736" t="s">
        <v>277</v>
      </c>
      <c r="C47" s="747"/>
      <c r="D47" s="747"/>
      <c r="E47" s="747"/>
    </row>
    <row r="48" spans="1:5" s="731" customFormat="1" ht="12" customHeight="1" x14ac:dyDescent="0.35">
      <c r="A48" s="735" t="s">
        <v>268</v>
      </c>
      <c r="B48" s="736" t="s">
        <v>278</v>
      </c>
      <c r="C48" s="747"/>
      <c r="D48" s="747"/>
      <c r="E48" s="747"/>
    </row>
    <row r="49" spans="1:5" s="731" customFormat="1" ht="12" customHeight="1" x14ac:dyDescent="0.35">
      <c r="A49" s="739" t="s">
        <v>269</v>
      </c>
      <c r="B49" s="743" t="s">
        <v>429</v>
      </c>
      <c r="C49" s="748"/>
      <c r="D49" s="748"/>
      <c r="E49" s="748"/>
    </row>
    <row r="50" spans="1:5" s="731" customFormat="1" ht="12" customHeight="1" thickBot="1" x14ac:dyDescent="0.4">
      <c r="A50" s="739" t="s">
        <v>428</v>
      </c>
      <c r="B50" s="740" t="s">
        <v>279</v>
      </c>
      <c r="C50" s="748"/>
      <c r="D50" s="748"/>
      <c r="E50" s="748">
        <f>1453320</f>
        <v>1453320</v>
      </c>
    </row>
    <row r="51" spans="1:5" s="731" customFormat="1" ht="12" customHeight="1" thickBot="1" x14ac:dyDescent="0.4">
      <c r="A51" s="728" t="s">
        <v>19</v>
      </c>
      <c r="B51" s="729" t="s">
        <v>280</v>
      </c>
      <c r="C51" s="730">
        <f>SUM(C52:C56)</f>
        <v>0</v>
      </c>
      <c r="D51" s="730">
        <f>SUM(D52:D56)</f>
        <v>0</v>
      </c>
      <c r="E51" s="730">
        <f>SUM(E52:E56)</f>
        <v>0</v>
      </c>
    </row>
    <row r="52" spans="1:5" s="731" customFormat="1" ht="12" customHeight="1" x14ac:dyDescent="0.35">
      <c r="A52" s="732" t="s">
        <v>89</v>
      </c>
      <c r="B52" s="733" t="s">
        <v>284</v>
      </c>
      <c r="C52" s="749"/>
      <c r="D52" s="749"/>
      <c r="E52" s="749"/>
    </row>
    <row r="53" spans="1:5" s="731" customFormat="1" ht="12" customHeight="1" x14ac:dyDescent="0.35">
      <c r="A53" s="735" t="s">
        <v>90</v>
      </c>
      <c r="B53" s="736" t="s">
        <v>285</v>
      </c>
      <c r="C53" s="747"/>
      <c r="D53" s="747"/>
      <c r="E53" s="747"/>
    </row>
    <row r="54" spans="1:5" s="731" customFormat="1" ht="12" customHeight="1" x14ac:dyDescent="0.35">
      <c r="A54" s="735" t="s">
        <v>281</v>
      </c>
      <c r="B54" s="736" t="s">
        <v>286</v>
      </c>
      <c r="C54" s="747"/>
      <c r="D54" s="747"/>
      <c r="E54" s="747"/>
    </row>
    <row r="55" spans="1:5" s="731" customFormat="1" ht="12" customHeight="1" x14ac:dyDescent="0.35">
      <c r="A55" s="735" t="s">
        <v>282</v>
      </c>
      <c r="B55" s="736" t="s">
        <v>287</v>
      </c>
      <c r="C55" s="747"/>
      <c r="D55" s="747"/>
      <c r="E55" s="747"/>
    </row>
    <row r="56" spans="1:5" s="731" customFormat="1" ht="12" customHeight="1" thickBot="1" x14ac:dyDescent="0.4">
      <c r="A56" s="739" t="s">
        <v>283</v>
      </c>
      <c r="B56" s="740" t="s">
        <v>288</v>
      </c>
      <c r="C56" s="748"/>
      <c r="D56" s="748"/>
      <c r="E56" s="748"/>
    </row>
    <row r="57" spans="1:5" s="731" customFormat="1" ht="12" customHeight="1" thickBot="1" x14ac:dyDescent="0.4">
      <c r="A57" s="728" t="s">
        <v>169</v>
      </c>
      <c r="B57" s="729" t="s">
        <v>289</v>
      </c>
      <c r="C57" s="730">
        <f>SUM(C58:C60)</f>
        <v>0</v>
      </c>
      <c r="D57" s="730">
        <f>SUM(D58:D60)</f>
        <v>0</v>
      </c>
      <c r="E57" s="730">
        <f>SUM(E58:E60)</f>
        <v>0</v>
      </c>
    </row>
    <row r="58" spans="1:5" s="731" customFormat="1" ht="12" customHeight="1" x14ac:dyDescent="0.35">
      <c r="A58" s="732" t="s">
        <v>91</v>
      </c>
      <c r="B58" s="733" t="s">
        <v>290</v>
      </c>
      <c r="C58" s="734"/>
      <c r="D58" s="734"/>
      <c r="E58" s="734"/>
    </row>
    <row r="59" spans="1:5" s="731" customFormat="1" ht="12" customHeight="1" x14ac:dyDescent="0.35">
      <c r="A59" s="735" t="s">
        <v>92</v>
      </c>
      <c r="B59" s="736" t="s">
        <v>419</v>
      </c>
      <c r="C59" s="737"/>
      <c r="D59" s="737"/>
      <c r="E59" s="737"/>
    </row>
    <row r="60" spans="1:5" s="731" customFormat="1" ht="12" customHeight="1" x14ac:dyDescent="0.35">
      <c r="A60" s="735" t="s">
        <v>293</v>
      </c>
      <c r="B60" s="736" t="s">
        <v>291</v>
      </c>
      <c r="C60" s="737"/>
      <c r="D60" s="737"/>
      <c r="E60" s="737"/>
    </row>
    <row r="61" spans="1:5" s="731" customFormat="1" ht="12" customHeight="1" thickBot="1" x14ac:dyDescent="0.4">
      <c r="A61" s="739" t="s">
        <v>294</v>
      </c>
      <c r="B61" s="740" t="s">
        <v>292</v>
      </c>
      <c r="C61" s="742"/>
      <c r="D61" s="742"/>
      <c r="E61" s="742"/>
    </row>
    <row r="62" spans="1:5" s="731" customFormat="1" ht="12" customHeight="1" thickBot="1" x14ac:dyDescent="0.4">
      <c r="A62" s="728" t="s">
        <v>21</v>
      </c>
      <c r="B62" s="741" t="s">
        <v>295</v>
      </c>
      <c r="C62" s="730">
        <f>SUM(C63:C65)</f>
        <v>0</v>
      </c>
      <c r="D62" s="730">
        <f>SUM(D63:D65)</f>
        <v>0</v>
      </c>
      <c r="E62" s="730">
        <f>SUM(E63:E65)</f>
        <v>0</v>
      </c>
    </row>
    <row r="63" spans="1:5" s="731" customFormat="1" ht="12" customHeight="1" x14ac:dyDescent="0.35">
      <c r="A63" s="732" t="s">
        <v>170</v>
      </c>
      <c r="B63" s="733" t="s">
        <v>297</v>
      </c>
      <c r="C63" s="747"/>
      <c r="D63" s="747"/>
      <c r="E63" s="747"/>
    </row>
    <row r="64" spans="1:5" s="731" customFormat="1" ht="12" customHeight="1" x14ac:dyDescent="0.35">
      <c r="A64" s="735" t="s">
        <v>171</v>
      </c>
      <c r="B64" s="736" t="s">
        <v>420</v>
      </c>
      <c r="C64" s="747"/>
      <c r="D64" s="747"/>
      <c r="E64" s="747"/>
    </row>
    <row r="65" spans="1:5" s="731" customFormat="1" ht="12" customHeight="1" x14ac:dyDescent="0.35">
      <c r="A65" s="735" t="s">
        <v>218</v>
      </c>
      <c r="B65" s="736" t="s">
        <v>298</v>
      </c>
      <c r="C65" s="747"/>
      <c r="D65" s="747"/>
      <c r="E65" s="747"/>
    </row>
    <row r="66" spans="1:5" s="731" customFormat="1" ht="12" customHeight="1" thickBot="1" x14ac:dyDescent="0.4">
      <c r="A66" s="739" t="s">
        <v>296</v>
      </c>
      <c r="B66" s="740" t="s">
        <v>299</v>
      </c>
      <c r="C66" s="747"/>
      <c r="D66" s="747"/>
      <c r="E66" s="747"/>
    </row>
    <row r="67" spans="1:5" s="731" customFormat="1" ht="12" customHeight="1" thickBot="1" x14ac:dyDescent="0.4">
      <c r="A67" s="750" t="s">
        <v>471</v>
      </c>
      <c r="B67" s="729" t="s">
        <v>300</v>
      </c>
      <c r="C67" s="744">
        <f>+C10+C17+C24+C31+C39+C51+C57+C62</f>
        <v>135885306</v>
      </c>
      <c r="D67" s="744">
        <f>+D10+D17+D24+D31+D39+D51+D57+D62</f>
        <v>135885306</v>
      </c>
      <c r="E67" s="744">
        <f>+E10+E17+E24+E31+E39+E51+E57+E62</f>
        <v>90831656</v>
      </c>
    </row>
    <row r="68" spans="1:5" s="731" customFormat="1" ht="12" customHeight="1" thickBot="1" x14ac:dyDescent="0.4">
      <c r="A68" s="751" t="s">
        <v>301</v>
      </c>
      <c r="B68" s="741" t="s">
        <v>302</v>
      </c>
      <c r="C68" s="730">
        <f>SUM(C69:C71)</f>
        <v>0</v>
      </c>
      <c r="D68" s="730">
        <f>SUM(D69:D71)</f>
        <v>0</v>
      </c>
      <c r="E68" s="730">
        <f>SUM(E69:E71)</f>
        <v>0</v>
      </c>
    </row>
    <row r="69" spans="1:5" s="731" customFormat="1" ht="12" customHeight="1" x14ac:dyDescent="0.35">
      <c r="A69" s="732" t="s">
        <v>333</v>
      </c>
      <c r="B69" s="733" t="s">
        <v>303</v>
      </c>
      <c r="C69" s="747"/>
      <c r="D69" s="747"/>
      <c r="E69" s="747"/>
    </row>
    <row r="70" spans="1:5" s="731" customFormat="1" ht="12" customHeight="1" x14ac:dyDescent="0.35">
      <c r="A70" s="735" t="s">
        <v>342</v>
      </c>
      <c r="B70" s="736" t="s">
        <v>304</v>
      </c>
      <c r="C70" s="747"/>
      <c r="D70" s="747"/>
      <c r="E70" s="747"/>
    </row>
    <row r="71" spans="1:5" s="731" customFormat="1" ht="12" customHeight="1" thickBot="1" x14ac:dyDescent="0.4">
      <c r="A71" s="739" t="s">
        <v>343</v>
      </c>
      <c r="B71" s="752" t="s">
        <v>456</v>
      </c>
      <c r="C71" s="747"/>
      <c r="D71" s="747"/>
      <c r="E71" s="747"/>
    </row>
    <row r="72" spans="1:5" s="731" customFormat="1" ht="12" customHeight="1" thickBot="1" x14ac:dyDescent="0.4">
      <c r="A72" s="751" t="s">
        <v>306</v>
      </c>
      <c r="B72" s="741" t="s">
        <v>307</v>
      </c>
      <c r="C72" s="730">
        <f>SUM(C73:C76)</f>
        <v>0</v>
      </c>
      <c r="D72" s="730">
        <f>SUM(D73:D76)</f>
        <v>0</v>
      </c>
      <c r="E72" s="730">
        <f>SUM(E73:E76)</f>
        <v>0</v>
      </c>
    </row>
    <row r="73" spans="1:5" s="731" customFormat="1" ht="12" customHeight="1" x14ac:dyDescent="0.35">
      <c r="A73" s="732" t="s">
        <v>140</v>
      </c>
      <c r="B73" s="733" t="s">
        <v>308</v>
      </c>
      <c r="C73" s="747"/>
      <c r="D73" s="747"/>
      <c r="E73" s="747"/>
    </row>
    <row r="74" spans="1:5" s="731" customFormat="1" ht="12" customHeight="1" x14ac:dyDescent="0.35">
      <c r="A74" s="735" t="s">
        <v>141</v>
      </c>
      <c r="B74" s="736" t="s">
        <v>309</v>
      </c>
      <c r="C74" s="747"/>
      <c r="D74" s="747"/>
      <c r="E74" s="747"/>
    </row>
    <row r="75" spans="1:5" s="731" customFormat="1" ht="12" customHeight="1" x14ac:dyDescent="0.35">
      <c r="A75" s="735" t="s">
        <v>334</v>
      </c>
      <c r="B75" s="736" t="s">
        <v>310</v>
      </c>
      <c r="C75" s="747"/>
      <c r="D75" s="747"/>
      <c r="E75" s="747"/>
    </row>
    <row r="76" spans="1:5" s="731" customFormat="1" ht="12" customHeight="1" thickBot="1" x14ac:dyDescent="0.4">
      <c r="A76" s="739" t="s">
        <v>335</v>
      </c>
      <c r="B76" s="740" t="s">
        <v>311</v>
      </c>
      <c r="C76" s="747"/>
      <c r="D76" s="747"/>
      <c r="E76" s="747"/>
    </row>
    <row r="77" spans="1:5" s="731" customFormat="1" ht="12" customHeight="1" thickBot="1" x14ac:dyDescent="0.4">
      <c r="A77" s="751" t="s">
        <v>312</v>
      </c>
      <c r="B77" s="741" t="s">
        <v>313</v>
      </c>
      <c r="C77" s="730">
        <f>SUM(C78:C79)</f>
        <v>0</v>
      </c>
      <c r="D77" s="730">
        <f>SUM(D78:D79)</f>
        <v>0</v>
      </c>
      <c r="E77" s="730">
        <f>SUM(E78:E79)</f>
        <v>0</v>
      </c>
    </row>
    <row r="78" spans="1:5" s="731" customFormat="1" ht="12" customHeight="1" x14ac:dyDescent="0.35">
      <c r="A78" s="732" t="s">
        <v>336</v>
      </c>
      <c r="B78" s="733" t="s">
        <v>314</v>
      </c>
      <c r="C78" s="747"/>
      <c r="D78" s="747"/>
      <c r="E78" s="747"/>
    </row>
    <row r="79" spans="1:5" s="731" customFormat="1" ht="12" customHeight="1" thickBot="1" x14ac:dyDescent="0.4">
      <c r="A79" s="739" t="s">
        <v>337</v>
      </c>
      <c r="B79" s="740" t="s">
        <v>315</v>
      </c>
      <c r="C79" s="747"/>
      <c r="D79" s="747"/>
      <c r="E79" s="747"/>
    </row>
    <row r="80" spans="1:5" s="731" customFormat="1" ht="12" customHeight="1" thickBot="1" x14ac:dyDescent="0.4">
      <c r="A80" s="751" t="s">
        <v>316</v>
      </c>
      <c r="B80" s="741" t="s">
        <v>317</v>
      </c>
      <c r="C80" s="730">
        <f>SUM(C81:C83)</f>
        <v>0</v>
      </c>
      <c r="D80" s="730">
        <f>SUM(D81:D83)</f>
        <v>0</v>
      </c>
      <c r="E80" s="730">
        <f>SUM(E81:E83)</f>
        <v>0</v>
      </c>
    </row>
    <row r="81" spans="1:5" s="731" customFormat="1" ht="12" customHeight="1" x14ac:dyDescent="0.35">
      <c r="A81" s="732" t="s">
        <v>338</v>
      </c>
      <c r="B81" s="733" t="s">
        <v>318</v>
      </c>
      <c r="C81" s="747"/>
      <c r="D81" s="747"/>
      <c r="E81" s="747"/>
    </row>
    <row r="82" spans="1:5" s="731" customFormat="1" ht="12" customHeight="1" x14ac:dyDescent="0.35">
      <c r="A82" s="735" t="s">
        <v>339</v>
      </c>
      <c r="B82" s="736" t="s">
        <v>319</v>
      </c>
      <c r="C82" s="747"/>
      <c r="D82" s="747"/>
      <c r="E82" s="747"/>
    </row>
    <row r="83" spans="1:5" s="731" customFormat="1" ht="12" customHeight="1" thickBot="1" x14ac:dyDescent="0.4">
      <c r="A83" s="739" t="s">
        <v>340</v>
      </c>
      <c r="B83" s="740" t="s">
        <v>320</v>
      </c>
      <c r="C83" s="747"/>
      <c r="D83" s="747"/>
      <c r="E83" s="747"/>
    </row>
    <row r="84" spans="1:5" s="731" customFormat="1" ht="12" customHeight="1" thickBot="1" x14ac:dyDescent="0.4">
      <c r="A84" s="751" t="s">
        <v>321</v>
      </c>
      <c r="B84" s="741" t="s">
        <v>341</v>
      </c>
      <c r="C84" s="730">
        <f>SUM(C85:C88)</f>
        <v>0</v>
      </c>
      <c r="D84" s="730">
        <f>SUM(D85:D88)</f>
        <v>0</v>
      </c>
      <c r="E84" s="730">
        <f>SUM(E85:E88)</f>
        <v>0</v>
      </c>
    </row>
    <row r="85" spans="1:5" s="731" customFormat="1" ht="12" customHeight="1" x14ac:dyDescent="0.35">
      <c r="A85" s="753" t="s">
        <v>322</v>
      </c>
      <c r="B85" s="733" t="s">
        <v>323</v>
      </c>
      <c r="C85" s="747"/>
      <c r="D85" s="747"/>
      <c r="E85" s="747"/>
    </row>
    <row r="86" spans="1:5" s="731" customFormat="1" ht="12" customHeight="1" x14ac:dyDescent="0.35">
      <c r="A86" s="754" t="s">
        <v>324</v>
      </c>
      <c r="B86" s="736" t="s">
        <v>325</v>
      </c>
      <c r="C86" s="747"/>
      <c r="D86" s="747"/>
      <c r="E86" s="747"/>
    </row>
    <row r="87" spans="1:5" s="731" customFormat="1" ht="12" customHeight="1" x14ac:dyDescent="0.35">
      <c r="A87" s="754" t="s">
        <v>326</v>
      </c>
      <c r="B87" s="736" t="s">
        <v>327</v>
      </c>
      <c r="C87" s="747"/>
      <c r="D87" s="747"/>
      <c r="E87" s="747"/>
    </row>
    <row r="88" spans="1:5" s="731" customFormat="1" ht="12" customHeight="1" thickBot="1" x14ac:dyDescent="0.4">
      <c r="A88" s="755" t="s">
        <v>328</v>
      </c>
      <c r="B88" s="740" t="s">
        <v>329</v>
      </c>
      <c r="C88" s="747"/>
      <c r="D88" s="747"/>
      <c r="E88" s="747"/>
    </row>
    <row r="89" spans="1:5" s="731" customFormat="1" ht="12" customHeight="1" thickBot="1" x14ac:dyDescent="0.4">
      <c r="A89" s="751" t="s">
        <v>330</v>
      </c>
      <c r="B89" s="741" t="s">
        <v>470</v>
      </c>
      <c r="C89" s="756"/>
      <c r="D89" s="756"/>
      <c r="E89" s="756"/>
    </row>
    <row r="90" spans="1:5" s="731" customFormat="1" ht="13.5" customHeight="1" thickBot="1" x14ac:dyDescent="0.4">
      <c r="A90" s="751" t="s">
        <v>332</v>
      </c>
      <c r="B90" s="741" t="s">
        <v>331</v>
      </c>
      <c r="C90" s="756"/>
      <c r="D90" s="756"/>
      <c r="E90" s="756"/>
    </row>
    <row r="91" spans="1:5" s="731" customFormat="1" ht="15.75" customHeight="1" thickBot="1" x14ac:dyDescent="0.4">
      <c r="A91" s="751" t="s">
        <v>344</v>
      </c>
      <c r="B91" s="757" t="s">
        <v>473</v>
      </c>
      <c r="C91" s="744">
        <f>+C68+C72+C77+C80+C84+C90+C89</f>
        <v>0</v>
      </c>
      <c r="D91" s="744">
        <f>+D68+D72+D77+D80+D84+D90+D89</f>
        <v>0</v>
      </c>
      <c r="E91" s="744">
        <f>+E68+E72+E77+E80+E84+E90+E89</f>
        <v>0</v>
      </c>
    </row>
    <row r="92" spans="1:5" s="731" customFormat="1" ht="16.5" customHeight="1" thickBot="1" x14ac:dyDescent="0.4">
      <c r="A92" s="758" t="s">
        <v>472</v>
      </c>
      <c r="B92" s="759" t="s">
        <v>474</v>
      </c>
      <c r="C92" s="744">
        <f>+C67+C91</f>
        <v>135885306</v>
      </c>
      <c r="D92" s="744">
        <f>+D67+D91</f>
        <v>135885306</v>
      </c>
      <c r="E92" s="744">
        <f>+E67+E91</f>
        <v>90831656</v>
      </c>
    </row>
    <row r="93" spans="1:5" s="731" customFormat="1" ht="83.25" customHeight="1" x14ac:dyDescent="0.35">
      <c r="A93" s="71"/>
      <c r="B93" s="72"/>
      <c r="C93" s="566"/>
      <c r="D93" s="566"/>
      <c r="E93" s="566"/>
    </row>
    <row r="94" spans="1:5" s="33" customFormat="1" ht="16.5" customHeight="1" x14ac:dyDescent="0.35">
      <c r="A94" s="900" t="s">
        <v>42</v>
      </c>
      <c r="B94" s="900"/>
    </row>
    <row r="95" spans="1:5" s="73" customFormat="1" ht="16.5" customHeight="1" thickBot="1" x14ac:dyDescent="0.4">
      <c r="A95" s="901" t="s">
        <v>143</v>
      </c>
      <c r="B95" s="901"/>
      <c r="C95" s="760"/>
      <c r="D95" s="760"/>
      <c r="E95" s="760"/>
    </row>
    <row r="96" spans="1:5" s="33" customFormat="1" ht="38.15" customHeight="1" thickBot="1" x14ac:dyDescent="0.4">
      <c r="A96" s="761" t="s">
        <v>64</v>
      </c>
      <c r="B96" s="762" t="s">
        <v>43</v>
      </c>
      <c r="C96" s="677" t="s">
        <v>640</v>
      </c>
      <c r="D96" s="677" t="s">
        <v>724</v>
      </c>
      <c r="E96" s="827" t="s">
        <v>730</v>
      </c>
    </row>
    <row r="97" spans="1:5" s="731" customFormat="1" ht="12" customHeight="1" thickBot="1" x14ac:dyDescent="0.4">
      <c r="A97" s="761" t="s">
        <v>482</v>
      </c>
      <c r="B97" s="762" t="s">
        <v>483</v>
      </c>
      <c r="C97" s="763" t="s">
        <v>484</v>
      </c>
      <c r="D97" s="763" t="s">
        <v>484</v>
      </c>
      <c r="E97" s="763" t="s">
        <v>484</v>
      </c>
    </row>
    <row r="98" spans="1:5" s="33" customFormat="1" ht="12" customHeight="1" thickBot="1" x14ac:dyDescent="0.4">
      <c r="A98" s="764" t="s">
        <v>14</v>
      </c>
      <c r="B98" s="765" t="s">
        <v>736</v>
      </c>
      <c r="C98" s="766">
        <f>C99+C100+C101+C102+C103+C116</f>
        <v>114320706</v>
      </c>
      <c r="D98" s="766">
        <f>D99+D100+D101+D102+D103+D116</f>
        <v>114320706</v>
      </c>
      <c r="E98" s="766">
        <f>E99+E100+E101+E102+E103+E116</f>
        <v>78512656</v>
      </c>
    </row>
    <row r="99" spans="1:5" s="33" customFormat="1" ht="12" customHeight="1" x14ac:dyDescent="0.35">
      <c r="A99" s="767" t="s">
        <v>93</v>
      </c>
      <c r="B99" s="768" t="s">
        <v>44</v>
      </c>
      <c r="C99" s="769">
        <v>17094400</v>
      </c>
      <c r="D99" s="769">
        <v>17094400</v>
      </c>
      <c r="E99" s="769">
        <f>14443400</f>
        <v>14443400</v>
      </c>
    </row>
    <row r="100" spans="1:5" s="33" customFormat="1" ht="12" customHeight="1" x14ac:dyDescent="0.35">
      <c r="A100" s="735" t="s">
        <v>94</v>
      </c>
      <c r="B100" s="770" t="s">
        <v>172</v>
      </c>
      <c r="C100" s="737">
        <v>3142995</v>
      </c>
      <c r="D100" s="737">
        <v>3142995</v>
      </c>
      <c r="E100" s="737">
        <f>2621945</f>
        <v>2621945</v>
      </c>
    </row>
    <row r="101" spans="1:5" s="33" customFormat="1" ht="12" customHeight="1" x14ac:dyDescent="0.35">
      <c r="A101" s="735" t="s">
        <v>95</v>
      </c>
      <c r="B101" s="770" t="s">
        <v>131</v>
      </c>
      <c r="C101" s="742">
        <v>94083311</v>
      </c>
      <c r="D101" s="742">
        <v>94083311</v>
      </c>
      <c r="E101" s="742">
        <f>61447311</f>
        <v>61447311</v>
      </c>
    </row>
    <row r="102" spans="1:5" s="33" customFormat="1" ht="12" customHeight="1" x14ac:dyDescent="0.35">
      <c r="A102" s="735" t="s">
        <v>96</v>
      </c>
      <c r="B102" s="771" t="s">
        <v>173</v>
      </c>
      <c r="C102" s="742"/>
      <c r="D102" s="742"/>
      <c r="E102" s="742"/>
    </row>
    <row r="103" spans="1:5" s="33" customFormat="1" ht="12" customHeight="1" x14ac:dyDescent="0.35">
      <c r="A103" s="735" t="s">
        <v>107</v>
      </c>
      <c r="B103" s="772" t="s">
        <v>174</v>
      </c>
      <c r="C103" s="742">
        <f>C104+C105+C106+C107+C108+C110+C111+C112+C113+C114+C115</f>
        <v>0</v>
      </c>
      <c r="D103" s="742">
        <f>D104+D105+D106+D107+D108+D110+D111+D112+D113+D114+D115</f>
        <v>0</v>
      </c>
      <c r="E103" s="742">
        <f>E104+E105+E106+E107+E108+E110+E111+E112+E113+E114+E115</f>
        <v>0</v>
      </c>
    </row>
    <row r="104" spans="1:5" s="33" customFormat="1" ht="12" customHeight="1" x14ac:dyDescent="0.35">
      <c r="A104" s="735" t="s">
        <v>97</v>
      </c>
      <c r="B104" s="770" t="s">
        <v>437</v>
      </c>
      <c r="C104" s="742"/>
      <c r="D104" s="742"/>
      <c r="E104" s="742"/>
    </row>
    <row r="105" spans="1:5" s="33" customFormat="1" ht="12" customHeight="1" x14ac:dyDescent="0.35">
      <c r="A105" s="735" t="s">
        <v>98</v>
      </c>
      <c r="B105" s="773" t="s">
        <v>436</v>
      </c>
      <c r="C105" s="742"/>
      <c r="D105" s="742"/>
      <c r="E105" s="742"/>
    </row>
    <row r="106" spans="1:5" s="33" customFormat="1" ht="12" customHeight="1" x14ac:dyDescent="0.35">
      <c r="A106" s="735" t="s">
        <v>108</v>
      </c>
      <c r="B106" s="773" t="s">
        <v>435</v>
      </c>
      <c r="C106" s="742"/>
      <c r="D106" s="742"/>
      <c r="E106" s="742"/>
    </row>
    <row r="107" spans="1:5" s="33" customFormat="1" ht="12" customHeight="1" x14ac:dyDescent="0.35">
      <c r="A107" s="735" t="s">
        <v>109</v>
      </c>
      <c r="B107" s="774" t="s">
        <v>347</v>
      </c>
      <c r="C107" s="742"/>
      <c r="D107" s="742"/>
      <c r="E107" s="742"/>
    </row>
    <row r="108" spans="1:5" s="33" customFormat="1" ht="12" customHeight="1" x14ac:dyDescent="0.35">
      <c r="A108" s="735" t="s">
        <v>110</v>
      </c>
      <c r="B108" s="775" t="s">
        <v>348</v>
      </c>
      <c r="C108" s="742"/>
      <c r="D108" s="742"/>
      <c r="E108" s="742"/>
    </row>
    <row r="109" spans="1:5" s="33" customFormat="1" ht="12" customHeight="1" x14ac:dyDescent="0.35">
      <c r="A109" s="735" t="s">
        <v>111</v>
      </c>
      <c r="B109" s="775" t="s">
        <v>349</v>
      </c>
      <c r="C109" s="742"/>
      <c r="D109" s="742"/>
      <c r="E109" s="742"/>
    </row>
    <row r="110" spans="1:5" s="33" customFormat="1" ht="12" customHeight="1" x14ac:dyDescent="0.35">
      <c r="A110" s="735" t="s">
        <v>113</v>
      </c>
      <c r="B110" s="774" t="s">
        <v>350</v>
      </c>
      <c r="C110" s="742"/>
      <c r="D110" s="742"/>
      <c r="E110" s="742"/>
    </row>
    <row r="111" spans="1:5" s="33" customFormat="1" ht="12" customHeight="1" x14ac:dyDescent="0.35">
      <c r="A111" s="735" t="s">
        <v>175</v>
      </c>
      <c r="B111" s="774" t="s">
        <v>351</v>
      </c>
      <c r="C111" s="742"/>
      <c r="D111" s="742"/>
      <c r="E111" s="742"/>
    </row>
    <row r="112" spans="1:5" s="33" customFormat="1" ht="12" customHeight="1" x14ac:dyDescent="0.35">
      <c r="A112" s="735" t="s">
        <v>345</v>
      </c>
      <c r="B112" s="775" t="s">
        <v>352</v>
      </c>
      <c r="C112" s="742"/>
      <c r="D112" s="742"/>
      <c r="E112" s="742"/>
    </row>
    <row r="113" spans="1:5" s="33" customFormat="1" ht="12" customHeight="1" x14ac:dyDescent="0.35">
      <c r="A113" s="776" t="s">
        <v>346</v>
      </c>
      <c r="B113" s="773" t="s">
        <v>353</v>
      </c>
      <c r="C113" s="742"/>
      <c r="D113" s="742"/>
      <c r="E113" s="742"/>
    </row>
    <row r="114" spans="1:5" s="33" customFormat="1" ht="12" customHeight="1" x14ac:dyDescent="0.35">
      <c r="A114" s="735" t="s">
        <v>433</v>
      </c>
      <c r="B114" s="773" t="s">
        <v>354</v>
      </c>
      <c r="C114" s="742"/>
      <c r="D114" s="742"/>
      <c r="E114" s="742"/>
    </row>
    <row r="115" spans="1:5" s="33" customFormat="1" ht="12" customHeight="1" x14ac:dyDescent="0.35">
      <c r="A115" s="739" t="s">
        <v>434</v>
      </c>
      <c r="B115" s="773" t="s">
        <v>355</v>
      </c>
      <c r="C115" s="742"/>
      <c r="D115" s="742"/>
      <c r="E115" s="742"/>
    </row>
    <row r="116" spans="1:5" s="33" customFormat="1" ht="12" customHeight="1" x14ac:dyDescent="0.35">
      <c r="A116" s="735" t="s">
        <v>438</v>
      </c>
      <c r="B116" s="771" t="s">
        <v>45</v>
      </c>
      <c r="C116" s="737">
        <f>C117+C118</f>
        <v>0</v>
      </c>
      <c r="D116" s="737">
        <f>D117+D118</f>
        <v>0</v>
      </c>
      <c r="E116" s="737">
        <f>E117+E118</f>
        <v>0</v>
      </c>
    </row>
    <row r="117" spans="1:5" s="33" customFormat="1" ht="12" customHeight="1" x14ac:dyDescent="0.35">
      <c r="A117" s="735" t="s">
        <v>439</v>
      </c>
      <c r="B117" s="770" t="s">
        <v>441</v>
      </c>
      <c r="C117" s="737"/>
      <c r="D117" s="737"/>
      <c r="E117" s="737"/>
    </row>
    <row r="118" spans="1:5" s="33" customFormat="1" ht="12" customHeight="1" x14ac:dyDescent="0.35">
      <c r="A118" s="735" t="s">
        <v>440</v>
      </c>
      <c r="B118" s="777" t="s">
        <v>442</v>
      </c>
      <c r="C118" s="737"/>
      <c r="D118" s="737"/>
      <c r="E118" s="737"/>
    </row>
    <row r="119" spans="1:5" s="33" customFormat="1" ht="12" customHeight="1" thickBot="1" x14ac:dyDescent="0.4">
      <c r="A119" s="807" t="s">
        <v>15</v>
      </c>
      <c r="B119" s="808" t="s">
        <v>737</v>
      </c>
      <c r="C119" s="780">
        <f>+C120+C122+C124</f>
        <v>21564600</v>
      </c>
      <c r="D119" s="780">
        <f>+D120+D122+D124</f>
        <v>21564600</v>
      </c>
      <c r="E119" s="780">
        <f>+E120+E122+E124</f>
        <v>12319000</v>
      </c>
    </row>
    <row r="120" spans="1:5" s="33" customFormat="1" ht="12" customHeight="1" x14ac:dyDescent="0.35">
      <c r="A120" s="732" t="s">
        <v>99</v>
      </c>
      <c r="B120" s="770" t="s">
        <v>217</v>
      </c>
      <c r="C120" s="734">
        <v>21564600</v>
      </c>
      <c r="D120" s="734">
        <v>21564600</v>
      </c>
      <c r="E120" s="734">
        <f>12319000</f>
        <v>12319000</v>
      </c>
    </row>
    <row r="121" spans="1:5" s="33" customFormat="1" ht="12" customHeight="1" x14ac:dyDescent="0.35">
      <c r="A121" s="732" t="s">
        <v>100</v>
      </c>
      <c r="B121" s="781" t="s">
        <v>359</v>
      </c>
      <c r="C121" s="734"/>
      <c r="D121" s="734"/>
      <c r="E121" s="734"/>
    </row>
    <row r="122" spans="1:5" s="33" customFormat="1" ht="12" customHeight="1" x14ac:dyDescent="0.35">
      <c r="A122" s="732" t="s">
        <v>101</v>
      </c>
      <c r="B122" s="781" t="s">
        <v>176</v>
      </c>
      <c r="C122" s="737"/>
      <c r="D122" s="737"/>
      <c r="E122" s="737"/>
    </row>
    <row r="123" spans="1:5" s="33" customFormat="1" ht="12" customHeight="1" x14ac:dyDescent="0.35">
      <c r="A123" s="732" t="s">
        <v>102</v>
      </c>
      <c r="B123" s="781" t="s">
        <v>360</v>
      </c>
      <c r="C123" s="782"/>
      <c r="D123" s="782"/>
      <c r="E123" s="782"/>
    </row>
    <row r="124" spans="1:5" s="33" customFormat="1" ht="12" customHeight="1" x14ac:dyDescent="0.35">
      <c r="A124" s="732" t="s">
        <v>103</v>
      </c>
      <c r="B124" s="740" t="s">
        <v>219</v>
      </c>
      <c r="C124" s="782">
        <f>C125+C126+C127+C128+C129+C130+C131+C132</f>
        <v>0</v>
      </c>
      <c r="D124" s="782">
        <f>D125+D126+D127+D128+D129+D130+D131+D132</f>
        <v>0</v>
      </c>
      <c r="E124" s="782">
        <f>E125+E126+E127+E128+E129+E130+E131+E132</f>
        <v>0</v>
      </c>
    </row>
    <row r="125" spans="1:5" s="33" customFormat="1" ht="12" customHeight="1" x14ac:dyDescent="0.35">
      <c r="A125" s="732" t="s">
        <v>112</v>
      </c>
      <c r="B125" s="738" t="s">
        <v>421</v>
      </c>
      <c r="C125" s="782"/>
      <c r="D125" s="782"/>
      <c r="E125" s="782"/>
    </row>
    <row r="126" spans="1:5" s="33" customFormat="1" ht="12" customHeight="1" x14ac:dyDescent="0.35">
      <c r="A126" s="732" t="s">
        <v>114</v>
      </c>
      <c r="B126" s="783" t="s">
        <v>365</v>
      </c>
      <c r="C126" s="782"/>
      <c r="D126" s="782"/>
      <c r="E126" s="782"/>
    </row>
    <row r="127" spans="1:5" s="33" customFormat="1" x14ac:dyDescent="0.35">
      <c r="A127" s="732" t="s">
        <v>177</v>
      </c>
      <c r="B127" s="775" t="s">
        <v>349</v>
      </c>
      <c r="C127" s="782"/>
      <c r="D127" s="782"/>
      <c r="E127" s="782"/>
    </row>
    <row r="128" spans="1:5" s="33" customFormat="1" ht="12" customHeight="1" x14ac:dyDescent="0.35">
      <c r="A128" s="732" t="s">
        <v>178</v>
      </c>
      <c r="B128" s="775" t="s">
        <v>364</v>
      </c>
      <c r="C128" s="782"/>
      <c r="D128" s="782"/>
      <c r="E128" s="782"/>
    </row>
    <row r="129" spans="1:5" s="33" customFormat="1" ht="12" customHeight="1" x14ac:dyDescent="0.35">
      <c r="A129" s="732" t="s">
        <v>179</v>
      </c>
      <c r="B129" s="775" t="s">
        <v>363</v>
      </c>
      <c r="C129" s="782"/>
      <c r="D129" s="782"/>
      <c r="E129" s="782"/>
    </row>
    <row r="130" spans="1:5" s="33" customFormat="1" ht="12" customHeight="1" x14ac:dyDescent="0.35">
      <c r="A130" s="732" t="s">
        <v>356</v>
      </c>
      <c r="B130" s="775" t="s">
        <v>352</v>
      </c>
      <c r="C130" s="782"/>
      <c r="D130" s="782"/>
      <c r="E130" s="782"/>
    </row>
    <row r="131" spans="1:5" s="33" customFormat="1" ht="12" customHeight="1" x14ac:dyDescent="0.35">
      <c r="A131" s="732" t="s">
        <v>357</v>
      </c>
      <c r="B131" s="775" t="s">
        <v>362</v>
      </c>
      <c r="C131" s="782"/>
      <c r="D131" s="782"/>
      <c r="E131" s="782"/>
    </row>
    <row r="132" spans="1:5" s="33" customFormat="1" ht="16" thickBot="1" x14ac:dyDescent="0.4">
      <c r="A132" s="776" t="s">
        <v>358</v>
      </c>
      <c r="B132" s="775" t="s">
        <v>361</v>
      </c>
      <c r="C132" s="784"/>
      <c r="D132" s="784"/>
      <c r="E132" s="784"/>
    </row>
    <row r="133" spans="1:5" s="33" customFormat="1" ht="12" customHeight="1" thickBot="1" x14ac:dyDescent="0.4">
      <c r="A133" s="728" t="s">
        <v>16</v>
      </c>
      <c r="B133" s="785" t="s">
        <v>443</v>
      </c>
      <c r="C133" s="730">
        <f>+C98+C119</f>
        <v>135885306</v>
      </c>
      <c r="D133" s="730">
        <f>+D98+D119</f>
        <v>135885306</v>
      </c>
      <c r="E133" s="730">
        <f>+E98+E119</f>
        <v>90831656</v>
      </c>
    </row>
    <row r="134" spans="1:5" s="33" customFormat="1" ht="12" customHeight="1" thickBot="1" x14ac:dyDescent="0.4">
      <c r="A134" s="728" t="s">
        <v>17</v>
      </c>
      <c r="B134" s="785" t="s">
        <v>444</v>
      </c>
      <c r="C134" s="730">
        <f>+C135+C136+C137</f>
        <v>0</v>
      </c>
      <c r="D134" s="730">
        <f>+D135+D136+D137</f>
        <v>0</v>
      </c>
      <c r="E134" s="730">
        <f>+E135+E136+E137</f>
        <v>0</v>
      </c>
    </row>
    <row r="135" spans="1:5" s="33" customFormat="1" ht="12" customHeight="1" x14ac:dyDescent="0.35">
      <c r="A135" s="732" t="s">
        <v>257</v>
      </c>
      <c r="B135" s="781" t="s">
        <v>451</v>
      </c>
      <c r="C135" s="782"/>
      <c r="D135" s="782"/>
      <c r="E135" s="782"/>
    </row>
    <row r="136" spans="1:5" s="33" customFormat="1" ht="12" customHeight="1" x14ac:dyDescent="0.35">
      <c r="A136" s="732" t="s">
        <v>260</v>
      </c>
      <c r="B136" s="781" t="s">
        <v>452</v>
      </c>
      <c r="C136" s="782"/>
      <c r="D136" s="782"/>
      <c r="E136" s="782"/>
    </row>
    <row r="137" spans="1:5" s="33" customFormat="1" ht="12" customHeight="1" thickBot="1" x14ac:dyDescent="0.4">
      <c r="A137" s="776" t="s">
        <v>261</v>
      </c>
      <c r="B137" s="781" t="s">
        <v>453</v>
      </c>
      <c r="C137" s="782"/>
      <c r="D137" s="782"/>
      <c r="E137" s="782"/>
    </row>
    <row r="138" spans="1:5" s="33" customFormat="1" ht="12" customHeight="1" thickBot="1" x14ac:dyDescent="0.4">
      <c r="A138" s="728" t="s">
        <v>18</v>
      </c>
      <c r="B138" s="785" t="s">
        <v>445</v>
      </c>
      <c r="C138" s="730">
        <f>SUM(C139:C144)</f>
        <v>0</v>
      </c>
      <c r="D138" s="730">
        <f>SUM(D139:D144)</f>
        <v>0</v>
      </c>
      <c r="E138" s="730">
        <f>SUM(E139:E144)</f>
        <v>0</v>
      </c>
    </row>
    <row r="139" spans="1:5" s="33" customFormat="1" ht="12" customHeight="1" x14ac:dyDescent="0.35">
      <c r="A139" s="732" t="s">
        <v>86</v>
      </c>
      <c r="B139" s="786" t="s">
        <v>454</v>
      </c>
      <c r="C139" s="782"/>
      <c r="D139" s="782"/>
      <c r="E139" s="782"/>
    </row>
    <row r="140" spans="1:5" s="33" customFormat="1" ht="12" customHeight="1" x14ac:dyDescent="0.35">
      <c r="A140" s="732" t="s">
        <v>87</v>
      </c>
      <c r="B140" s="786" t="s">
        <v>446</v>
      </c>
      <c r="C140" s="782"/>
      <c r="D140" s="782"/>
      <c r="E140" s="782"/>
    </row>
    <row r="141" spans="1:5" s="33" customFormat="1" ht="12" customHeight="1" x14ac:dyDescent="0.35">
      <c r="A141" s="732" t="s">
        <v>88</v>
      </c>
      <c r="B141" s="786" t="s">
        <v>447</v>
      </c>
      <c r="C141" s="782"/>
      <c r="D141" s="782"/>
      <c r="E141" s="782"/>
    </row>
    <row r="142" spans="1:5" s="33" customFormat="1" ht="12" customHeight="1" x14ac:dyDescent="0.35">
      <c r="A142" s="732" t="s">
        <v>164</v>
      </c>
      <c r="B142" s="786" t="s">
        <v>448</v>
      </c>
      <c r="C142" s="782"/>
      <c r="D142" s="782"/>
      <c r="E142" s="782"/>
    </row>
    <row r="143" spans="1:5" s="33" customFormat="1" ht="12" customHeight="1" x14ac:dyDescent="0.35">
      <c r="A143" s="732" t="s">
        <v>165</v>
      </c>
      <c r="B143" s="786" t="s">
        <v>449</v>
      </c>
      <c r="C143" s="782"/>
      <c r="D143" s="782"/>
      <c r="E143" s="782"/>
    </row>
    <row r="144" spans="1:5" s="33" customFormat="1" ht="12" customHeight="1" thickBot="1" x14ac:dyDescent="0.4">
      <c r="A144" s="776" t="s">
        <v>166</v>
      </c>
      <c r="B144" s="786" t="s">
        <v>450</v>
      </c>
      <c r="C144" s="782"/>
      <c r="D144" s="782"/>
      <c r="E144" s="782"/>
    </row>
    <row r="145" spans="1:5" s="33" customFormat="1" ht="12" customHeight="1" thickBot="1" x14ac:dyDescent="0.4">
      <c r="A145" s="728" t="s">
        <v>19</v>
      </c>
      <c r="B145" s="785" t="s">
        <v>458</v>
      </c>
      <c r="C145" s="744">
        <f>+C146+C147+C148+C149</f>
        <v>0</v>
      </c>
      <c r="D145" s="744">
        <f>+D146+D147+D148+D149</f>
        <v>0</v>
      </c>
      <c r="E145" s="744">
        <f>+E146+E147+E148+E149</f>
        <v>0</v>
      </c>
    </row>
    <row r="146" spans="1:5" s="33" customFormat="1" ht="12" customHeight="1" x14ac:dyDescent="0.35">
      <c r="A146" s="732" t="s">
        <v>89</v>
      </c>
      <c r="B146" s="786" t="s">
        <v>366</v>
      </c>
      <c r="C146" s="782"/>
      <c r="D146" s="782"/>
      <c r="E146" s="782"/>
    </row>
    <row r="147" spans="1:5" s="33" customFormat="1" ht="12" customHeight="1" x14ac:dyDescent="0.35">
      <c r="A147" s="732" t="s">
        <v>90</v>
      </c>
      <c r="B147" s="786" t="s">
        <v>367</v>
      </c>
      <c r="C147" s="782"/>
      <c r="D147" s="782"/>
      <c r="E147" s="782"/>
    </row>
    <row r="148" spans="1:5" s="33" customFormat="1" ht="12" customHeight="1" x14ac:dyDescent="0.35">
      <c r="A148" s="732" t="s">
        <v>281</v>
      </c>
      <c r="B148" s="786" t="s">
        <v>459</v>
      </c>
      <c r="C148" s="782"/>
      <c r="D148" s="782"/>
      <c r="E148" s="782"/>
    </row>
    <row r="149" spans="1:5" s="33" customFormat="1" ht="12" customHeight="1" thickBot="1" x14ac:dyDescent="0.4">
      <c r="A149" s="776" t="s">
        <v>282</v>
      </c>
      <c r="B149" s="787" t="s">
        <v>385</v>
      </c>
      <c r="C149" s="782"/>
      <c r="D149" s="782"/>
      <c r="E149" s="782"/>
    </row>
    <row r="150" spans="1:5" s="33" customFormat="1" ht="12" customHeight="1" thickBot="1" x14ac:dyDescent="0.4">
      <c r="A150" s="728" t="s">
        <v>20</v>
      </c>
      <c r="B150" s="785" t="s">
        <v>460</v>
      </c>
      <c r="C150" s="788">
        <f>SUM(C151:C155)</f>
        <v>0</v>
      </c>
      <c r="D150" s="788">
        <f>SUM(D151:D155)</f>
        <v>0</v>
      </c>
      <c r="E150" s="788">
        <f>SUM(E151:E155)</f>
        <v>0</v>
      </c>
    </row>
    <row r="151" spans="1:5" s="33" customFormat="1" ht="12" customHeight="1" x14ac:dyDescent="0.35">
      <c r="A151" s="732" t="s">
        <v>91</v>
      </c>
      <c r="B151" s="786" t="s">
        <v>455</v>
      </c>
      <c r="C151" s="782"/>
      <c r="D151" s="782"/>
      <c r="E151" s="782"/>
    </row>
    <row r="152" spans="1:5" s="33" customFormat="1" ht="12" customHeight="1" x14ac:dyDescent="0.35">
      <c r="A152" s="732" t="s">
        <v>92</v>
      </c>
      <c r="B152" s="786" t="s">
        <v>462</v>
      </c>
      <c r="C152" s="782"/>
      <c r="D152" s="782"/>
      <c r="E152" s="782"/>
    </row>
    <row r="153" spans="1:5" s="33" customFormat="1" ht="12" customHeight="1" x14ac:dyDescent="0.35">
      <c r="A153" s="732" t="s">
        <v>293</v>
      </c>
      <c r="B153" s="786" t="s">
        <v>457</v>
      </c>
      <c r="C153" s="782"/>
      <c r="D153" s="782"/>
      <c r="E153" s="782"/>
    </row>
    <row r="154" spans="1:5" s="33" customFormat="1" ht="12" customHeight="1" x14ac:dyDescent="0.35">
      <c r="A154" s="732" t="s">
        <v>294</v>
      </c>
      <c r="B154" s="786" t="s">
        <v>463</v>
      </c>
      <c r="C154" s="782"/>
      <c r="D154" s="782"/>
      <c r="E154" s="782"/>
    </row>
    <row r="155" spans="1:5" s="33" customFormat="1" ht="12" customHeight="1" thickBot="1" x14ac:dyDescent="0.4">
      <c r="A155" s="732" t="s">
        <v>461</v>
      </c>
      <c r="B155" s="786" t="s">
        <v>464</v>
      </c>
      <c r="C155" s="782"/>
      <c r="D155" s="782"/>
      <c r="E155" s="782"/>
    </row>
    <row r="156" spans="1:5" s="33" customFormat="1" ht="12" customHeight="1" thickBot="1" x14ac:dyDescent="0.4">
      <c r="A156" s="728" t="s">
        <v>21</v>
      </c>
      <c r="B156" s="785" t="s">
        <v>465</v>
      </c>
      <c r="C156" s="789"/>
      <c r="D156" s="789"/>
      <c r="E156" s="789"/>
    </row>
    <row r="157" spans="1:5" s="33" customFormat="1" ht="12" customHeight="1" thickBot="1" x14ac:dyDescent="0.4">
      <c r="A157" s="728" t="s">
        <v>22</v>
      </c>
      <c r="B157" s="785" t="s">
        <v>466</v>
      </c>
      <c r="C157" s="789"/>
      <c r="D157" s="789"/>
      <c r="E157" s="789"/>
    </row>
    <row r="158" spans="1:5" s="33" customFormat="1" ht="15" customHeight="1" thickBot="1" x14ac:dyDescent="0.4">
      <c r="A158" s="728" t="s">
        <v>23</v>
      </c>
      <c r="B158" s="785" t="s">
        <v>468</v>
      </c>
      <c r="C158" s="790">
        <f>+C134+C138+C145+C150+C156+C157</f>
        <v>0</v>
      </c>
      <c r="D158" s="790">
        <f>+D134+D138+D145+D150+D156+D157</f>
        <v>0</v>
      </c>
      <c r="E158" s="790">
        <f>+E134+E138+E145+E150+E156+E157</f>
        <v>0</v>
      </c>
    </row>
    <row r="159" spans="1:5" s="731" customFormat="1" ht="13" customHeight="1" thickBot="1" x14ac:dyDescent="0.4">
      <c r="A159" s="791" t="s">
        <v>24</v>
      </c>
      <c r="B159" s="792" t="s">
        <v>467</v>
      </c>
      <c r="C159" s="790">
        <f>+C133+C158</f>
        <v>135885306</v>
      </c>
      <c r="D159" s="790">
        <f>+D133+D158</f>
        <v>135885306</v>
      </c>
      <c r="E159" s="790">
        <f>+E133+E158</f>
        <v>90831656</v>
      </c>
    </row>
  </sheetData>
  <mergeCells count="4">
    <mergeCell ref="A6:B6"/>
    <mergeCell ref="A7:B7"/>
    <mergeCell ref="A94:B94"/>
    <mergeCell ref="A95:B95"/>
  </mergeCells>
  <phoneticPr fontId="5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0" fitToHeight="2" orientation="portrait" r:id="rId1"/>
  <headerFooter alignWithMargins="0">
    <oddHeader>&amp;R&amp;"Times New Roman CE,Félkövér dőlt"&amp;11 1.1. melléklet a 11/2020. (VI.26.) önkormányzati rendelethez</oddHeader>
    <oddFooter>&amp;P. oldal, összesen: &amp;N</oddFooter>
  </headerFooter>
  <rowBreaks count="3" manualBreakCount="3">
    <brk id="67" max="4" man="1"/>
    <brk id="92" max="4" man="1"/>
    <brk id="133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unka30">
    <tabColor rgb="FFFFFF00"/>
  </sheetPr>
  <dimension ref="A1:D31"/>
  <sheetViews>
    <sheetView zoomScaleNormal="100" workbookViewId="0">
      <selection activeCell="B1" sqref="B1:D1"/>
    </sheetView>
  </sheetViews>
  <sheetFormatPr defaultColWidth="9.296875" defaultRowHeight="13" x14ac:dyDescent="0.3"/>
  <cols>
    <col min="1" max="1" width="5.796875" style="344" customWidth="1"/>
    <col min="2" max="2" width="54.796875" style="109" customWidth="1"/>
    <col min="3" max="4" width="17.69921875" style="109" customWidth="1"/>
    <col min="5" max="16384" width="9.296875" style="109"/>
  </cols>
  <sheetData>
    <row r="1" spans="1:4" ht="31.5" customHeight="1" x14ac:dyDescent="0.3">
      <c r="B1" s="962" t="s">
        <v>5</v>
      </c>
      <c r="C1" s="962"/>
      <c r="D1" s="962"/>
    </row>
    <row r="2" spans="1:4" s="347" customFormat="1" ht="15.5" thickBot="1" x14ac:dyDescent="0.35">
      <c r="A2" s="346"/>
      <c r="B2" s="345"/>
      <c r="D2" s="348" t="s">
        <v>579</v>
      </c>
    </row>
    <row r="3" spans="1:4" s="352" customFormat="1" ht="48" customHeight="1" thickBot="1" x14ac:dyDescent="0.35">
      <c r="A3" s="349" t="s">
        <v>12</v>
      </c>
      <c r="B3" s="350" t="s">
        <v>13</v>
      </c>
      <c r="C3" s="350" t="s">
        <v>66</v>
      </c>
      <c r="D3" s="351" t="s">
        <v>67</v>
      </c>
    </row>
    <row r="4" spans="1:4" s="352" customFormat="1" ht="14.15" customHeight="1" thickBot="1" x14ac:dyDescent="0.35">
      <c r="A4" s="353" t="s">
        <v>482</v>
      </c>
      <c r="B4" s="11" t="s">
        <v>483</v>
      </c>
      <c r="C4" s="11" t="s">
        <v>484</v>
      </c>
      <c r="D4" s="12" t="s">
        <v>486</v>
      </c>
    </row>
    <row r="5" spans="1:4" ht="18" customHeight="1" x14ac:dyDescent="0.3">
      <c r="A5" s="354" t="s">
        <v>14</v>
      </c>
      <c r="B5" s="355" t="s">
        <v>156</v>
      </c>
      <c r="C5" s="356"/>
      <c r="D5" s="20"/>
    </row>
    <row r="6" spans="1:4" ht="18" customHeight="1" x14ac:dyDescent="0.3">
      <c r="A6" s="357" t="s">
        <v>15</v>
      </c>
      <c r="B6" s="358" t="s">
        <v>157</v>
      </c>
      <c r="C6" s="359"/>
      <c r="D6" s="27"/>
    </row>
    <row r="7" spans="1:4" ht="18" customHeight="1" x14ac:dyDescent="0.3">
      <c r="A7" s="357" t="s">
        <v>16</v>
      </c>
      <c r="B7" s="358" t="s">
        <v>115</v>
      </c>
      <c r="C7" s="359"/>
      <c r="D7" s="27"/>
    </row>
    <row r="8" spans="1:4" ht="18" customHeight="1" x14ac:dyDescent="0.3">
      <c r="A8" s="357" t="s">
        <v>17</v>
      </c>
      <c r="B8" s="358" t="s">
        <v>116</v>
      </c>
      <c r="C8" s="359"/>
      <c r="D8" s="27"/>
    </row>
    <row r="9" spans="1:4" ht="18" customHeight="1" x14ac:dyDescent="0.3">
      <c r="A9" s="357" t="s">
        <v>18</v>
      </c>
      <c r="B9" s="358" t="s">
        <v>149</v>
      </c>
      <c r="C9" s="359"/>
      <c r="D9" s="27"/>
    </row>
    <row r="10" spans="1:4" ht="18" customHeight="1" x14ac:dyDescent="0.3">
      <c r="A10" s="357" t="s">
        <v>19</v>
      </c>
      <c r="B10" s="358" t="s">
        <v>150</v>
      </c>
      <c r="C10" s="359"/>
      <c r="D10" s="27"/>
    </row>
    <row r="11" spans="1:4" ht="18" customHeight="1" x14ac:dyDescent="0.3">
      <c r="A11" s="357" t="s">
        <v>20</v>
      </c>
      <c r="B11" s="360" t="s">
        <v>151</v>
      </c>
      <c r="C11" s="359"/>
      <c r="D11" s="27"/>
    </row>
    <row r="12" spans="1:4" ht="18" customHeight="1" x14ac:dyDescent="0.3">
      <c r="A12" s="357" t="s">
        <v>22</v>
      </c>
      <c r="B12" s="360" t="s">
        <v>152</v>
      </c>
      <c r="C12" s="359"/>
      <c r="D12" s="27"/>
    </row>
    <row r="13" spans="1:4" ht="18" customHeight="1" x14ac:dyDescent="0.3">
      <c r="A13" s="357" t="s">
        <v>23</v>
      </c>
      <c r="B13" s="360" t="s">
        <v>153</v>
      </c>
      <c r="C13" s="359"/>
      <c r="D13" s="27"/>
    </row>
    <row r="14" spans="1:4" ht="18" customHeight="1" x14ac:dyDescent="0.3">
      <c r="A14" s="357" t="s">
        <v>24</v>
      </c>
      <c r="B14" s="360" t="s">
        <v>154</v>
      </c>
      <c r="C14" s="359"/>
      <c r="D14" s="27"/>
    </row>
    <row r="15" spans="1:4" ht="22.5" customHeight="1" x14ac:dyDescent="0.3">
      <c r="A15" s="357" t="s">
        <v>25</v>
      </c>
      <c r="B15" s="360" t="s">
        <v>155</v>
      </c>
      <c r="C15" s="359"/>
      <c r="D15" s="27"/>
    </row>
    <row r="16" spans="1:4" ht="18" customHeight="1" x14ac:dyDescent="0.3">
      <c r="A16" s="357" t="s">
        <v>26</v>
      </c>
      <c r="B16" s="358" t="s">
        <v>117</v>
      </c>
      <c r="C16" s="359"/>
      <c r="D16" s="27"/>
    </row>
    <row r="17" spans="1:4" ht="18" customHeight="1" x14ac:dyDescent="0.3">
      <c r="A17" s="357" t="s">
        <v>27</v>
      </c>
      <c r="B17" s="358" t="s">
        <v>7</v>
      </c>
      <c r="C17" s="359"/>
      <c r="D17" s="27"/>
    </row>
    <row r="18" spans="1:4" ht="18" customHeight="1" x14ac:dyDescent="0.3">
      <c r="A18" s="357" t="s">
        <v>28</v>
      </c>
      <c r="B18" s="358" t="s">
        <v>6</v>
      </c>
      <c r="C18" s="359"/>
      <c r="D18" s="27"/>
    </row>
    <row r="19" spans="1:4" ht="18" customHeight="1" x14ac:dyDescent="0.3">
      <c r="A19" s="357" t="s">
        <v>29</v>
      </c>
      <c r="B19" s="358" t="s">
        <v>118</v>
      </c>
      <c r="C19" s="359"/>
      <c r="D19" s="27"/>
    </row>
    <row r="20" spans="1:4" ht="18" customHeight="1" x14ac:dyDescent="0.3">
      <c r="A20" s="357" t="s">
        <v>30</v>
      </c>
      <c r="B20" s="358" t="s">
        <v>119</v>
      </c>
      <c r="C20" s="359"/>
      <c r="D20" s="27"/>
    </row>
    <row r="21" spans="1:4" ht="18" customHeight="1" x14ac:dyDescent="0.3">
      <c r="A21" s="357" t="s">
        <v>31</v>
      </c>
      <c r="B21" s="361"/>
      <c r="C21" s="169"/>
      <c r="D21" s="27"/>
    </row>
    <row r="22" spans="1:4" ht="18" customHeight="1" x14ac:dyDescent="0.3">
      <c r="A22" s="357" t="s">
        <v>32</v>
      </c>
      <c r="B22" s="362"/>
      <c r="C22" s="169"/>
      <c r="D22" s="27"/>
    </row>
    <row r="23" spans="1:4" ht="18" customHeight="1" x14ac:dyDescent="0.3">
      <c r="A23" s="357" t="s">
        <v>33</v>
      </c>
      <c r="B23" s="362"/>
      <c r="C23" s="169"/>
      <c r="D23" s="27"/>
    </row>
    <row r="24" spans="1:4" ht="18" customHeight="1" x14ac:dyDescent="0.3">
      <c r="A24" s="357" t="s">
        <v>34</v>
      </c>
      <c r="B24" s="362"/>
      <c r="C24" s="169"/>
      <c r="D24" s="27"/>
    </row>
    <row r="25" spans="1:4" ht="18" customHeight="1" x14ac:dyDescent="0.3">
      <c r="A25" s="357" t="s">
        <v>35</v>
      </c>
      <c r="B25" s="362"/>
      <c r="C25" s="169"/>
      <c r="D25" s="27"/>
    </row>
    <row r="26" spans="1:4" ht="18" customHeight="1" x14ac:dyDescent="0.3">
      <c r="A26" s="357" t="s">
        <v>36</v>
      </c>
      <c r="B26" s="362"/>
      <c r="C26" s="169"/>
      <c r="D26" s="27"/>
    </row>
    <row r="27" spans="1:4" ht="18" customHeight="1" x14ac:dyDescent="0.3">
      <c r="A27" s="357" t="s">
        <v>37</v>
      </c>
      <c r="B27" s="362"/>
      <c r="C27" s="169"/>
      <c r="D27" s="27"/>
    </row>
    <row r="28" spans="1:4" ht="18" customHeight="1" x14ac:dyDescent="0.3">
      <c r="A28" s="357" t="s">
        <v>38</v>
      </c>
      <c r="B28" s="362"/>
      <c r="C28" s="169"/>
      <c r="D28" s="27"/>
    </row>
    <row r="29" spans="1:4" ht="18" customHeight="1" thickBot="1" x14ac:dyDescent="0.35">
      <c r="A29" s="363" t="s">
        <v>39</v>
      </c>
      <c r="B29" s="364"/>
      <c r="C29" s="365"/>
      <c r="D29" s="21"/>
    </row>
    <row r="30" spans="1:4" ht="18" customHeight="1" thickBot="1" x14ac:dyDescent="0.35">
      <c r="A30" s="366" t="s">
        <v>40</v>
      </c>
      <c r="B30" s="367" t="s">
        <v>48</v>
      </c>
      <c r="C30" s="368">
        <f>+C5+C6+C7+C8+C9+C16+C17+C18+C19+C20+C21+C22+C23+C24+C25+C26+C27+C28+C29</f>
        <v>0</v>
      </c>
      <c r="D30" s="369">
        <f>+D5+D6+D7+D8+D9+D16+D17+D18+D19+D20+D21+D22+D23+D24+D25+D26+D27+D28+D29</f>
        <v>0</v>
      </c>
    </row>
    <row r="31" spans="1:4" ht="8.25" customHeight="1" x14ac:dyDescent="0.3">
      <c r="A31" s="370"/>
      <c r="B31" s="961"/>
      <c r="C31" s="961"/>
      <c r="D31" s="961"/>
    </row>
  </sheetData>
  <mergeCells count="2">
    <mergeCell ref="B31:D31"/>
    <mergeCell ref="B1:D1"/>
  </mergeCells>
  <phoneticPr fontId="5" type="noConversion"/>
  <printOptions horizontalCentered="1"/>
  <pageMargins left="0.78740157480314965" right="0.78740157480314965" top="1.06" bottom="0.98425196850393704" header="0.78740157480314965" footer="0.78740157480314965"/>
  <pageSetup paperSize="9" scale="99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31">
    <tabColor rgb="FFFFFF00"/>
  </sheetPr>
  <dimension ref="A1:O109"/>
  <sheetViews>
    <sheetView topLeftCell="A71" zoomScaleNormal="100" workbookViewId="0">
      <selection activeCell="H104" sqref="H104"/>
    </sheetView>
  </sheetViews>
  <sheetFormatPr defaultColWidth="9.296875" defaultRowHeight="15.5" x14ac:dyDescent="0.35"/>
  <cols>
    <col min="1" max="1" width="6.69921875" style="400" bestFit="1" customWidth="1"/>
    <col min="2" max="2" width="66.19921875" style="401" bestFit="1" customWidth="1"/>
    <col min="3" max="3" width="16.296875" style="401" bestFit="1" customWidth="1"/>
    <col min="4" max="4" width="15.69921875" style="401" bestFit="1" customWidth="1"/>
    <col min="5" max="5" width="16.296875" style="401" bestFit="1" customWidth="1"/>
    <col min="6" max="6" width="15.69921875" style="401" bestFit="1" customWidth="1"/>
    <col min="7" max="9" width="16.296875" style="401" bestFit="1" customWidth="1"/>
    <col min="10" max="10" width="16" style="401" bestFit="1" customWidth="1"/>
    <col min="11" max="11" width="14.69921875" style="401" bestFit="1" customWidth="1"/>
    <col min="12" max="14" width="15.69921875" style="401" bestFit="1" customWidth="1"/>
    <col min="15" max="15" width="18.19921875" style="402" bestFit="1" customWidth="1"/>
    <col min="16" max="16384" width="9.296875" style="401"/>
  </cols>
  <sheetData>
    <row r="1" spans="1:15" x14ac:dyDescent="0.35">
      <c r="B1" s="401" t="s">
        <v>535</v>
      </c>
      <c r="L1" s="971" t="s">
        <v>630</v>
      </c>
      <c r="M1" s="971"/>
      <c r="N1" s="971"/>
    </row>
    <row r="4" spans="1:15" ht="20.25" customHeight="1" x14ac:dyDescent="0.35">
      <c r="A4" s="963" t="s">
        <v>648</v>
      </c>
      <c r="B4" s="964"/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  <c r="O4" s="964"/>
    </row>
    <row r="5" spans="1:15" ht="21" customHeight="1" x14ac:dyDescent="0.35">
      <c r="A5" s="963" t="s">
        <v>649</v>
      </c>
      <c r="B5" s="963"/>
      <c r="C5" s="963"/>
      <c r="D5" s="963"/>
      <c r="E5" s="963"/>
      <c r="F5" s="963"/>
      <c r="G5" s="963"/>
      <c r="H5" s="963"/>
      <c r="I5" s="963"/>
      <c r="J5" s="963"/>
      <c r="K5" s="963"/>
      <c r="L5" s="963"/>
      <c r="M5" s="963"/>
      <c r="N5" s="963"/>
      <c r="O5" s="963"/>
    </row>
    <row r="6" spans="1:15" ht="21" customHeight="1" x14ac:dyDescent="0.35">
      <c r="A6" s="492"/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</row>
    <row r="7" spans="1:15" ht="16" thickBot="1" x14ac:dyDescent="0.4">
      <c r="O7" s="493" t="s">
        <v>579</v>
      </c>
    </row>
    <row r="8" spans="1:15" s="400" customFormat="1" ht="31.5" customHeight="1" thickBot="1" x14ac:dyDescent="0.4">
      <c r="A8" s="494" t="s">
        <v>12</v>
      </c>
      <c r="B8" s="495" t="s">
        <v>56</v>
      </c>
      <c r="C8" s="495" t="s">
        <v>68</v>
      </c>
      <c r="D8" s="495" t="s">
        <v>69</v>
      </c>
      <c r="E8" s="495" t="s">
        <v>70</v>
      </c>
      <c r="F8" s="495" t="s">
        <v>71</v>
      </c>
      <c r="G8" s="495" t="s">
        <v>72</v>
      </c>
      <c r="H8" s="495" t="s">
        <v>73</v>
      </c>
      <c r="I8" s="495" t="s">
        <v>74</v>
      </c>
      <c r="J8" s="495" t="s">
        <v>75</v>
      </c>
      <c r="K8" s="495" t="s">
        <v>76</v>
      </c>
      <c r="L8" s="495" t="s">
        <v>77</v>
      </c>
      <c r="M8" s="495" t="s">
        <v>78</v>
      </c>
      <c r="N8" s="495" t="s">
        <v>79</v>
      </c>
      <c r="O8" s="496" t="s">
        <v>46</v>
      </c>
    </row>
    <row r="9" spans="1:15" s="498" customFormat="1" ht="15" customHeight="1" thickBot="1" x14ac:dyDescent="0.35">
      <c r="A9" s="497"/>
      <c r="B9" s="965" t="s">
        <v>51</v>
      </c>
      <c r="C9" s="966"/>
      <c r="D9" s="966"/>
      <c r="E9" s="966"/>
      <c r="F9" s="966"/>
      <c r="G9" s="966"/>
      <c r="H9" s="966"/>
      <c r="I9" s="966"/>
      <c r="J9" s="966"/>
      <c r="K9" s="966"/>
      <c r="L9" s="966"/>
      <c r="M9" s="966"/>
      <c r="N9" s="966"/>
      <c r="O9" s="967"/>
    </row>
    <row r="10" spans="1:15" s="503" customFormat="1" ht="22.5" customHeight="1" x14ac:dyDescent="0.3">
      <c r="A10" s="499" t="s">
        <v>14</v>
      </c>
      <c r="B10" s="500" t="s">
        <v>369</v>
      </c>
      <c r="C10" s="501">
        <f>229497311/12</f>
        <v>19124775.916666668</v>
      </c>
      <c r="D10" s="501">
        <f t="shared" ref="D10:N10" si="0">229497311/12</f>
        <v>19124775.916666668</v>
      </c>
      <c r="E10" s="501">
        <f t="shared" si="0"/>
        <v>19124775.916666668</v>
      </c>
      <c r="F10" s="501">
        <f t="shared" si="0"/>
        <v>19124775.916666668</v>
      </c>
      <c r="G10" s="501">
        <f t="shared" si="0"/>
        <v>19124775.916666668</v>
      </c>
      <c r="H10" s="501">
        <f t="shared" si="0"/>
        <v>19124775.916666668</v>
      </c>
      <c r="I10" s="501">
        <f t="shared" si="0"/>
        <v>19124775.916666668</v>
      </c>
      <c r="J10" s="501">
        <f t="shared" si="0"/>
        <v>19124775.916666668</v>
      </c>
      <c r="K10" s="501">
        <f t="shared" si="0"/>
        <v>19124775.916666668</v>
      </c>
      <c r="L10" s="501">
        <f t="shared" si="0"/>
        <v>19124775.916666668</v>
      </c>
      <c r="M10" s="501">
        <f t="shared" si="0"/>
        <v>19124775.916666668</v>
      </c>
      <c r="N10" s="501">
        <f t="shared" si="0"/>
        <v>19124775.916666668</v>
      </c>
      <c r="O10" s="502">
        <f t="shared" ref="O10:O19" si="1">SUM(C10:N10)</f>
        <v>229497310.99999997</v>
      </c>
    </row>
    <row r="11" spans="1:15" s="503" customFormat="1" ht="22.5" customHeight="1" x14ac:dyDescent="0.3">
      <c r="A11" s="499" t="s">
        <v>15</v>
      </c>
      <c r="B11" s="500" t="s">
        <v>588</v>
      </c>
      <c r="C11" s="501">
        <f>592800</f>
        <v>592800</v>
      </c>
      <c r="D11" s="501">
        <f>1639729+112502+1073744+592800</f>
        <v>3418775</v>
      </c>
      <c r="E11" s="501">
        <f>592800</f>
        <v>592800</v>
      </c>
      <c r="F11" s="501">
        <f>5936588+592800</f>
        <v>6529388</v>
      </c>
      <c r="G11" s="501">
        <f>5936588+592800</f>
        <v>6529388</v>
      </c>
      <c r="H11" s="501">
        <f>5936588+592800</f>
        <v>6529388</v>
      </c>
      <c r="I11" s="501">
        <f>5936588+592800</f>
        <v>6529388</v>
      </c>
      <c r="J11" s="501">
        <f>5936588+592800</f>
        <v>6529388</v>
      </c>
      <c r="K11" s="501">
        <f>23000000+5936588+592800</f>
        <v>29529388</v>
      </c>
      <c r="L11" s="501">
        <f>5936588+592800</f>
        <v>6529388</v>
      </c>
      <c r="M11" s="501">
        <f>5936588+592800</f>
        <v>6529388</v>
      </c>
      <c r="N11" s="501">
        <f>5936588+592800-2</f>
        <v>6529386</v>
      </c>
      <c r="O11" s="502">
        <f t="shared" si="1"/>
        <v>86368865</v>
      </c>
    </row>
    <row r="12" spans="1:15" s="503" customFormat="1" ht="22.5" customHeight="1" x14ac:dyDescent="0.3">
      <c r="A12" s="499" t="s">
        <v>16</v>
      </c>
      <c r="B12" s="500" t="s">
        <v>587</v>
      </c>
      <c r="C12" s="501"/>
      <c r="D12" s="501">
        <f>20902146+2366231</f>
        <v>23268377</v>
      </c>
      <c r="E12" s="501">
        <f>39466000</f>
        <v>39466000</v>
      </c>
      <c r="F12" s="501"/>
      <c r="G12" s="501"/>
      <c r="H12" s="501"/>
      <c r="I12" s="501"/>
      <c r="J12" s="501"/>
      <c r="K12" s="501"/>
      <c r="L12" s="501"/>
      <c r="M12" s="501"/>
      <c r="N12" s="501"/>
      <c r="O12" s="502">
        <f t="shared" si="1"/>
        <v>62734377</v>
      </c>
    </row>
    <row r="13" spans="1:15" s="503" customFormat="1" ht="22.5" customHeight="1" x14ac:dyDescent="0.3">
      <c r="A13" s="499" t="s">
        <v>17</v>
      </c>
      <c r="B13" s="500" t="s">
        <v>163</v>
      </c>
      <c r="C13" s="501">
        <f>6720000</f>
        <v>6720000</v>
      </c>
      <c r="D13" s="501">
        <f t="shared" ref="D13:N13" si="2">6720000</f>
        <v>6720000</v>
      </c>
      <c r="E13" s="501">
        <f>6720000+40280000</f>
        <v>47000000</v>
      </c>
      <c r="F13" s="501">
        <f t="shared" si="2"/>
        <v>6720000</v>
      </c>
      <c r="G13" s="501">
        <f t="shared" si="2"/>
        <v>6720000</v>
      </c>
      <c r="H13" s="501">
        <f t="shared" si="2"/>
        <v>6720000</v>
      </c>
      <c r="I13" s="501">
        <f t="shared" si="2"/>
        <v>6720000</v>
      </c>
      <c r="J13" s="501">
        <f t="shared" si="2"/>
        <v>6720000</v>
      </c>
      <c r="K13" s="501">
        <f>6720000+40280000</f>
        <v>47000000</v>
      </c>
      <c r="L13" s="501">
        <f t="shared" si="2"/>
        <v>6720000</v>
      </c>
      <c r="M13" s="501">
        <f t="shared" si="2"/>
        <v>6720000</v>
      </c>
      <c r="N13" s="501">
        <f t="shared" si="2"/>
        <v>6720000</v>
      </c>
      <c r="O13" s="502">
        <f t="shared" si="1"/>
        <v>161200000</v>
      </c>
    </row>
    <row r="14" spans="1:15" s="503" customFormat="1" ht="22.5" customHeight="1" x14ac:dyDescent="0.3">
      <c r="A14" s="499" t="s">
        <v>18</v>
      </c>
      <c r="B14" s="500" t="s">
        <v>414</v>
      </c>
      <c r="C14" s="501">
        <f>158750+39688</f>
        <v>198438</v>
      </c>
      <c r="D14" s="501">
        <f>158750+39688</f>
        <v>198438</v>
      </c>
      <c r="E14" s="501">
        <f>158750+250+6400+8128000+732314+39688+508000+2500</f>
        <v>9575902</v>
      </c>
      <c r="F14" s="501">
        <f>158750+39688</f>
        <v>198438</v>
      </c>
      <c r="G14" s="501">
        <f>158750+39688</f>
        <v>198438</v>
      </c>
      <c r="H14" s="501">
        <f>158750+250+469900+732314+39688+508000+2500+37956067</f>
        <v>39867469</v>
      </c>
      <c r="I14" s="501">
        <f>158750+4749800+39688+10655820+37956067</f>
        <v>53560125</v>
      </c>
      <c r="J14" s="501">
        <f>158750+39688+37956067</f>
        <v>38154505</v>
      </c>
      <c r="K14" s="501">
        <f>158750+250+732314+39688+508000+2500</f>
        <v>1441502</v>
      </c>
      <c r="L14" s="501">
        <f>158750+39688</f>
        <v>198438</v>
      </c>
      <c r="M14" s="501">
        <f>158750+39688</f>
        <v>198438</v>
      </c>
      <c r="N14" s="501">
        <f>158750+250+732314+39688+508000+2500-7</f>
        <v>1441495</v>
      </c>
      <c r="O14" s="502">
        <f t="shared" si="1"/>
        <v>145231626</v>
      </c>
    </row>
    <row r="15" spans="1:15" s="503" customFormat="1" ht="22.5" customHeight="1" x14ac:dyDescent="0.3">
      <c r="A15" s="499" t="s">
        <v>19</v>
      </c>
      <c r="B15" s="500" t="s">
        <v>8</v>
      </c>
      <c r="C15" s="501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2">
        <f t="shared" si="1"/>
        <v>0</v>
      </c>
    </row>
    <row r="16" spans="1:15" s="503" customFormat="1" ht="22.5" customHeight="1" x14ac:dyDescent="0.3">
      <c r="A16" s="499" t="s">
        <v>20</v>
      </c>
      <c r="B16" s="500" t="s">
        <v>371</v>
      </c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501"/>
      <c r="O16" s="502">
        <f t="shared" si="1"/>
        <v>0</v>
      </c>
    </row>
    <row r="17" spans="1:15" s="503" customFormat="1" ht="22.5" customHeight="1" x14ac:dyDescent="0.3">
      <c r="A17" s="499" t="s">
        <v>21</v>
      </c>
      <c r="B17" s="500" t="s">
        <v>402</v>
      </c>
      <c r="C17" s="501"/>
      <c r="D17" s="501">
        <f>250000</f>
        <v>250000</v>
      </c>
      <c r="E17" s="501">
        <f>250000</f>
        <v>250000</v>
      </c>
      <c r="F17" s="501"/>
      <c r="G17" s="501"/>
      <c r="H17" s="501"/>
      <c r="I17" s="501"/>
      <c r="J17" s="501"/>
      <c r="K17" s="501"/>
      <c r="L17" s="501"/>
      <c r="M17" s="501"/>
      <c r="N17" s="501"/>
      <c r="O17" s="502">
        <f t="shared" si="1"/>
        <v>500000</v>
      </c>
    </row>
    <row r="18" spans="1:15" s="503" customFormat="1" ht="22.5" customHeight="1" thickBot="1" x14ac:dyDescent="0.35">
      <c r="A18" s="499" t="s">
        <v>22</v>
      </c>
      <c r="B18" s="500" t="s">
        <v>9</v>
      </c>
      <c r="C18" s="501">
        <f>700000000+429499</f>
        <v>700429499</v>
      </c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2">
        <f t="shared" si="1"/>
        <v>700429499</v>
      </c>
    </row>
    <row r="19" spans="1:15" s="508" customFormat="1" ht="16" customHeight="1" thickBot="1" x14ac:dyDescent="0.35">
      <c r="A19" s="504"/>
      <c r="B19" s="505" t="s">
        <v>104</v>
      </c>
      <c r="C19" s="506">
        <f t="shared" ref="C19:N19" si="3">SUM(C10:C18)</f>
        <v>727065512.91666663</v>
      </c>
      <c r="D19" s="506">
        <f t="shared" si="3"/>
        <v>52980365.916666672</v>
      </c>
      <c r="E19" s="506">
        <f t="shared" si="3"/>
        <v>116009477.91666667</v>
      </c>
      <c r="F19" s="506">
        <f t="shared" si="3"/>
        <v>32572601.916666668</v>
      </c>
      <c r="G19" s="506">
        <f t="shared" si="3"/>
        <v>32572601.916666668</v>
      </c>
      <c r="H19" s="506">
        <f t="shared" si="3"/>
        <v>72241632.916666672</v>
      </c>
      <c r="I19" s="506">
        <f t="shared" si="3"/>
        <v>85934288.916666672</v>
      </c>
      <c r="J19" s="506">
        <f t="shared" si="3"/>
        <v>70528668.916666672</v>
      </c>
      <c r="K19" s="506">
        <f t="shared" si="3"/>
        <v>97095665.916666672</v>
      </c>
      <c r="L19" s="506">
        <f t="shared" si="3"/>
        <v>32572601.916666668</v>
      </c>
      <c r="M19" s="506">
        <f t="shared" si="3"/>
        <v>32572601.916666668</v>
      </c>
      <c r="N19" s="506">
        <f t="shared" si="3"/>
        <v>33815656.916666672</v>
      </c>
      <c r="O19" s="507">
        <f t="shared" si="1"/>
        <v>1385961678.0000002</v>
      </c>
    </row>
    <row r="20" spans="1:15" s="508" customFormat="1" ht="16" customHeight="1" thickBot="1" x14ac:dyDescent="0.35">
      <c r="A20" s="509"/>
      <c r="B20" s="510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</row>
    <row r="21" spans="1:15" s="400" customFormat="1" ht="31.5" customHeight="1" x14ac:dyDescent="0.35">
      <c r="A21" s="494" t="s">
        <v>12</v>
      </c>
      <c r="B21" s="495" t="s">
        <v>56</v>
      </c>
      <c r="C21" s="495" t="s">
        <v>68</v>
      </c>
      <c r="D21" s="495" t="s">
        <v>69</v>
      </c>
      <c r="E21" s="495" t="s">
        <v>70</v>
      </c>
      <c r="F21" s="495" t="s">
        <v>71</v>
      </c>
      <c r="G21" s="495" t="s">
        <v>72</v>
      </c>
      <c r="H21" s="495" t="s">
        <v>73</v>
      </c>
      <c r="I21" s="495" t="s">
        <v>74</v>
      </c>
      <c r="J21" s="495" t="s">
        <v>75</v>
      </c>
      <c r="K21" s="495" t="s">
        <v>76</v>
      </c>
      <c r="L21" s="495" t="s">
        <v>77</v>
      </c>
      <c r="M21" s="495" t="s">
        <v>78</v>
      </c>
      <c r="N21" s="495" t="s">
        <v>79</v>
      </c>
      <c r="O21" s="496" t="s">
        <v>46</v>
      </c>
    </row>
    <row r="22" spans="1:15" s="498" customFormat="1" ht="15" customHeight="1" thickBot="1" x14ac:dyDescent="0.35">
      <c r="A22" s="512"/>
      <c r="B22" s="968" t="s">
        <v>52</v>
      </c>
      <c r="C22" s="969"/>
      <c r="D22" s="969"/>
      <c r="E22" s="969"/>
      <c r="F22" s="969"/>
      <c r="G22" s="969"/>
      <c r="H22" s="969"/>
      <c r="I22" s="969"/>
      <c r="J22" s="969"/>
      <c r="K22" s="969"/>
      <c r="L22" s="969"/>
      <c r="M22" s="969"/>
      <c r="N22" s="969"/>
      <c r="O22" s="970"/>
    </row>
    <row r="23" spans="1:15" s="503" customFormat="1" ht="22.5" customHeight="1" x14ac:dyDescent="0.3">
      <c r="A23" s="499" t="s">
        <v>14</v>
      </c>
      <c r="B23" s="500" t="s">
        <v>57</v>
      </c>
      <c r="C23" s="501">
        <f>888582+45000+2994+5830688</f>
        <v>6767264</v>
      </c>
      <c r="D23" s="501">
        <f>888583+45000+5830688</f>
        <v>6764271</v>
      </c>
      <c r="E23" s="501">
        <f>5830688</f>
        <v>5830688</v>
      </c>
      <c r="F23" s="501">
        <f>5830688</f>
        <v>5830688</v>
      </c>
      <c r="G23" s="501">
        <f>5830688</f>
        <v>5830688</v>
      </c>
      <c r="H23" s="501">
        <f>5698133+5830688</f>
        <v>11528821</v>
      </c>
      <c r="I23" s="501">
        <f>5398133+5830688</f>
        <v>11228821</v>
      </c>
      <c r="J23" s="501">
        <f>5698133+5830688</f>
        <v>11528821</v>
      </c>
      <c r="K23" s="501">
        <f>5830688</f>
        <v>5830688</v>
      </c>
      <c r="L23" s="501">
        <f>5830688</f>
        <v>5830688</v>
      </c>
      <c r="M23" s="501">
        <f>5830688</f>
        <v>5830688</v>
      </c>
      <c r="N23" s="501">
        <f>5830688+4</f>
        <v>5830692</v>
      </c>
      <c r="O23" s="502">
        <f>SUM(C23:N23)</f>
        <v>88632818</v>
      </c>
    </row>
    <row r="24" spans="1:15" s="503" customFormat="1" ht="22.5" customHeight="1" x14ac:dyDescent="0.3">
      <c r="A24" s="499" t="s">
        <v>15</v>
      </c>
      <c r="B24" s="500" t="s">
        <v>172</v>
      </c>
      <c r="C24" s="501">
        <f>103933+1147026</f>
        <v>1250959</v>
      </c>
      <c r="D24" s="501">
        <f>103934+1147026</f>
        <v>1250960</v>
      </c>
      <c r="E24" s="501">
        <f>1147026</f>
        <v>1147026</v>
      </c>
      <c r="F24" s="501">
        <f>1147026</f>
        <v>1147026</v>
      </c>
      <c r="G24" s="501">
        <f>1147026</f>
        <v>1147026</v>
      </c>
      <c r="H24" s="501">
        <f>1047665+1147026</f>
        <v>2194691</v>
      </c>
      <c r="I24" s="501">
        <f>1047665+1147026</f>
        <v>2194691</v>
      </c>
      <c r="J24" s="501">
        <f>1047665+1147026</f>
        <v>2194691</v>
      </c>
      <c r="K24" s="501">
        <f>1147026</f>
        <v>1147026</v>
      </c>
      <c r="L24" s="501">
        <f>1147026</f>
        <v>1147026</v>
      </c>
      <c r="M24" s="501">
        <f>1147026</f>
        <v>1147026</v>
      </c>
      <c r="N24" s="501">
        <f>1147026+3</f>
        <v>1147029</v>
      </c>
      <c r="O24" s="502">
        <f>SUM(C24:N24)</f>
        <v>17115177</v>
      </c>
    </row>
    <row r="25" spans="1:15" s="503" customFormat="1" ht="22.5" customHeight="1" x14ac:dyDescent="0.3">
      <c r="A25" s="499" t="s">
        <v>16</v>
      </c>
      <c r="B25" s="500" t="s">
        <v>131</v>
      </c>
      <c r="C25" s="501">
        <f>12650429</f>
        <v>12650429</v>
      </c>
      <c r="D25" s="501">
        <f>12650429</f>
        <v>12650429</v>
      </c>
      <c r="E25" s="501">
        <f>248703+270000+1083335+12650429</f>
        <v>14252467</v>
      </c>
      <c r="F25" s="501">
        <f>5855220+12650429+508000</f>
        <v>19013649</v>
      </c>
      <c r="G25" s="501">
        <f>163200+635000+12650429</f>
        <v>13448629</v>
      </c>
      <c r="H25" s="501">
        <f>31361104+1083336+12650429</f>
        <v>45094869</v>
      </c>
      <c r="I25" s="501">
        <f>31361104+12650429</f>
        <v>44011533</v>
      </c>
      <c r="J25" s="501">
        <f>31361104+12650429</f>
        <v>44011533</v>
      </c>
      <c r="K25" s="501">
        <f>300000+1083335+12650429</f>
        <v>14033764</v>
      </c>
      <c r="L25" s="501">
        <f>12650429</f>
        <v>12650429</v>
      </c>
      <c r="M25" s="501">
        <f>12650429</f>
        <v>12650429</v>
      </c>
      <c r="N25" s="501">
        <f>1083336+12650429-4</f>
        <v>13733761</v>
      </c>
      <c r="O25" s="502">
        <f>SUM(C25:N25)</f>
        <v>258201921</v>
      </c>
    </row>
    <row r="26" spans="1:15" s="503" customFormat="1" ht="22.5" customHeight="1" x14ac:dyDescent="0.3">
      <c r="A26" s="499" t="s">
        <v>17</v>
      </c>
      <c r="B26" s="500" t="s">
        <v>173</v>
      </c>
      <c r="C26" s="501">
        <f>580000</f>
        <v>580000</v>
      </c>
      <c r="D26" s="501">
        <f>580000</f>
        <v>580000</v>
      </c>
      <c r="E26" s="501">
        <f>580000</f>
        <v>580000</v>
      </c>
      <c r="F26" s="501">
        <f>580000</f>
        <v>580000</v>
      </c>
      <c r="G26" s="501">
        <f>580000</f>
        <v>580000</v>
      </c>
      <c r="H26" s="501">
        <f>1200000+580000</f>
        <v>1780000</v>
      </c>
      <c r="I26" s="501">
        <f>580000</f>
        <v>580000</v>
      </c>
      <c r="J26" s="501">
        <f>50000+900000+580000</f>
        <v>1530000</v>
      </c>
      <c r="K26" s="501">
        <f>900000+580000</f>
        <v>1480000</v>
      </c>
      <c r="L26" s="501">
        <f>580000</f>
        <v>580000</v>
      </c>
      <c r="M26" s="501">
        <f>50000+580000</f>
        <v>630000</v>
      </c>
      <c r="N26" s="501">
        <f>2500000+580000+40000</f>
        <v>3120000</v>
      </c>
      <c r="O26" s="502">
        <f>SUM(C26:N26)</f>
        <v>12600000</v>
      </c>
    </row>
    <row r="27" spans="1:15" s="503" customFormat="1" ht="22.5" customHeight="1" x14ac:dyDescent="0.3">
      <c r="A27" s="499" t="s">
        <v>18</v>
      </c>
      <c r="B27" s="500" t="s">
        <v>607</v>
      </c>
      <c r="C27" s="501"/>
      <c r="D27" s="501"/>
      <c r="E27" s="501"/>
      <c r="F27" s="501">
        <f>1100000</f>
        <v>1100000</v>
      </c>
      <c r="G27" s="501"/>
      <c r="H27" s="501"/>
      <c r="I27" s="501"/>
      <c r="J27" s="501"/>
      <c r="K27" s="501"/>
      <c r="L27" s="501"/>
      <c r="M27" s="501"/>
      <c r="N27" s="501"/>
      <c r="O27" s="502">
        <f>SUM(C27:N27)</f>
        <v>1100000</v>
      </c>
    </row>
    <row r="28" spans="1:15" s="503" customFormat="1" ht="22.5" customHeight="1" x14ac:dyDescent="0.3">
      <c r="A28" s="499" t="s">
        <v>19</v>
      </c>
      <c r="B28" s="500" t="s">
        <v>588</v>
      </c>
      <c r="C28" s="501">
        <f>375000+10539692</f>
        <v>10914692</v>
      </c>
      <c r="D28" s="501">
        <f>10539692</f>
        <v>10539692</v>
      </c>
      <c r="E28" s="501">
        <f>2085600+10539692</f>
        <v>12625292</v>
      </c>
      <c r="F28" s="501">
        <f>10539692</f>
        <v>10539692</v>
      </c>
      <c r="G28" s="501">
        <f>100000+10539692</f>
        <v>10639692</v>
      </c>
      <c r="H28" s="501">
        <f>1500000+10539692</f>
        <v>12039692</v>
      </c>
      <c r="I28" s="501">
        <f>10539692</f>
        <v>10539692</v>
      </c>
      <c r="J28" s="501">
        <f>375000+2085600+10539692</f>
        <v>13000292</v>
      </c>
      <c r="K28" s="501">
        <f>10539692</f>
        <v>10539692</v>
      </c>
      <c r="L28" s="501">
        <f>10539692</f>
        <v>10539692</v>
      </c>
      <c r="M28" s="501">
        <f>10539692</f>
        <v>10539692</v>
      </c>
      <c r="N28" s="501">
        <f>10539692+5</f>
        <v>10539697</v>
      </c>
      <c r="O28" s="502">
        <f t="shared" ref="O28:O35" si="4">SUM(C28:N28)</f>
        <v>132997509</v>
      </c>
    </row>
    <row r="29" spans="1:15" s="503" customFormat="1" ht="22.5" customHeight="1" x14ac:dyDescent="0.3">
      <c r="A29" s="499" t="s">
        <v>20</v>
      </c>
      <c r="B29" s="500" t="s">
        <v>589</v>
      </c>
      <c r="C29" s="501"/>
      <c r="D29" s="501"/>
      <c r="E29" s="501"/>
      <c r="F29" s="501">
        <f>3480000+900000+8900000+4800000</f>
        <v>18080000</v>
      </c>
      <c r="G29" s="501"/>
      <c r="H29" s="501"/>
      <c r="I29" s="501"/>
      <c r="J29" s="501"/>
      <c r="K29" s="501">
        <f>23000000</f>
        <v>23000000</v>
      </c>
      <c r="L29" s="501"/>
      <c r="M29" s="501"/>
      <c r="N29" s="501"/>
      <c r="O29" s="502">
        <f t="shared" si="4"/>
        <v>41080000</v>
      </c>
    </row>
    <row r="30" spans="1:15" s="503" customFormat="1" ht="22.5" customHeight="1" x14ac:dyDescent="0.3">
      <c r="A30" s="499" t="s">
        <v>21</v>
      </c>
      <c r="B30" s="500" t="s">
        <v>553</v>
      </c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>
        <v>251870536</v>
      </c>
      <c r="O30" s="502">
        <f t="shared" si="4"/>
        <v>251870536</v>
      </c>
    </row>
    <row r="31" spans="1:15" s="503" customFormat="1" ht="22.5" customHeight="1" x14ac:dyDescent="0.3">
      <c r="A31" s="499" t="s">
        <v>22</v>
      </c>
      <c r="B31" s="500" t="s">
        <v>217</v>
      </c>
      <c r="C31" s="501">
        <f>23628130</f>
        <v>23628130</v>
      </c>
      <c r="D31" s="501">
        <f>23628130+2000000</f>
        <v>25628130</v>
      </c>
      <c r="E31" s="501">
        <f>1813579+1778000+23628130</f>
        <v>27219709</v>
      </c>
      <c r="F31" s="501">
        <f>44266600+23628130+1921833</f>
        <v>69816563</v>
      </c>
      <c r="G31" s="501">
        <f>8255000+1403350+457200+23628130</f>
        <v>33743680</v>
      </c>
      <c r="H31" s="501">
        <f>7188200+23628130</f>
        <v>30816330</v>
      </c>
      <c r="I31" s="501">
        <f>7188200+23628130</f>
        <v>30816330</v>
      </c>
      <c r="J31" s="501">
        <f>7188200+23628130</f>
        <v>30816330</v>
      </c>
      <c r="K31" s="501">
        <f>23628130</f>
        <v>23628130</v>
      </c>
      <c r="L31" s="501">
        <f>23628130</f>
        <v>23628130</v>
      </c>
      <c r="M31" s="501">
        <f>23628130</f>
        <v>23628130</v>
      </c>
      <c r="N31" s="501">
        <f>23628130+6</f>
        <v>23628136</v>
      </c>
      <c r="O31" s="502">
        <f t="shared" si="4"/>
        <v>366997728</v>
      </c>
    </row>
    <row r="32" spans="1:15" s="503" customFormat="1" ht="22.5" customHeight="1" x14ac:dyDescent="0.3">
      <c r="A32" s="499" t="s">
        <v>23</v>
      </c>
      <c r="B32" s="500" t="s">
        <v>176</v>
      </c>
      <c r="C32" s="501"/>
      <c r="D32" s="501"/>
      <c r="E32" s="501">
        <f>8407400</f>
        <v>8407400</v>
      </c>
      <c r="F32" s="501">
        <f>406400</f>
        <v>406400</v>
      </c>
      <c r="G32" s="501">
        <f>254000</f>
        <v>254000</v>
      </c>
      <c r="H32" s="501"/>
      <c r="I32" s="501">
        <f>4572000</f>
        <v>4572000</v>
      </c>
      <c r="J32" s="501"/>
      <c r="K32" s="501"/>
      <c r="L32" s="501"/>
      <c r="M32" s="501"/>
      <c r="N32" s="501"/>
      <c r="O32" s="502">
        <f t="shared" si="4"/>
        <v>13639800</v>
      </c>
    </row>
    <row r="33" spans="1:15" s="503" customFormat="1" ht="22.5" customHeight="1" x14ac:dyDescent="0.3">
      <c r="A33" s="499" t="s">
        <v>24</v>
      </c>
      <c r="B33" s="500" t="s">
        <v>219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2">
        <f t="shared" si="4"/>
        <v>0</v>
      </c>
    </row>
    <row r="34" spans="1:15" s="503" customFormat="1" ht="22.5" customHeight="1" thickBot="1" x14ac:dyDescent="0.35">
      <c r="A34" s="499" t="s">
        <v>25</v>
      </c>
      <c r="B34" s="500" t="s">
        <v>10</v>
      </c>
      <c r="C34" s="501">
        <f>16009733+9609391</f>
        <v>25619124</v>
      </c>
      <c r="D34" s="501">
        <f t="shared" ref="D34:M34" si="5">16009733</f>
        <v>16009733</v>
      </c>
      <c r="E34" s="501">
        <f t="shared" si="5"/>
        <v>16009733</v>
      </c>
      <c r="F34" s="501">
        <f t="shared" si="5"/>
        <v>16009733</v>
      </c>
      <c r="G34" s="501">
        <f t="shared" si="5"/>
        <v>16009733</v>
      </c>
      <c r="H34" s="501">
        <f t="shared" si="5"/>
        <v>16009733</v>
      </c>
      <c r="I34" s="501">
        <f t="shared" si="5"/>
        <v>16009733</v>
      </c>
      <c r="J34" s="501">
        <f t="shared" si="5"/>
        <v>16009733</v>
      </c>
      <c r="K34" s="501">
        <f t="shared" si="5"/>
        <v>16009733</v>
      </c>
      <c r="L34" s="501">
        <f t="shared" si="5"/>
        <v>16009733</v>
      </c>
      <c r="M34" s="501">
        <f t="shared" si="5"/>
        <v>16009733</v>
      </c>
      <c r="N34" s="501">
        <f>16009733+2</f>
        <v>16009735</v>
      </c>
      <c r="O34" s="502">
        <f t="shared" si="4"/>
        <v>201726189</v>
      </c>
    </row>
    <row r="35" spans="1:15" s="508" customFormat="1" ht="16" customHeight="1" thickBot="1" x14ac:dyDescent="0.35">
      <c r="A35" s="504"/>
      <c r="B35" s="505" t="s">
        <v>105</v>
      </c>
      <c r="C35" s="506">
        <f t="shared" ref="C35:N35" si="6">SUM(C23:C34)</f>
        <v>81410598</v>
      </c>
      <c r="D35" s="506">
        <f t="shared" si="6"/>
        <v>73423215</v>
      </c>
      <c r="E35" s="506">
        <f t="shared" si="6"/>
        <v>86072315</v>
      </c>
      <c r="F35" s="506">
        <f t="shared" si="6"/>
        <v>142523751</v>
      </c>
      <c r="G35" s="506">
        <f t="shared" si="6"/>
        <v>81653448</v>
      </c>
      <c r="H35" s="506">
        <f t="shared" si="6"/>
        <v>119464136</v>
      </c>
      <c r="I35" s="506">
        <f t="shared" si="6"/>
        <v>119952800</v>
      </c>
      <c r="J35" s="506">
        <f t="shared" si="6"/>
        <v>119091400</v>
      </c>
      <c r="K35" s="506">
        <f t="shared" si="6"/>
        <v>95669033</v>
      </c>
      <c r="L35" s="506">
        <f t="shared" si="6"/>
        <v>70385698</v>
      </c>
      <c r="M35" s="506">
        <f t="shared" si="6"/>
        <v>70435698</v>
      </c>
      <c r="N35" s="506">
        <f t="shared" si="6"/>
        <v>325879586</v>
      </c>
      <c r="O35" s="507">
        <f t="shared" si="4"/>
        <v>1385961678</v>
      </c>
    </row>
    <row r="36" spans="1:15" s="508" customFormat="1" ht="16" customHeight="1" thickBot="1" x14ac:dyDescent="0.35">
      <c r="A36" s="513"/>
      <c r="B36" s="514"/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</row>
    <row r="37" spans="1:15" ht="16" thickBot="1" x14ac:dyDescent="0.4">
      <c r="A37" s="504"/>
      <c r="B37" s="505" t="s">
        <v>106</v>
      </c>
      <c r="C37" s="506">
        <f t="shared" ref="C37:O37" si="7">C19-C35</f>
        <v>645654914.91666663</v>
      </c>
      <c r="D37" s="506">
        <f t="shared" si="7"/>
        <v>-20442849.083333328</v>
      </c>
      <c r="E37" s="506">
        <f t="shared" si="7"/>
        <v>29937162.916666672</v>
      </c>
      <c r="F37" s="506">
        <f t="shared" si="7"/>
        <v>-109951149.08333333</v>
      </c>
      <c r="G37" s="506">
        <f t="shared" si="7"/>
        <v>-49080846.083333328</v>
      </c>
      <c r="H37" s="506">
        <f t="shared" si="7"/>
        <v>-47222503.083333328</v>
      </c>
      <c r="I37" s="506">
        <f t="shared" si="7"/>
        <v>-34018511.083333328</v>
      </c>
      <c r="J37" s="506">
        <f t="shared" si="7"/>
        <v>-48562731.083333328</v>
      </c>
      <c r="K37" s="506">
        <f t="shared" si="7"/>
        <v>1426632.9166666716</v>
      </c>
      <c r="L37" s="506">
        <f t="shared" si="7"/>
        <v>-37813096.083333328</v>
      </c>
      <c r="M37" s="506">
        <f t="shared" si="7"/>
        <v>-37863096.083333328</v>
      </c>
      <c r="N37" s="506">
        <f t="shared" si="7"/>
        <v>-292063929.08333331</v>
      </c>
      <c r="O37" s="507">
        <f t="shared" si="7"/>
        <v>0</v>
      </c>
    </row>
    <row r="40" spans="1:15" ht="20.25" customHeight="1" x14ac:dyDescent="0.35">
      <c r="A40" s="963" t="s">
        <v>648</v>
      </c>
      <c r="B40" s="964"/>
      <c r="C40" s="964"/>
      <c r="D40" s="964"/>
      <c r="E40" s="964"/>
      <c r="F40" s="964"/>
      <c r="G40" s="964"/>
      <c r="H40" s="964"/>
      <c r="I40" s="964"/>
      <c r="J40" s="964"/>
      <c r="K40" s="964"/>
      <c r="L40" s="964"/>
      <c r="M40" s="964"/>
      <c r="N40" s="964"/>
      <c r="O40" s="964"/>
    </row>
    <row r="41" spans="1:15" ht="21" customHeight="1" x14ac:dyDescent="0.35">
      <c r="A41" s="963" t="s">
        <v>725</v>
      </c>
      <c r="B41" s="963"/>
      <c r="C41" s="963"/>
      <c r="D41" s="963"/>
      <c r="E41" s="963"/>
      <c r="F41" s="963"/>
      <c r="G41" s="963"/>
      <c r="H41" s="963"/>
      <c r="I41" s="963"/>
      <c r="J41" s="963"/>
      <c r="K41" s="963"/>
      <c r="L41" s="963"/>
      <c r="M41" s="963"/>
      <c r="N41" s="963"/>
      <c r="O41" s="963"/>
    </row>
    <row r="42" spans="1:15" ht="21" customHeight="1" x14ac:dyDescent="0.35">
      <c r="A42" s="492"/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</row>
    <row r="43" spans="1:15" ht="16" thickBot="1" x14ac:dyDescent="0.4">
      <c r="O43" s="493" t="s">
        <v>579</v>
      </c>
    </row>
    <row r="44" spans="1:15" s="400" customFormat="1" ht="31.5" customHeight="1" thickBot="1" x14ac:dyDescent="0.4">
      <c r="A44" s="494" t="s">
        <v>12</v>
      </c>
      <c r="B44" s="495" t="s">
        <v>56</v>
      </c>
      <c r="C44" s="495" t="s">
        <v>68</v>
      </c>
      <c r="D44" s="495" t="s">
        <v>69</v>
      </c>
      <c r="E44" s="495" t="s">
        <v>70</v>
      </c>
      <c r="F44" s="495" t="s">
        <v>71</v>
      </c>
      <c r="G44" s="495" t="s">
        <v>72</v>
      </c>
      <c r="H44" s="495" t="s">
        <v>73</v>
      </c>
      <c r="I44" s="495" t="s">
        <v>74</v>
      </c>
      <c r="J44" s="495" t="s">
        <v>75</v>
      </c>
      <c r="K44" s="495" t="s">
        <v>76</v>
      </c>
      <c r="L44" s="495" t="s">
        <v>77</v>
      </c>
      <c r="M44" s="495" t="s">
        <v>78</v>
      </c>
      <c r="N44" s="495" t="s">
        <v>79</v>
      </c>
      <c r="O44" s="496" t="s">
        <v>46</v>
      </c>
    </row>
    <row r="45" spans="1:15" s="498" customFormat="1" ht="15" customHeight="1" thickBot="1" x14ac:dyDescent="0.35">
      <c r="A45" s="497"/>
      <c r="B45" s="965" t="s">
        <v>51</v>
      </c>
      <c r="C45" s="966"/>
      <c r="D45" s="966"/>
      <c r="E45" s="966"/>
      <c r="F45" s="966"/>
      <c r="G45" s="966"/>
      <c r="H45" s="966"/>
      <c r="I45" s="966"/>
      <c r="J45" s="966"/>
      <c r="K45" s="966"/>
      <c r="L45" s="966"/>
      <c r="M45" s="966"/>
      <c r="N45" s="966"/>
      <c r="O45" s="967"/>
    </row>
    <row r="46" spans="1:15" s="503" customFormat="1" ht="22.5" customHeight="1" x14ac:dyDescent="0.3">
      <c r="A46" s="499" t="s">
        <v>14</v>
      </c>
      <c r="B46" s="500" t="s">
        <v>369</v>
      </c>
      <c r="C46" s="501">
        <f>229497311/12</f>
        <v>19124775.916666668</v>
      </c>
      <c r="D46" s="501">
        <f t="shared" ref="D46:N46" si="8">229497311/12</f>
        <v>19124775.916666668</v>
      </c>
      <c r="E46" s="501">
        <f>229497311/12+189566+145744+9701500</f>
        <v>29161585.916666668</v>
      </c>
      <c r="F46" s="501">
        <f t="shared" si="8"/>
        <v>19124775.916666668</v>
      </c>
      <c r="G46" s="501">
        <f t="shared" si="8"/>
        <v>19124775.916666668</v>
      </c>
      <c r="H46" s="501">
        <f t="shared" si="8"/>
        <v>19124775.916666668</v>
      </c>
      <c r="I46" s="501">
        <f t="shared" si="8"/>
        <v>19124775.916666668</v>
      </c>
      <c r="J46" s="501">
        <f t="shared" si="8"/>
        <v>19124775.916666668</v>
      </c>
      <c r="K46" s="501">
        <f t="shared" si="8"/>
        <v>19124775.916666668</v>
      </c>
      <c r="L46" s="501">
        <f t="shared" si="8"/>
        <v>19124775.916666668</v>
      </c>
      <c r="M46" s="501">
        <f t="shared" si="8"/>
        <v>19124775.916666668</v>
      </c>
      <c r="N46" s="501">
        <f t="shared" si="8"/>
        <v>19124775.916666668</v>
      </c>
      <c r="O46" s="502">
        <f t="shared" ref="O46:O55" si="9">SUM(C46:N46)</f>
        <v>239534120.99999997</v>
      </c>
    </row>
    <row r="47" spans="1:15" s="503" customFormat="1" ht="22.5" customHeight="1" x14ac:dyDescent="0.3">
      <c r="A47" s="499" t="s">
        <v>15</v>
      </c>
      <c r="B47" s="500" t="s">
        <v>588</v>
      </c>
      <c r="C47" s="501">
        <f>592800</f>
        <v>592800</v>
      </c>
      <c r="D47" s="501">
        <f>1639729+112502+1073744+592800</f>
        <v>3418775</v>
      </c>
      <c r="E47" s="501">
        <f>592800-3379392+1986068+277527</f>
        <v>-522997</v>
      </c>
      <c r="F47" s="501">
        <f>5936588+592800</f>
        <v>6529388</v>
      </c>
      <c r="G47" s="501">
        <f>5936588+592800</f>
        <v>6529388</v>
      </c>
      <c r="H47" s="501">
        <f>5936588+592800</f>
        <v>6529388</v>
      </c>
      <c r="I47" s="501">
        <f>5936588+592800</f>
        <v>6529388</v>
      </c>
      <c r="J47" s="501">
        <f>5936588+592800</f>
        <v>6529388</v>
      </c>
      <c r="K47" s="501">
        <f>23000000+5936588+592800</f>
        <v>29529388</v>
      </c>
      <c r="L47" s="501">
        <f>5936588+592800</f>
        <v>6529388</v>
      </c>
      <c r="M47" s="501">
        <f>5936588+592800</f>
        <v>6529388</v>
      </c>
      <c r="N47" s="501">
        <f>5936588+592800-2</f>
        <v>6529386</v>
      </c>
      <c r="O47" s="502">
        <f t="shared" si="9"/>
        <v>85253068</v>
      </c>
    </row>
    <row r="48" spans="1:15" s="503" customFormat="1" ht="22.5" customHeight="1" x14ac:dyDescent="0.3">
      <c r="A48" s="499" t="s">
        <v>16</v>
      </c>
      <c r="B48" s="500" t="s">
        <v>587</v>
      </c>
      <c r="C48" s="501"/>
      <c r="D48" s="501">
        <f>20902146+2366231</f>
        <v>23268377</v>
      </c>
      <c r="E48" s="501">
        <f>39466000</f>
        <v>39466000</v>
      </c>
      <c r="F48" s="501"/>
      <c r="G48" s="501"/>
      <c r="H48" s="501"/>
      <c r="I48" s="501"/>
      <c r="J48" s="501"/>
      <c r="K48" s="501"/>
      <c r="L48" s="501"/>
      <c r="M48" s="501"/>
      <c r="N48" s="501"/>
      <c r="O48" s="502">
        <f t="shared" si="9"/>
        <v>62734377</v>
      </c>
    </row>
    <row r="49" spans="1:15" s="503" customFormat="1" ht="22.5" customHeight="1" x14ac:dyDescent="0.3">
      <c r="A49" s="499" t="s">
        <v>17</v>
      </c>
      <c r="B49" s="500" t="s">
        <v>163</v>
      </c>
      <c r="C49" s="501">
        <f>6720000</f>
        <v>6720000</v>
      </c>
      <c r="D49" s="501">
        <f t="shared" ref="D49:N49" si="10">6720000</f>
        <v>6720000</v>
      </c>
      <c r="E49" s="501">
        <f>6720000+40280000</f>
        <v>47000000</v>
      </c>
      <c r="F49" s="501">
        <f t="shared" si="10"/>
        <v>6720000</v>
      </c>
      <c r="G49" s="501">
        <f t="shared" si="10"/>
        <v>6720000</v>
      </c>
      <c r="H49" s="501">
        <f t="shared" si="10"/>
        <v>6720000</v>
      </c>
      <c r="I49" s="501">
        <f t="shared" si="10"/>
        <v>6720000</v>
      </c>
      <c r="J49" s="501">
        <f t="shared" si="10"/>
        <v>6720000</v>
      </c>
      <c r="K49" s="501">
        <f>6720000+40280000</f>
        <v>47000000</v>
      </c>
      <c r="L49" s="501">
        <f t="shared" si="10"/>
        <v>6720000</v>
      </c>
      <c r="M49" s="501">
        <f t="shared" si="10"/>
        <v>6720000</v>
      </c>
      <c r="N49" s="501">
        <f t="shared" si="10"/>
        <v>6720000</v>
      </c>
      <c r="O49" s="502">
        <f t="shared" si="9"/>
        <v>161200000</v>
      </c>
    </row>
    <row r="50" spans="1:15" s="503" customFormat="1" ht="22.5" customHeight="1" x14ac:dyDescent="0.3">
      <c r="A50" s="499" t="s">
        <v>18</v>
      </c>
      <c r="B50" s="500" t="s">
        <v>414</v>
      </c>
      <c r="C50" s="501">
        <f>158750+39688</f>
        <v>198438</v>
      </c>
      <c r="D50" s="501">
        <f>158750+39688</f>
        <v>198438</v>
      </c>
      <c r="E50" s="501">
        <f>158750+250+6400+8128000+732314+39688+508000+2500</f>
        <v>9575902</v>
      </c>
      <c r="F50" s="501">
        <f>158750+39688</f>
        <v>198438</v>
      </c>
      <c r="G50" s="501">
        <f>158750+39688</f>
        <v>198438</v>
      </c>
      <c r="H50" s="501">
        <f>158750+250+469900+732314+39688+508000+2500+37956067</f>
        <v>39867469</v>
      </c>
      <c r="I50" s="501">
        <f>158750+4749800+39688+10655820+37956067</f>
        <v>53560125</v>
      </c>
      <c r="J50" s="501">
        <f>158750+39688+37956067</f>
        <v>38154505</v>
      </c>
      <c r="K50" s="501">
        <f>158750+250+732314+39688+508000+2500</f>
        <v>1441502</v>
      </c>
      <c r="L50" s="501">
        <f>158750+39688</f>
        <v>198438</v>
      </c>
      <c r="M50" s="501">
        <f>158750+39688</f>
        <v>198438</v>
      </c>
      <c r="N50" s="501">
        <f>158750+250+732314+39688+508000+2500-7</f>
        <v>1441495</v>
      </c>
      <c r="O50" s="502">
        <f t="shared" si="9"/>
        <v>145231626</v>
      </c>
    </row>
    <row r="51" spans="1:15" s="503" customFormat="1" ht="22.5" customHeight="1" x14ac:dyDescent="0.3">
      <c r="A51" s="499" t="s">
        <v>19</v>
      </c>
      <c r="B51" s="500" t="s">
        <v>8</v>
      </c>
      <c r="C51" s="501"/>
      <c r="D51" s="501"/>
      <c r="E51" s="501">
        <f>3151165</f>
        <v>3151165</v>
      </c>
      <c r="F51" s="501"/>
      <c r="G51" s="501"/>
      <c r="H51" s="501"/>
      <c r="I51" s="501"/>
      <c r="J51" s="501"/>
      <c r="K51" s="501"/>
      <c r="L51" s="501"/>
      <c r="M51" s="501"/>
      <c r="N51" s="501"/>
      <c r="O51" s="502">
        <f t="shared" si="9"/>
        <v>3151165</v>
      </c>
    </row>
    <row r="52" spans="1:15" s="503" customFormat="1" ht="22.5" customHeight="1" x14ac:dyDescent="0.3">
      <c r="A52" s="499" t="s">
        <v>20</v>
      </c>
      <c r="B52" s="500" t="s">
        <v>371</v>
      </c>
      <c r="C52" s="501"/>
      <c r="D52" s="501"/>
      <c r="E52" s="501"/>
      <c r="F52" s="501"/>
      <c r="G52" s="501"/>
      <c r="H52" s="501"/>
      <c r="I52" s="501"/>
      <c r="J52" s="501"/>
      <c r="K52" s="501"/>
      <c r="L52" s="501"/>
      <c r="M52" s="501"/>
      <c r="N52" s="501"/>
      <c r="O52" s="502">
        <f t="shared" si="9"/>
        <v>0</v>
      </c>
    </row>
    <row r="53" spans="1:15" s="503" customFormat="1" ht="22.5" customHeight="1" x14ac:dyDescent="0.3">
      <c r="A53" s="499" t="s">
        <v>21</v>
      </c>
      <c r="B53" s="500" t="s">
        <v>402</v>
      </c>
      <c r="C53" s="501"/>
      <c r="D53" s="501">
        <f>250000</f>
        <v>250000</v>
      </c>
      <c r="E53" s="501">
        <f>250000</f>
        <v>250000</v>
      </c>
      <c r="F53" s="501"/>
      <c r="G53" s="501"/>
      <c r="H53" s="501"/>
      <c r="I53" s="501"/>
      <c r="J53" s="501"/>
      <c r="K53" s="501"/>
      <c r="L53" s="501"/>
      <c r="M53" s="501"/>
      <c r="N53" s="501"/>
      <c r="O53" s="502">
        <f t="shared" si="9"/>
        <v>500000</v>
      </c>
    </row>
    <row r="54" spans="1:15" s="503" customFormat="1" ht="22.5" customHeight="1" thickBot="1" x14ac:dyDescent="0.35">
      <c r="A54" s="499" t="s">
        <v>22</v>
      </c>
      <c r="B54" s="500" t="s">
        <v>9</v>
      </c>
      <c r="C54" s="501">
        <f>700000000+429499+2467033</f>
        <v>702896532</v>
      </c>
      <c r="D54" s="501"/>
      <c r="E54" s="501"/>
      <c r="F54" s="501"/>
      <c r="G54" s="501"/>
      <c r="H54" s="501"/>
      <c r="I54" s="501"/>
      <c r="J54" s="501"/>
      <c r="K54" s="501"/>
      <c r="L54" s="501"/>
      <c r="M54" s="501"/>
      <c r="N54" s="501"/>
      <c r="O54" s="502">
        <f t="shared" si="9"/>
        <v>702896532</v>
      </c>
    </row>
    <row r="55" spans="1:15" s="508" customFormat="1" ht="16" customHeight="1" thickBot="1" x14ac:dyDescent="0.35">
      <c r="A55" s="504"/>
      <c r="B55" s="505" t="s">
        <v>104</v>
      </c>
      <c r="C55" s="506">
        <f t="shared" ref="C55:N55" si="11">SUM(C46:C54)</f>
        <v>729532545.91666663</v>
      </c>
      <c r="D55" s="506">
        <f t="shared" si="11"/>
        <v>52980365.916666672</v>
      </c>
      <c r="E55" s="506">
        <f t="shared" si="11"/>
        <v>128081655.91666667</v>
      </c>
      <c r="F55" s="506">
        <f t="shared" si="11"/>
        <v>32572601.916666668</v>
      </c>
      <c r="G55" s="506">
        <f t="shared" si="11"/>
        <v>32572601.916666668</v>
      </c>
      <c r="H55" s="506">
        <f t="shared" si="11"/>
        <v>72241632.916666672</v>
      </c>
      <c r="I55" s="506">
        <f t="shared" si="11"/>
        <v>85934288.916666672</v>
      </c>
      <c r="J55" s="506">
        <f t="shared" si="11"/>
        <v>70528668.916666672</v>
      </c>
      <c r="K55" s="506">
        <f t="shared" si="11"/>
        <v>97095665.916666672</v>
      </c>
      <c r="L55" s="506">
        <f t="shared" si="11"/>
        <v>32572601.916666668</v>
      </c>
      <c r="M55" s="506">
        <f t="shared" si="11"/>
        <v>32572601.916666668</v>
      </c>
      <c r="N55" s="506">
        <f t="shared" si="11"/>
        <v>33815656.916666672</v>
      </c>
      <c r="O55" s="507">
        <f t="shared" si="9"/>
        <v>1400500889.0000002</v>
      </c>
    </row>
    <row r="56" spans="1:15" s="508" customFormat="1" ht="16" customHeight="1" thickBot="1" x14ac:dyDescent="0.35">
      <c r="A56" s="509"/>
      <c r="B56" s="510"/>
      <c r="C56" s="511"/>
      <c r="D56" s="511"/>
      <c r="E56" s="511"/>
      <c r="F56" s="511"/>
      <c r="G56" s="511"/>
      <c r="H56" s="511"/>
      <c r="I56" s="511"/>
      <c r="J56" s="511"/>
      <c r="K56" s="511"/>
      <c r="L56" s="511"/>
      <c r="M56" s="511"/>
      <c r="N56" s="511"/>
      <c r="O56" s="511"/>
    </row>
    <row r="57" spans="1:15" s="400" customFormat="1" ht="31.5" customHeight="1" x14ac:dyDescent="0.35">
      <c r="A57" s="494" t="s">
        <v>12</v>
      </c>
      <c r="B57" s="495" t="s">
        <v>56</v>
      </c>
      <c r="C57" s="495" t="s">
        <v>68</v>
      </c>
      <c r="D57" s="495" t="s">
        <v>69</v>
      </c>
      <c r="E57" s="495" t="s">
        <v>70</v>
      </c>
      <c r="F57" s="495" t="s">
        <v>71</v>
      </c>
      <c r="G57" s="495" t="s">
        <v>72</v>
      </c>
      <c r="H57" s="495" t="s">
        <v>73</v>
      </c>
      <c r="I57" s="495" t="s">
        <v>74</v>
      </c>
      <c r="J57" s="495" t="s">
        <v>75</v>
      </c>
      <c r="K57" s="495" t="s">
        <v>76</v>
      </c>
      <c r="L57" s="495" t="s">
        <v>77</v>
      </c>
      <c r="M57" s="495" t="s">
        <v>78</v>
      </c>
      <c r="N57" s="495" t="s">
        <v>79</v>
      </c>
      <c r="O57" s="496" t="s">
        <v>46</v>
      </c>
    </row>
    <row r="58" spans="1:15" s="498" customFormat="1" ht="15" customHeight="1" thickBot="1" x14ac:dyDescent="0.35">
      <c r="A58" s="512"/>
      <c r="B58" s="968" t="s">
        <v>52</v>
      </c>
      <c r="C58" s="969"/>
      <c r="D58" s="969"/>
      <c r="E58" s="969"/>
      <c r="F58" s="969"/>
      <c r="G58" s="969"/>
      <c r="H58" s="969"/>
      <c r="I58" s="969"/>
      <c r="J58" s="969"/>
      <c r="K58" s="969"/>
      <c r="L58" s="969"/>
      <c r="M58" s="969"/>
      <c r="N58" s="969"/>
      <c r="O58" s="970"/>
    </row>
    <row r="59" spans="1:15" s="503" customFormat="1" ht="22.5" customHeight="1" x14ac:dyDescent="0.3">
      <c r="A59" s="499" t="s">
        <v>14</v>
      </c>
      <c r="B59" s="500" t="s">
        <v>57</v>
      </c>
      <c r="C59" s="501">
        <f>888582+45000+2994+5830688</f>
        <v>6767264</v>
      </c>
      <c r="D59" s="501">
        <f>888583+45000+5830688</f>
        <v>6764271</v>
      </c>
      <c r="E59" s="501">
        <f>5830688+2282840</f>
        <v>8113528</v>
      </c>
      <c r="F59" s="501">
        <f>5830688</f>
        <v>5830688</v>
      </c>
      <c r="G59" s="501">
        <f>5830688</f>
        <v>5830688</v>
      </c>
      <c r="H59" s="501">
        <f>5698133+5830688</f>
        <v>11528821</v>
      </c>
      <c r="I59" s="501">
        <f>5398133+5830688</f>
        <v>11228821</v>
      </c>
      <c r="J59" s="501">
        <f>5698133+5830688</f>
        <v>11528821</v>
      </c>
      <c r="K59" s="501">
        <f>5830688</f>
        <v>5830688</v>
      </c>
      <c r="L59" s="501">
        <f>5830688</f>
        <v>5830688</v>
      </c>
      <c r="M59" s="501">
        <f>5830688</f>
        <v>5830688</v>
      </c>
      <c r="N59" s="501">
        <f>5830688+4</f>
        <v>5830692</v>
      </c>
      <c r="O59" s="502">
        <f>SUM(C59:N59)</f>
        <v>90915658</v>
      </c>
    </row>
    <row r="60" spans="1:15" s="503" customFormat="1" ht="22.5" customHeight="1" x14ac:dyDescent="0.3">
      <c r="A60" s="499" t="s">
        <v>15</v>
      </c>
      <c r="B60" s="500" t="s">
        <v>172</v>
      </c>
      <c r="C60" s="501">
        <f>103933+1147026</f>
        <v>1250959</v>
      </c>
      <c r="D60" s="501">
        <f>103934+1147026</f>
        <v>1250960</v>
      </c>
      <c r="E60" s="501">
        <f>1147026+199749</f>
        <v>1346775</v>
      </c>
      <c r="F60" s="501">
        <f>1147026</f>
        <v>1147026</v>
      </c>
      <c r="G60" s="501">
        <f>1147026</f>
        <v>1147026</v>
      </c>
      <c r="H60" s="501">
        <f>1047665+1147026</f>
        <v>2194691</v>
      </c>
      <c r="I60" s="501">
        <f>1047665+1147026</f>
        <v>2194691</v>
      </c>
      <c r="J60" s="501">
        <f>1047665+1147026</f>
        <v>2194691</v>
      </c>
      <c r="K60" s="501">
        <f>1147026</f>
        <v>1147026</v>
      </c>
      <c r="L60" s="501">
        <f>1147026</f>
        <v>1147026</v>
      </c>
      <c r="M60" s="501">
        <f>1147026</f>
        <v>1147026</v>
      </c>
      <c r="N60" s="501">
        <f>1147026+3</f>
        <v>1147029</v>
      </c>
      <c r="O60" s="502">
        <f>SUM(C60:N60)</f>
        <v>17314926</v>
      </c>
    </row>
    <row r="61" spans="1:15" s="503" customFormat="1" ht="22.5" customHeight="1" x14ac:dyDescent="0.3">
      <c r="A61" s="499" t="s">
        <v>16</v>
      </c>
      <c r="B61" s="500" t="s">
        <v>131</v>
      </c>
      <c r="C61" s="501">
        <f>12650429</f>
        <v>12650429</v>
      </c>
      <c r="D61" s="501">
        <f>12650429</f>
        <v>12650429</v>
      </c>
      <c r="E61" s="501">
        <f>248703+270000+1083335+12650429</f>
        <v>14252467</v>
      </c>
      <c r="F61" s="501">
        <f>5855220+12650429+508000</f>
        <v>19013649</v>
      </c>
      <c r="G61" s="501">
        <f>163200+635000+12650429</f>
        <v>13448629</v>
      </c>
      <c r="H61" s="501">
        <f>31361104+1083336+12650429</f>
        <v>45094869</v>
      </c>
      <c r="I61" s="501">
        <f>31361104+12650429</f>
        <v>44011533</v>
      </c>
      <c r="J61" s="501">
        <f>31361104+12650429</f>
        <v>44011533</v>
      </c>
      <c r="K61" s="501">
        <f>300000+1083335+12650429</f>
        <v>14033764</v>
      </c>
      <c r="L61" s="501">
        <f>12650429</f>
        <v>12650429</v>
      </c>
      <c r="M61" s="501">
        <f>12650429</f>
        <v>12650429</v>
      </c>
      <c r="N61" s="501">
        <f>1083336+12650429-4</f>
        <v>13733761</v>
      </c>
      <c r="O61" s="502">
        <f>SUM(C61:N61)</f>
        <v>258201921</v>
      </c>
    </row>
    <row r="62" spans="1:15" s="503" customFormat="1" ht="22.5" customHeight="1" x14ac:dyDescent="0.3">
      <c r="A62" s="499" t="s">
        <v>17</v>
      </c>
      <c r="B62" s="500" t="s">
        <v>173</v>
      </c>
      <c r="C62" s="501">
        <f>580000</f>
        <v>580000</v>
      </c>
      <c r="D62" s="501">
        <f>580000</f>
        <v>580000</v>
      </c>
      <c r="E62" s="501">
        <f>580000</f>
        <v>580000</v>
      </c>
      <c r="F62" s="501">
        <f>580000</f>
        <v>580000</v>
      </c>
      <c r="G62" s="501">
        <f>580000</f>
        <v>580000</v>
      </c>
      <c r="H62" s="501">
        <f>1200000+580000</f>
        <v>1780000</v>
      </c>
      <c r="I62" s="501">
        <f>580000</f>
        <v>580000</v>
      </c>
      <c r="J62" s="501">
        <f>50000+900000+580000</f>
        <v>1530000</v>
      </c>
      <c r="K62" s="501">
        <f>900000+580000</f>
        <v>1480000</v>
      </c>
      <c r="L62" s="501">
        <f>580000</f>
        <v>580000</v>
      </c>
      <c r="M62" s="501">
        <f>50000+580000</f>
        <v>630000</v>
      </c>
      <c r="N62" s="501">
        <f>2500000+580000+40000</f>
        <v>3120000</v>
      </c>
      <c r="O62" s="502">
        <f>SUM(C62:N62)</f>
        <v>12600000</v>
      </c>
    </row>
    <row r="63" spans="1:15" s="503" customFormat="1" ht="22.5" customHeight="1" x14ac:dyDescent="0.3">
      <c r="A63" s="499" t="s">
        <v>18</v>
      </c>
      <c r="B63" s="500" t="s">
        <v>607</v>
      </c>
      <c r="C63" s="501"/>
      <c r="D63" s="501"/>
      <c r="E63" s="501">
        <f>900000</f>
        <v>900000</v>
      </c>
      <c r="F63" s="501">
        <f>1100000</f>
        <v>1100000</v>
      </c>
      <c r="G63" s="501"/>
      <c r="H63" s="501"/>
      <c r="I63" s="501"/>
      <c r="J63" s="501"/>
      <c r="K63" s="501"/>
      <c r="L63" s="501"/>
      <c r="M63" s="501"/>
      <c r="N63" s="501"/>
      <c r="O63" s="502">
        <f>SUM(C63:N63)</f>
        <v>2000000</v>
      </c>
    </row>
    <row r="64" spans="1:15" s="503" customFormat="1" ht="22.5" customHeight="1" x14ac:dyDescent="0.3">
      <c r="A64" s="499" t="s">
        <v>19</v>
      </c>
      <c r="B64" s="500" t="s">
        <v>588</v>
      </c>
      <c r="C64" s="501">
        <f>375000+10539692</f>
        <v>10914692</v>
      </c>
      <c r="D64" s="501">
        <f>10539692</f>
        <v>10539692</v>
      </c>
      <c r="E64" s="501">
        <f>2085600+10539692-2405513</f>
        <v>10219779</v>
      </c>
      <c r="F64" s="501">
        <f>10539692</f>
        <v>10539692</v>
      </c>
      <c r="G64" s="501">
        <f>100000+10539692</f>
        <v>10639692</v>
      </c>
      <c r="H64" s="501">
        <f>1500000+10539692</f>
        <v>12039692</v>
      </c>
      <c r="I64" s="501">
        <f>10539692</f>
        <v>10539692</v>
      </c>
      <c r="J64" s="501">
        <f>375000+2085600+10539692</f>
        <v>13000292</v>
      </c>
      <c r="K64" s="501">
        <f>10539692</f>
        <v>10539692</v>
      </c>
      <c r="L64" s="501">
        <f>10539692</f>
        <v>10539692</v>
      </c>
      <c r="M64" s="501">
        <f>10539692</f>
        <v>10539692</v>
      </c>
      <c r="N64" s="501">
        <f>10539692+5</f>
        <v>10539697</v>
      </c>
      <c r="O64" s="502">
        <f t="shared" ref="O64:O71" si="12">SUM(C64:N64)</f>
        <v>130591996</v>
      </c>
    </row>
    <row r="65" spans="1:15" s="503" customFormat="1" ht="22.5" customHeight="1" x14ac:dyDescent="0.3">
      <c r="A65" s="499" t="s">
        <v>20</v>
      </c>
      <c r="B65" s="500" t="s">
        <v>589</v>
      </c>
      <c r="C65" s="501"/>
      <c r="D65" s="501"/>
      <c r="E65" s="501"/>
      <c r="F65" s="501">
        <f>3480000+900000+8900000+4800000</f>
        <v>18080000</v>
      </c>
      <c r="G65" s="501"/>
      <c r="H65" s="501"/>
      <c r="I65" s="501"/>
      <c r="J65" s="501"/>
      <c r="K65" s="501">
        <f>23000000</f>
        <v>23000000</v>
      </c>
      <c r="L65" s="501"/>
      <c r="M65" s="501"/>
      <c r="N65" s="501"/>
      <c r="O65" s="502">
        <f t="shared" si="12"/>
        <v>41080000</v>
      </c>
    </row>
    <row r="66" spans="1:15" s="503" customFormat="1" ht="22.5" customHeight="1" x14ac:dyDescent="0.3">
      <c r="A66" s="499" t="s">
        <v>21</v>
      </c>
      <c r="B66" s="500" t="s">
        <v>553</v>
      </c>
      <c r="C66" s="501"/>
      <c r="D66" s="501"/>
      <c r="E66" s="501">
        <f>2405513+558238+2291474+189566+145744+9701500-3379392+3151165-496521+277527-626058+2467033-900000</f>
        <v>15785789</v>
      </c>
      <c r="F66" s="501"/>
      <c r="G66" s="501"/>
      <c r="H66" s="501"/>
      <c r="I66" s="501"/>
      <c r="J66" s="501"/>
      <c r="K66" s="501"/>
      <c r="L66" s="501"/>
      <c r="M66" s="501"/>
      <c r="N66" s="501">
        <v>251870536</v>
      </c>
      <c r="O66" s="502">
        <f t="shared" si="12"/>
        <v>267656325</v>
      </c>
    </row>
    <row r="67" spans="1:15" s="503" customFormat="1" ht="22.5" customHeight="1" x14ac:dyDescent="0.3">
      <c r="A67" s="499" t="s">
        <v>22</v>
      </c>
      <c r="B67" s="500" t="s">
        <v>217</v>
      </c>
      <c r="C67" s="501">
        <f>23628130</f>
        <v>23628130</v>
      </c>
      <c r="D67" s="501">
        <f>23628130+2000000</f>
        <v>25628130</v>
      </c>
      <c r="E67" s="501">
        <f>1813579+1778000+23628130</f>
        <v>27219709</v>
      </c>
      <c r="F67" s="501">
        <f>44266600+23628130+1921833</f>
        <v>69816563</v>
      </c>
      <c r="G67" s="501">
        <f>8255000+1403350+457200+23628130</f>
        <v>33743680</v>
      </c>
      <c r="H67" s="501">
        <f>7188200+23628130</f>
        <v>30816330</v>
      </c>
      <c r="I67" s="501">
        <f>7188200+23628130</f>
        <v>30816330</v>
      </c>
      <c r="J67" s="501">
        <f>7188200+23628130</f>
        <v>30816330</v>
      </c>
      <c r="K67" s="501">
        <f>23628130</f>
        <v>23628130</v>
      </c>
      <c r="L67" s="501">
        <f>23628130</f>
        <v>23628130</v>
      </c>
      <c r="M67" s="501">
        <f>23628130</f>
        <v>23628130</v>
      </c>
      <c r="N67" s="501">
        <f>23628130+6</f>
        <v>23628136</v>
      </c>
      <c r="O67" s="502">
        <f t="shared" si="12"/>
        <v>366997728</v>
      </c>
    </row>
    <row r="68" spans="1:15" s="503" customFormat="1" ht="22.5" customHeight="1" x14ac:dyDescent="0.3">
      <c r="A68" s="499" t="s">
        <v>23</v>
      </c>
      <c r="B68" s="500" t="s">
        <v>176</v>
      </c>
      <c r="C68" s="501"/>
      <c r="D68" s="501"/>
      <c r="E68" s="501">
        <f>8407400</f>
        <v>8407400</v>
      </c>
      <c r="F68" s="501">
        <f>406400</f>
        <v>406400</v>
      </c>
      <c r="G68" s="501">
        <f>254000</f>
        <v>254000</v>
      </c>
      <c r="H68" s="501"/>
      <c r="I68" s="501">
        <f>4572000</f>
        <v>4572000</v>
      </c>
      <c r="J68" s="501"/>
      <c r="K68" s="501"/>
      <c r="L68" s="501"/>
      <c r="M68" s="501"/>
      <c r="N68" s="501"/>
      <c r="O68" s="502">
        <f t="shared" si="12"/>
        <v>13639800</v>
      </c>
    </row>
    <row r="69" spans="1:15" s="503" customFormat="1" ht="22.5" customHeight="1" x14ac:dyDescent="0.3">
      <c r="A69" s="499" t="s">
        <v>24</v>
      </c>
      <c r="B69" s="500" t="s">
        <v>219</v>
      </c>
      <c r="C69" s="501"/>
      <c r="D69" s="501"/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502">
        <f t="shared" si="12"/>
        <v>0</v>
      </c>
    </row>
    <row r="70" spans="1:15" s="503" customFormat="1" ht="22.5" customHeight="1" thickBot="1" x14ac:dyDescent="0.35">
      <c r="A70" s="499" t="s">
        <v>25</v>
      </c>
      <c r="B70" s="500" t="s">
        <v>10</v>
      </c>
      <c r="C70" s="501">
        <f>16009733+9609391</f>
        <v>25619124</v>
      </c>
      <c r="D70" s="501">
        <f t="shared" ref="D70:M70" si="13">16009733</f>
        <v>16009733</v>
      </c>
      <c r="E70" s="501">
        <f>16009733-558238-2291474+626058</f>
        <v>13786079</v>
      </c>
      <c r="F70" s="501">
        <f t="shared" si="13"/>
        <v>16009733</v>
      </c>
      <c r="G70" s="501">
        <f t="shared" si="13"/>
        <v>16009733</v>
      </c>
      <c r="H70" s="501">
        <f t="shared" si="13"/>
        <v>16009733</v>
      </c>
      <c r="I70" s="501">
        <f t="shared" si="13"/>
        <v>16009733</v>
      </c>
      <c r="J70" s="501">
        <f t="shared" si="13"/>
        <v>16009733</v>
      </c>
      <c r="K70" s="501">
        <f t="shared" si="13"/>
        <v>16009733</v>
      </c>
      <c r="L70" s="501">
        <f t="shared" si="13"/>
        <v>16009733</v>
      </c>
      <c r="M70" s="501">
        <f t="shared" si="13"/>
        <v>16009733</v>
      </c>
      <c r="N70" s="501">
        <f>16009733+2</f>
        <v>16009735</v>
      </c>
      <c r="O70" s="502">
        <f t="shared" si="12"/>
        <v>199502535</v>
      </c>
    </row>
    <row r="71" spans="1:15" s="508" customFormat="1" ht="16" customHeight="1" thickBot="1" x14ac:dyDescent="0.35">
      <c r="A71" s="504"/>
      <c r="B71" s="505" t="s">
        <v>105</v>
      </c>
      <c r="C71" s="506">
        <f t="shared" ref="C71:N71" si="14">SUM(C59:C70)</f>
        <v>81410598</v>
      </c>
      <c r="D71" s="506">
        <f t="shared" si="14"/>
        <v>73423215</v>
      </c>
      <c r="E71" s="506">
        <f t="shared" si="14"/>
        <v>100611526</v>
      </c>
      <c r="F71" s="506">
        <f t="shared" si="14"/>
        <v>142523751</v>
      </c>
      <c r="G71" s="506">
        <f t="shared" si="14"/>
        <v>81653448</v>
      </c>
      <c r="H71" s="506">
        <f t="shared" si="14"/>
        <v>119464136</v>
      </c>
      <c r="I71" s="506">
        <f t="shared" si="14"/>
        <v>119952800</v>
      </c>
      <c r="J71" s="506">
        <f t="shared" si="14"/>
        <v>119091400</v>
      </c>
      <c r="K71" s="506">
        <f t="shared" si="14"/>
        <v>95669033</v>
      </c>
      <c r="L71" s="506">
        <f t="shared" si="14"/>
        <v>70385698</v>
      </c>
      <c r="M71" s="506">
        <f t="shared" si="14"/>
        <v>70435698</v>
      </c>
      <c r="N71" s="506">
        <f t="shared" si="14"/>
        <v>325879586</v>
      </c>
      <c r="O71" s="507">
        <f t="shared" si="12"/>
        <v>1400500889</v>
      </c>
    </row>
    <row r="72" spans="1:15" s="508" customFormat="1" ht="16" customHeight="1" thickBot="1" x14ac:dyDescent="0.35">
      <c r="A72" s="513"/>
      <c r="B72" s="514"/>
      <c r="C72" s="515"/>
      <c r="D72" s="515"/>
      <c r="E72" s="515"/>
      <c r="F72" s="515"/>
      <c r="G72" s="515"/>
      <c r="H72" s="515"/>
      <c r="I72" s="515"/>
      <c r="J72" s="515"/>
      <c r="K72" s="515"/>
      <c r="L72" s="515"/>
      <c r="M72" s="515"/>
      <c r="N72" s="515"/>
      <c r="O72" s="515"/>
    </row>
    <row r="73" spans="1:15" ht="16" thickBot="1" x14ac:dyDescent="0.4">
      <c r="A73" s="504"/>
      <c r="B73" s="505" t="s">
        <v>106</v>
      </c>
      <c r="C73" s="506">
        <f t="shared" ref="C73:O73" si="15">C55-C71</f>
        <v>648121947.91666663</v>
      </c>
      <c r="D73" s="506">
        <f t="shared" si="15"/>
        <v>-20442849.083333328</v>
      </c>
      <c r="E73" s="506">
        <f t="shared" si="15"/>
        <v>27470129.916666672</v>
      </c>
      <c r="F73" s="506">
        <f t="shared" si="15"/>
        <v>-109951149.08333333</v>
      </c>
      <c r="G73" s="506">
        <f t="shared" si="15"/>
        <v>-49080846.083333328</v>
      </c>
      <c r="H73" s="506">
        <f t="shared" si="15"/>
        <v>-47222503.083333328</v>
      </c>
      <c r="I73" s="506">
        <f t="shared" si="15"/>
        <v>-34018511.083333328</v>
      </c>
      <c r="J73" s="506">
        <f t="shared" si="15"/>
        <v>-48562731.083333328</v>
      </c>
      <c r="K73" s="506">
        <f t="shared" si="15"/>
        <v>1426632.9166666716</v>
      </c>
      <c r="L73" s="506">
        <f t="shared" si="15"/>
        <v>-37813096.083333328</v>
      </c>
      <c r="M73" s="506">
        <f t="shared" si="15"/>
        <v>-37863096.083333328</v>
      </c>
      <c r="N73" s="506">
        <f t="shared" si="15"/>
        <v>-292063929.08333331</v>
      </c>
      <c r="O73" s="507">
        <f t="shared" si="15"/>
        <v>0</v>
      </c>
    </row>
    <row r="76" spans="1:15" ht="20.25" customHeight="1" x14ac:dyDescent="0.35">
      <c r="A76" s="963" t="s">
        <v>648</v>
      </c>
      <c r="B76" s="964"/>
      <c r="C76" s="964"/>
      <c r="D76" s="964"/>
      <c r="E76" s="964"/>
      <c r="F76" s="964"/>
      <c r="G76" s="964"/>
      <c r="H76" s="964"/>
      <c r="I76" s="964"/>
      <c r="J76" s="964"/>
      <c r="K76" s="964"/>
      <c r="L76" s="964"/>
      <c r="M76" s="964"/>
      <c r="N76" s="964"/>
      <c r="O76" s="964"/>
    </row>
    <row r="77" spans="1:15" ht="21" customHeight="1" x14ac:dyDescent="0.35">
      <c r="A77" s="963" t="s">
        <v>731</v>
      </c>
      <c r="B77" s="963"/>
      <c r="C77" s="963"/>
      <c r="D77" s="963"/>
      <c r="E77" s="963"/>
      <c r="F77" s="963"/>
      <c r="G77" s="963"/>
      <c r="H77" s="963"/>
      <c r="I77" s="963"/>
      <c r="J77" s="963"/>
      <c r="K77" s="963"/>
      <c r="L77" s="963"/>
      <c r="M77" s="963"/>
      <c r="N77" s="963"/>
      <c r="O77" s="963"/>
    </row>
    <row r="78" spans="1:15" ht="21" customHeight="1" x14ac:dyDescent="0.35">
      <c r="A78" s="492"/>
      <c r="B78" s="492"/>
      <c r="C78" s="492"/>
      <c r="D78" s="492"/>
      <c r="E78" s="492"/>
      <c r="F78" s="492"/>
      <c r="G78" s="492"/>
      <c r="H78" s="492"/>
      <c r="I78" s="492"/>
      <c r="J78" s="492"/>
      <c r="K78" s="492"/>
      <c r="L78" s="492"/>
      <c r="M78" s="492"/>
      <c r="N78" s="492"/>
      <c r="O78" s="492"/>
    </row>
    <row r="79" spans="1:15" ht="16" thickBot="1" x14ac:dyDescent="0.4">
      <c r="O79" s="493" t="s">
        <v>579</v>
      </c>
    </row>
    <row r="80" spans="1:15" s="400" customFormat="1" ht="31.5" customHeight="1" thickBot="1" x14ac:dyDescent="0.4">
      <c r="A80" s="494" t="s">
        <v>12</v>
      </c>
      <c r="B80" s="495" t="s">
        <v>56</v>
      </c>
      <c r="C80" s="495" t="s">
        <v>68</v>
      </c>
      <c r="D80" s="495" t="s">
        <v>69</v>
      </c>
      <c r="E80" s="495" t="s">
        <v>70</v>
      </c>
      <c r="F80" s="495" t="s">
        <v>71</v>
      </c>
      <c r="G80" s="495" t="s">
        <v>72</v>
      </c>
      <c r="H80" s="495" t="s">
        <v>73</v>
      </c>
      <c r="I80" s="495" t="s">
        <v>74</v>
      </c>
      <c r="J80" s="495" t="s">
        <v>75</v>
      </c>
      <c r="K80" s="495" t="s">
        <v>76</v>
      </c>
      <c r="L80" s="495" t="s">
        <v>77</v>
      </c>
      <c r="M80" s="495" t="s">
        <v>78</v>
      </c>
      <c r="N80" s="495" t="s">
        <v>79</v>
      </c>
      <c r="O80" s="496" t="s">
        <v>46</v>
      </c>
    </row>
    <row r="81" spans="1:15" s="498" customFormat="1" ht="15" customHeight="1" thickBot="1" x14ac:dyDescent="0.35">
      <c r="A81" s="497"/>
      <c r="B81" s="965" t="s">
        <v>51</v>
      </c>
      <c r="C81" s="966"/>
      <c r="D81" s="966"/>
      <c r="E81" s="966"/>
      <c r="F81" s="966"/>
      <c r="G81" s="966"/>
      <c r="H81" s="966"/>
      <c r="I81" s="966"/>
      <c r="J81" s="966"/>
      <c r="K81" s="966"/>
      <c r="L81" s="966"/>
      <c r="M81" s="966"/>
      <c r="N81" s="966"/>
      <c r="O81" s="967"/>
    </row>
    <row r="82" spans="1:15" s="503" customFormat="1" ht="22.5" customHeight="1" x14ac:dyDescent="0.3">
      <c r="A82" s="499" t="s">
        <v>14</v>
      </c>
      <c r="B82" s="500" t="s">
        <v>369</v>
      </c>
      <c r="C82" s="501">
        <f>229497311/12</f>
        <v>19124775.916666668</v>
      </c>
      <c r="D82" s="501">
        <f t="shared" ref="D82:N82" si="16">229497311/12</f>
        <v>19124775.916666668</v>
      </c>
      <c r="E82" s="501">
        <f>229497311/12+189566+145744+9701500</f>
        <v>29161585.916666668</v>
      </c>
      <c r="F82" s="501">
        <f t="shared" si="16"/>
        <v>19124775.916666668</v>
      </c>
      <c r="G82" s="501">
        <f t="shared" si="16"/>
        <v>19124775.916666668</v>
      </c>
      <c r="H82" s="501">
        <f>229497311/12+632000+243701+215307-21207500-1660660</f>
        <v>-2652376.0833333321</v>
      </c>
      <c r="I82" s="501">
        <f t="shared" si="16"/>
        <v>19124775.916666668</v>
      </c>
      <c r="J82" s="501">
        <f t="shared" si="16"/>
        <v>19124775.916666668</v>
      </c>
      <c r="K82" s="501">
        <f t="shared" si="16"/>
        <v>19124775.916666668</v>
      </c>
      <c r="L82" s="501">
        <f t="shared" si="16"/>
        <v>19124775.916666668</v>
      </c>
      <c r="M82" s="501">
        <f t="shared" si="16"/>
        <v>19124775.916666668</v>
      </c>
      <c r="N82" s="501">
        <f t="shared" si="16"/>
        <v>19124775.916666668</v>
      </c>
      <c r="O82" s="502">
        <f t="shared" ref="O82:O91" si="17">SUM(C82:N82)</f>
        <v>217756968.99999997</v>
      </c>
    </row>
    <row r="83" spans="1:15" s="503" customFormat="1" ht="22.5" customHeight="1" x14ac:dyDescent="0.3">
      <c r="A83" s="499" t="s">
        <v>15</v>
      </c>
      <c r="B83" s="500" t="s">
        <v>588</v>
      </c>
      <c r="C83" s="501">
        <f>592800</f>
        <v>592800</v>
      </c>
      <c r="D83" s="501">
        <f>1639729+112502+1073744+592800</f>
        <v>3418775</v>
      </c>
      <c r="E83" s="501">
        <f>592800-3379392+1986068+277527</f>
        <v>-522997</v>
      </c>
      <c r="F83" s="501">
        <f>5936588+592800</f>
        <v>6529388</v>
      </c>
      <c r="G83" s="501">
        <f>5936588+592800</f>
        <v>6529388</v>
      </c>
      <c r="H83" s="501">
        <f>5936588+592800+75000+379473+284369+140809-241702+1560482+1551000+1135050-3748146-1055268+500000</f>
        <v>7110455</v>
      </c>
      <c r="I83" s="501">
        <f>5936588+592800</f>
        <v>6529388</v>
      </c>
      <c r="J83" s="501">
        <f>5936588+592800</f>
        <v>6529388</v>
      </c>
      <c r="K83" s="501">
        <f>23000000+5936588+592800</f>
        <v>29529388</v>
      </c>
      <c r="L83" s="501">
        <f>5936588+592800</f>
        <v>6529388</v>
      </c>
      <c r="M83" s="501">
        <f>5936588+592800</f>
        <v>6529388</v>
      </c>
      <c r="N83" s="501">
        <f>5936588+592800-2</f>
        <v>6529386</v>
      </c>
      <c r="O83" s="502">
        <f t="shared" si="17"/>
        <v>85834135</v>
      </c>
    </row>
    <row r="84" spans="1:15" s="503" customFormat="1" ht="22.5" customHeight="1" x14ac:dyDescent="0.3">
      <c r="A84" s="499" t="s">
        <v>16</v>
      </c>
      <c r="B84" s="500" t="s">
        <v>587</v>
      </c>
      <c r="C84" s="501"/>
      <c r="D84" s="501">
        <f>20902146+2366231</f>
        <v>23268377</v>
      </c>
      <c r="E84" s="501">
        <f>39466000</f>
        <v>39466000</v>
      </c>
      <c r="F84" s="501"/>
      <c r="G84" s="501"/>
      <c r="H84" s="501">
        <f>-163673</f>
        <v>-163673</v>
      </c>
      <c r="I84" s="501"/>
      <c r="J84" s="501"/>
      <c r="K84" s="501"/>
      <c r="L84" s="501"/>
      <c r="M84" s="501"/>
      <c r="N84" s="501"/>
      <c r="O84" s="502">
        <f t="shared" si="17"/>
        <v>62570704</v>
      </c>
    </row>
    <row r="85" spans="1:15" s="503" customFormat="1" ht="22.5" customHeight="1" x14ac:dyDescent="0.3">
      <c r="A85" s="499" t="s">
        <v>17</v>
      </c>
      <c r="B85" s="500" t="s">
        <v>163</v>
      </c>
      <c r="C85" s="501">
        <f>6720000</f>
        <v>6720000</v>
      </c>
      <c r="D85" s="501">
        <f t="shared" ref="D85:N85" si="18">6720000</f>
        <v>6720000</v>
      </c>
      <c r="E85" s="501">
        <f>6720000+40280000</f>
        <v>47000000</v>
      </c>
      <c r="F85" s="501">
        <f t="shared" si="18"/>
        <v>6720000</v>
      </c>
      <c r="G85" s="501">
        <f t="shared" si="18"/>
        <v>6720000</v>
      </c>
      <c r="H85" s="501">
        <f>6720000-9000000-17000000-7000000-8000000-5000000</f>
        <v>-39280000</v>
      </c>
      <c r="I85" s="501">
        <f t="shared" si="18"/>
        <v>6720000</v>
      </c>
      <c r="J85" s="501">
        <f t="shared" si="18"/>
        <v>6720000</v>
      </c>
      <c r="K85" s="501">
        <f>6720000+40280000</f>
        <v>47000000</v>
      </c>
      <c r="L85" s="501">
        <f t="shared" si="18"/>
        <v>6720000</v>
      </c>
      <c r="M85" s="501">
        <f t="shared" si="18"/>
        <v>6720000</v>
      </c>
      <c r="N85" s="501">
        <f t="shared" si="18"/>
        <v>6720000</v>
      </c>
      <c r="O85" s="502">
        <f t="shared" si="17"/>
        <v>115200000</v>
      </c>
    </row>
    <row r="86" spans="1:15" s="503" customFormat="1" ht="22.5" customHeight="1" x14ac:dyDescent="0.3">
      <c r="A86" s="499" t="s">
        <v>18</v>
      </c>
      <c r="B86" s="500" t="s">
        <v>414</v>
      </c>
      <c r="C86" s="501">
        <f>158750+39688</f>
        <v>198438</v>
      </c>
      <c r="D86" s="501">
        <f>158750+39688</f>
        <v>198438</v>
      </c>
      <c r="E86" s="501">
        <f>158750+250+6400+8128000+732314+39688+508000+2500</f>
        <v>9575902</v>
      </c>
      <c r="F86" s="501">
        <f>158750+39688</f>
        <v>198438</v>
      </c>
      <c r="G86" s="501">
        <f>158750+39688</f>
        <v>198438</v>
      </c>
      <c r="H86" s="501">
        <f>158750+250+469900+732314+39688+508000+2500+37956067+1845716+118795-97409-21590000</f>
        <v>20144571</v>
      </c>
      <c r="I86" s="501">
        <f>158750+4749800+39688+10655820+37956067</f>
        <v>53560125</v>
      </c>
      <c r="J86" s="501">
        <f>158750+39688+37956067</f>
        <v>38154505</v>
      </c>
      <c r="K86" s="501">
        <f>158750+250+732314+39688+508000+2500</f>
        <v>1441502</v>
      </c>
      <c r="L86" s="501">
        <f>158750+39688</f>
        <v>198438</v>
      </c>
      <c r="M86" s="501">
        <f>158750+39688</f>
        <v>198438</v>
      </c>
      <c r="N86" s="501">
        <f>158750+250+732314+39688+508000+2500-7</f>
        <v>1441495</v>
      </c>
      <c r="O86" s="502">
        <f t="shared" si="17"/>
        <v>125508728</v>
      </c>
    </row>
    <row r="87" spans="1:15" s="503" customFormat="1" ht="22.5" customHeight="1" x14ac:dyDescent="0.3">
      <c r="A87" s="499" t="s">
        <v>19</v>
      </c>
      <c r="B87" s="500" t="s">
        <v>8</v>
      </c>
      <c r="C87" s="501"/>
      <c r="D87" s="501"/>
      <c r="E87" s="501">
        <f>3151165</f>
        <v>3151165</v>
      </c>
      <c r="F87" s="501"/>
      <c r="G87" s="501"/>
      <c r="H87" s="501">
        <f>750000</f>
        <v>750000</v>
      </c>
      <c r="I87" s="501"/>
      <c r="J87" s="501"/>
      <c r="K87" s="501"/>
      <c r="L87" s="501"/>
      <c r="M87" s="501"/>
      <c r="N87" s="501"/>
      <c r="O87" s="502">
        <f t="shared" si="17"/>
        <v>3901165</v>
      </c>
    </row>
    <row r="88" spans="1:15" s="503" customFormat="1" ht="22.5" customHeight="1" x14ac:dyDescent="0.3">
      <c r="A88" s="499" t="s">
        <v>20</v>
      </c>
      <c r="B88" s="500" t="s">
        <v>371</v>
      </c>
      <c r="C88" s="501"/>
      <c r="D88" s="501"/>
      <c r="E88" s="501"/>
      <c r="F88" s="501"/>
      <c r="G88" s="501"/>
      <c r="H88" s="501"/>
      <c r="I88" s="501"/>
      <c r="J88" s="501"/>
      <c r="K88" s="501"/>
      <c r="L88" s="501"/>
      <c r="M88" s="501"/>
      <c r="N88" s="501"/>
      <c r="O88" s="502">
        <f t="shared" si="17"/>
        <v>0</v>
      </c>
    </row>
    <row r="89" spans="1:15" s="503" customFormat="1" ht="22.5" customHeight="1" x14ac:dyDescent="0.3">
      <c r="A89" s="499" t="s">
        <v>21</v>
      </c>
      <c r="B89" s="500" t="s">
        <v>402</v>
      </c>
      <c r="C89" s="501"/>
      <c r="D89" s="501">
        <f>250000</f>
        <v>250000</v>
      </c>
      <c r="E89" s="501">
        <f>250000</f>
        <v>250000</v>
      </c>
      <c r="F89" s="501"/>
      <c r="G89" s="501"/>
      <c r="H89" s="501">
        <f>333248</f>
        <v>333248</v>
      </c>
      <c r="I89" s="501"/>
      <c r="J89" s="501"/>
      <c r="K89" s="501"/>
      <c r="L89" s="501"/>
      <c r="M89" s="501"/>
      <c r="N89" s="501"/>
      <c r="O89" s="502">
        <f t="shared" si="17"/>
        <v>833248</v>
      </c>
    </row>
    <row r="90" spans="1:15" s="503" customFormat="1" ht="22.5" customHeight="1" thickBot="1" x14ac:dyDescent="0.35">
      <c r="A90" s="499" t="s">
        <v>22</v>
      </c>
      <c r="B90" s="500" t="s">
        <v>9</v>
      </c>
      <c r="C90" s="501">
        <f>700000000+429499+2467033</f>
        <v>702896532</v>
      </c>
      <c r="D90" s="501"/>
      <c r="E90" s="501"/>
      <c r="F90" s="501"/>
      <c r="G90" s="501"/>
      <c r="H90" s="501">
        <f>-429499+206682</f>
        <v>-222817</v>
      </c>
      <c r="I90" s="501"/>
      <c r="J90" s="501"/>
      <c r="K90" s="501"/>
      <c r="L90" s="501"/>
      <c r="M90" s="501"/>
      <c r="N90" s="501"/>
      <c r="O90" s="502">
        <f t="shared" si="17"/>
        <v>702673715</v>
      </c>
    </row>
    <row r="91" spans="1:15" s="508" customFormat="1" ht="16" customHeight="1" thickBot="1" x14ac:dyDescent="0.35">
      <c r="A91" s="504"/>
      <c r="B91" s="505" t="s">
        <v>104</v>
      </c>
      <c r="C91" s="506">
        <f t="shared" ref="C91:N91" si="19">SUM(C82:C90)</f>
        <v>729532545.91666663</v>
      </c>
      <c r="D91" s="506">
        <f t="shared" si="19"/>
        <v>52980365.916666672</v>
      </c>
      <c r="E91" s="506">
        <f t="shared" si="19"/>
        <v>128081655.91666667</v>
      </c>
      <c r="F91" s="506">
        <f t="shared" si="19"/>
        <v>32572601.916666668</v>
      </c>
      <c r="G91" s="506">
        <f t="shared" si="19"/>
        <v>32572601.916666668</v>
      </c>
      <c r="H91" s="506">
        <f t="shared" si="19"/>
        <v>-13980592.083333328</v>
      </c>
      <c r="I91" s="506">
        <f t="shared" si="19"/>
        <v>85934288.916666672</v>
      </c>
      <c r="J91" s="506">
        <f t="shared" si="19"/>
        <v>70528668.916666672</v>
      </c>
      <c r="K91" s="506">
        <f t="shared" si="19"/>
        <v>97095665.916666672</v>
      </c>
      <c r="L91" s="506">
        <f t="shared" si="19"/>
        <v>32572601.916666668</v>
      </c>
      <c r="M91" s="506">
        <f t="shared" si="19"/>
        <v>32572601.916666668</v>
      </c>
      <c r="N91" s="506">
        <f t="shared" si="19"/>
        <v>33815656.916666672</v>
      </c>
      <c r="O91" s="507">
        <f t="shared" si="17"/>
        <v>1314278664</v>
      </c>
    </row>
    <row r="92" spans="1:15" s="508" customFormat="1" ht="16" customHeight="1" thickBot="1" x14ac:dyDescent="0.35">
      <c r="A92" s="509"/>
      <c r="B92" s="510"/>
      <c r="C92" s="511"/>
      <c r="D92" s="511"/>
      <c r="E92" s="511"/>
      <c r="F92" s="511"/>
      <c r="G92" s="511"/>
      <c r="H92" s="511"/>
      <c r="I92" s="511"/>
      <c r="J92" s="511"/>
      <c r="K92" s="511"/>
      <c r="L92" s="511"/>
      <c r="M92" s="511"/>
      <c r="N92" s="511"/>
      <c r="O92" s="511"/>
    </row>
    <row r="93" spans="1:15" s="400" customFormat="1" ht="31.5" customHeight="1" x14ac:dyDescent="0.35">
      <c r="A93" s="494" t="s">
        <v>12</v>
      </c>
      <c r="B93" s="495" t="s">
        <v>56</v>
      </c>
      <c r="C93" s="495" t="s">
        <v>68</v>
      </c>
      <c r="D93" s="495" t="s">
        <v>69</v>
      </c>
      <c r="E93" s="495" t="s">
        <v>70</v>
      </c>
      <c r="F93" s="495" t="s">
        <v>71</v>
      </c>
      <c r="G93" s="495" t="s">
        <v>72</v>
      </c>
      <c r="H93" s="495" t="s">
        <v>73</v>
      </c>
      <c r="I93" s="495" t="s">
        <v>74</v>
      </c>
      <c r="J93" s="495" t="s">
        <v>75</v>
      </c>
      <c r="K93" s="495" t="s">
        <v>76</v>
      </c>
      <c r="L93" s="495" t="s">
        <v>77</v>
      </c>
      <c r="M93" s="495" t="s">
        <v>78</v>
      </c>
      <c r="N93" s="495" t="s">
        <v>79</v>
      </c>
      <c r="O93" s="496" t="s">
        <v>46</v>
      </c>
    </row>
    <row r="94" spans="1:15" s="498" customFormat="1" ht="15" customHeight="1" thickBot="1" x14ac:dyDescent="0.35">
      <c r="A94" s="512"/>
      <c r="B94" s="968" t="s">
        <v>52</v>
      </c>
      <c r="C94" s="969"/>
      <c r="D94" s="969"/>
      <c r="E94" s="969"/>
      <c r="F94" s="969"/>
      <c r="G94" s="969"/>
      <c r="H94" s="969"/>
      <c r="I94" s="969"/>
      <c r="J94" s="969"/>
      <c r="K94" s="969"/>
      <c r="L94" s="969"/>
      <c r="M94" s="969"/>
      <c r="N94" s="969"/>
      <c r="O94" s="970"/>
    </row>
    <row r="95" spans="1:15" s="503" customFormat="1" ht="22.5" customHeight="1" x14ac:dyDescent="0.3">
      <c r="A95" s="499" t="s">
        <v>14</v>
      </c>
      <c r="B95" s="500" t="s">
        <v>57</v>
      </c>
      <c r="C95" s="501">
        <f>888582+45000+2994+5830688</f>
        <v>6767264</v>
      </c>
      <c r="D95" s="501">
        <f>888583+45000+5830688</f>
        <v>6764271</v>
      </c>
      <c r="E95" s="501">
        <f>5830688+2282840</f>
        <v>8113528</v>
      </c>
      <c r="F95" s="501">
        <f>5830688</f>
        <v>5830688</v>
      </c>
      <c r="G95" s="501">
        <f>5830688</f>
        <v>5830688</v>
      </c>
      <c r="H95" s="501">
        <f>5698133+5830688+1728436+1650000+1207500+364000-4081250-2500000+500000</f>
        <v>10397507</v>
      </c>
      <c r="I95" s="501">
        <f>5398133+5830688</f>
        <v>11228821</v>
      </c>
      <c r="J95" s="501">
        <f>5698133+5830688</f>
        <v>11528821</v>
      </c>
      <c r="K95" s="501">
        <f>5830688</f>
        <v>5830688</v>
      </c>
      <c r="L95" s="501">
        <f>5830688</f>
        <v>5830688</v>
      </c>
      <c r="M95" s="501">
        <f>5830688</f>
        <v>5830688</v>
      </c>
      <c r="N95" s="501">
        <f>5830688+4</f>
        <v>5830692</v>
      </c>
      <c r="O95" s="502">
        <f>SUM(C95:N95)</f>
        <v>89784344</v>
      </c>
    </row>
    <row r="96" spans="1:15" s="503" customFormat="1" ht="22.5" customHeight="1" x14ac:dyDescent="0.3">
      <c r="A96" s="499" t="s">
        <v>15</v>
      </c>
      <c r="B96" s="500" t="s">
        <v>172</v>
      </c>
      <c r="C96" s="501">
        <f>103933+1147026</f>
        <v>1250959</v>
      </c>
      <c r="D96" s="501">
        <f>103934+1147026</f>
        <v>1250960</v>
      </c>
      <c r="E96" s="501">
        <f>1147026+199749</f>
        <v>1346775</v>
      </c>
      <c r="F96" s="501">
        <f>1147026</f>
        <v>1147026</v>
      </c>
      <c r="G96" s="501">
        <f>1147026</f>
        <v>1147026</v>
      </c>
      <c r="H96" s="501">
        <f>1047665+1147026+151240+288750+211312-1074019-437500+87500</f>
        <v>1421974</v>
      </c>
      <c r="I96" s="501">
        <f>1047665+1147026</f>
        <v>2194691</v>
      </c>
      <c r="J96" s="501">
        <f>1047665+1147026</f>
        <v>2194691</v>
      </c>
      <c r="K96" s="501">
        <f>1147026</f>
        <v>1147026</v>
      </c>
      <c r="L96" s="501">
        <f>1147026</f>
        <v>1147026</v>
      </c>
      <c r="M96" s="501">
        <f>1147026</f>
        <v>1147026</v>
      </c>
      <c r="N96" s="501">
        <f>1147026+3</f>
        <v>1147029</v>
      </c>
      <c r="O96" s="502">
        <f>SUM(C96:N96)</f>
        <v>16542209</v>
      </c>
    </row>
    <row r="97" spans="1:15" s="503" customFormat="1" ht="22.5" customHeight="1" x14ac:dyDescent="0.3">
      <c r="A97" s="499" t="s">
        <v>16</v>
      </c>
      <c r="B97" s="500" t="s">
        <v>131</v>
      </c>
      <c r="C97" s="501">
        <f>12650429</f>
        <v>12650429</v>
      </c>
      <c r="D97" s="501">
        <f>12650429</f>
        <v>12650429</v>
      </c>
      <c r="E97" s="501">
        <f>248703+270000+1083335+12650429</f>
        <v>14252467</v>
      </c>
      <c r="F97" s="501">
        <f>5855220+12650429+508000</f>
        <v>19013649</v>
      </c>
      <c r="G97" s="501">
        <f>163200+635000+12650429</f>
        <v>13448629</v>
      </c>
      <c r="H97" s="501">
        <f>31361104+1083336+12650429-24000000+3175000-8636000</f>
        <v>15633869</v>
      </c>
      <c r="I97" s="501">
        <f>31361104+12650429</f>
        <v>44011533</v>
      </c>
      <c r="J97" s="501">
        <f>31361104+12650429</f>
        <v>44011533</v>
      </c>
      <c r="K97" s="501">
        <f>300000+1083335+12650429</f>
        <v>14033764</v>
      </c>
      <c r="L97" s="501">
        <f>12650429</f>
        <v>12650429</v>
      </c>
      <c r="M97" s="501">
        <f>12650429</f>
        <v>12650429</v>
      </c>
      <c r="N97" s="501">
        <f>1083336+12650429-4</f>
        <v>13733761</v>
      </c>
      <c r="O97" s="502">
        <f>SUM(C97:N97)</f>
        <v>228740921</v>
      </c>
    </row>
    <row r="98" spans="1:15" s="503" customFormat="1" ht="22.5" customHeight="1" x14ac:dyDescent="0.3">
      <c r="A98" s="499" t="s">
        <v>17</v>
      </c>
      <c r="B98" s="500" t="s">
        <v>173</v>
      </c>
      <c r="C98" s="501">
        <f>580000</f>
        <v>580000</v>
      </c>
      <c r="D98" s="501">
        <f>580000</f>
        <v>580000</v>
      </c>
      <c r="E98" s="501">
        <f>580000</f>
        <v>580000</v>
      </c>
      <c r="F98" s="501">
        <f>580000</f>
        <v>580000</v>
      </c>
      <c r="G98" s="501">
        <f>580000</f>
        <v>580000</v>
      </c>
      <c r="H98" s="501">
        <f>1200000+580000-3175000</f>
        <v>-1395000</v>
      </c>
      <c r="I98" s="501">
        <f>580000</f>
        <v>580000</v>
      </c>
      <c r="J98" s="501">
        <f>50000+900000+580000</f>
        <v>1530000</v>
      </c>
      <c r="K98" s="501">
        <f>900000+580000</f>
        <v>1480000</v>
      </c>
      <c r="L98" s="501">
        <f>580000</f>
        <v>580000</v>
      </c>
      <c r="M98" s="501">
        <f>50000+580000</f>
        <v>630000</v>
      </c>
      <c r="N98" s="501">
        <f>2500000+580000+40000</f>
        <v>3120000</v>
      </c>
      <c r="O98" s="502">
        <f>SUM(C98:N98)</f>
        <v>9425000</v>
      </c>
    </row>
    <row r="99" spans="1:15" s="503" customFormat="1" ht="22.5" customHeight="1" x14ac:dyDescent="0.3">
      <c r="A99" s="499" t="s">
        <v>18</v>
      </c>
      <c r="B99" s="500" t="s">
        <v>607</v>
      </c>
      <c r="C99" s="501"/>
      <c r="D99" s="501"/>
      <c r="E99" s="501">
        <f>900000</f>
        <v>900000</v>
      </c>
      <c r="F99" s="501">
        <f>1100000</f>
        <v>1100000</v>
      </c>
      <c r="G99" s="501"/>
      <c r="H99" s="501"/>
      <c r="I99" s="501"/>
      <c r="J99" s="501"/>
      <c r="K99" s="501"/>
      <c r="L99" s="501"/>
      <c r="M99" s="501"/>
      <c r="N99" s="501"/>
      <c r="O99" s="502">
        <f>SUM(C99:N99)</f>
        <v>2000000</v>
      </c>
    </row>
    <row r="100" spans="1:15" s="503" customFormat="1" ht="22.5" customHeight="1" x14ac:dyDescent="0.3">
      <c r="A100" s="499" t="s">
        <v>19</v>
      </c>
      <c r="B100" s="500" t="s">
        <v>588</v>
      </c>
      <c r="C100" s="501">
        <f>375000+10539692</f>
        <v>10914692</v>
      </c>
      <c r="D100" s="501">
        <f>10539692</f>
        <v>10539692</v>
      </c>
      <c r="E100" s="501">
        <f>2085600+10539692-2405513</f>
        <v>10219779</v>
      </c>
      <c r="F100" s="501">
        <f>10539692</f>
        <v>10539692</v>
      </c>
      <c r="G100" s="501">
        <f>100000+10539692</f>
        <v>10639692</v>
      </c>
      <c r="H100" s="501">
        <f>1500000+10539692-5489166-800000-200000-300000</f>
        <v>5250526</v>
      </c>
      <c r="I100" s="501">
        <f>10539692</f>
        <v>10539692</v>
      </c>
      <c r="J100" s="501">
        <f>375000+2085600+10539692</f>
        <v>13000292</v>
      </c>
      <c r="K100" s="501">
        <f>10539692</f>
        <v>10539692</v>
      </c>
      <c r="L100" s="501">
        <f>10539692</f>
        <v>10539692</v>
      </c>
      <c r="M100" s="501">
        <f>10539692</f>
        <v>10539692</v>
      </c>
      <c r="N100" s="501">
        <f>10539692+5</f>
        <v>10539697</v>
      </c>
      <c r="O100" s="502">
        <f t="shared" ref="O100:O107" si="20">SUM(C100:N100)</f>
        <v>123802830</v>
      </c>
    </row>
    <row r="101" spans="1:15" s="503" customFormat="1" ht="22.5" customHeight="1" x14ac:dyDescent="0.3">
      <c r="A101" s="499" t="s">
        <v>20</v>
      </c>
      <c r="B101" s="500" t="s">
        <v>589</v>
      </c>
      <c r="C101" s="501"/>
      <c r="D101" s="501"/>
      <c r="E101" s="501"/>
      <c r="F101" s="501">
        <f>3480000+900000+8900000+4800000</f>
        <v>18080000</v>
      </c>
      <c r="G101" s="501"/>
      <c r="H101" s="501">
        <v>-4900000</v>
      </c>
      <c r="I101" s="501"/>
      <c r="J101" s="501"/>
      <c r="K101" s="501">
        <f>23000000</f>
        <v>23000000</v>
      </c>
      <c r="L101" s="501"/>
      <c r="M101" s="501"/>
      <c r="N101" s="501"/>
      <c r="O101" s="502">
        <f t="shared" si="20"/>
        <v>36180000</v>
      </c>
    </row>
    <row r="102" spans="1:15" s="503" customFormat="1" ht="22.5" customHeight="1" x14ac:dyDescent="0.3">
      <c r="A102" s="499" t="s">
        <v>21</v>
      </c>
      <c r="B102" s="500" t="s">
        <v>553</v>
      </c>
      <c r="C102" s="501"/>
      <c r="D102" s="501"/>
      <c r="E102" s="501">
        <f>2405513+558238+2291474+189566+145744+9701500-3379392+3151165-496521+277527-626058+2467033-900000</f>
        <v>15785789</v>
      </c>
      <c r="F102" s="501"/>
      <c r="G102" s="501"/>
      <c r="H102" s="501">
        <f>-163673+243701+215307+632000+15544420+8544974+5489166-9000000-21207500+75000+379473+284369+140809-241702+1845716-1660660+118795-319194-387750-283762+4791269-3748146-1055268-97409-1524000+1270000+800000+200000+300000+4900000+4572000+254000+3124200+4572000-13000000-770900-355600+750000</f>
        <v>5231635</v>
      </c>
      <c r="I102" s="501"/>
      <c r="J102" s="501"/>
      <c r="K102" s="501"/>
      <c r="L102" s="501"/>
      <c r="M102" s="501"/>
      <c r="N102" s="501">
        <v>251870536</v>
      </c>
      <c r="O102" s="502">
        <f t="shared" si="20"/>
        <v>272887960</v>
      </c>
    </row>
    <row r="103" spans="1:15" s="503" customFormat="1" ht="22.5" customHeight="1" x14ac:dyDescent="0.3">
      <c r="A103" s="499" t="s">
        <v>22</v>
      </c>
      <c r="B103" s="500" t="s">
        <v>217</v>
      </c>
      <c r="C103" s="501">
        <f>23628130</f>
        <v>23628130</v>
      </c>
      <c r="D103" s="501">
        <f>23628130+2000000</f>
        <v>25628130</v>
      </c>
      <c r="E103" s="501">
        <f>1813579+1778000+23628130</f>
        <v>27219709</v>
      </c>
      <c r="F103" s="501">
        <f>44266600+23628130+1921833</f>
        <v>69816563</v>
      </c>
      <c r="G103" s="501">
        <f>8255000+1403350+457200+23628130</f>
        <v>33743680</v>
      </c>
      <c r="H103" s="501">
        <f>7188200+23628130+70000+18900+298350-298350+1524000-1270000-3124200-4572000-9245600+762000-87500+333248</f>
        <v>15225178</v>
      </c>
      <c r="I103" s="501">
        <f>7188200+23628130</f>
        <v>30816330</v>
      </c>
      <c r="J103" s="501">
        <f>7188200+23628130</f>
        <v>30816330</v>
      </c>
      <c r="K103" s="501">
        <f>23628130</f>
        <v>23628130</v>
      </c>
      <c r="L103" s="501">
        <f>23628130</f>
        <v>23628130</v>
      </c>
      <c r="M103" s="501">
        <f>23628130</f>
        <v>23628130</v>
      </c>
      <c r="N103" s="501">
        <f>23628130+6</f>
        <v>23628136</v>
      </c>
      <c r="O103" s="502">
        <f t="shared" si="20"/>
        <v>351406576</v>
      </c>
    </row>
    <row r="104" spans="1:15" s="503" customFormat="1" ht="22.5" customHeight="1" x14ac:dyDescent="0.3">
      <c r="A104" s="499" t="s">
        <v>23</v>
      </c>
      <c r="B104" s="500" t="s">
        <v>176</v>
      </c>
      <c r="C104" s="501"/>
      <c r="D104" s="501"/>
      <c r="E104" s="501">
        <f>8407400</f>
        <v>8407400</v>
      </c>
      <c r="F104" s="501">
        <f>406400</f>
        <v>406400</v>
      </c>
      <c r="G104" s="501">
        <f>254000</f>
        <v>254000</v>
      </c>
      <c r="H104" s="501">
        <f>4572000-70000-18900-4572000-254000-406400</f>
        <v>-749300</v>
      </c>
      <c r="I104" s="501"/>
      <c r="J104" s="501"/>
      <c r="K104" s="501"/>
      <c r="L104" s="501"/>
      <c r="M104" s="501"/>
      <c r="N104" s="501"/>
      <c r="O104" s="502">
        <f t="shared" si="20"/>
        <v>8318500</v>
      </c>
    </row>
    <row r="105" spans="1:15" s="503" customFormat="1" ht="22.5" customHeight="1" x14ac:dyDescent="0.3">
      <c r="A105" s="499" t="s">
        <v>24</v>
      </c>
      <c r="B105" s="500" t="s">
        <v>219</v>
      </c>
      <c r="C105" s="501"/>
      <c r="D105" s="501"/>
      <c r="E105" s="501"/>
      <c r="F105" s="501"/>
      <c r="G105" s="501"/>
      <c r="H105" s="501"/>
      <c r="I105" s="501"/>
      <c r="J105" s="501"/>
      <c r="K105" s="501"/>
      <c r="L105" s="501"/>
      <c r="M105" s="501"/>
      <c r="N105" s="501"/>
      <c r="O105" s="502">
        <f t="shared" si="20"/>
        <v>0</v>
      </c>
    </row>
    <row r="106" spans="1:15" s="503" customFormat="1" ht="22.5" customHeight="1" thickBot="1" x14ac:dyDescent="0.35">
      <c r="A106" s="499" t="s">
        <v>25</v>
      </c>
      <c r="B106" s="500" t="s">
        <v>10</v>
      </c>
      <c r="C106" s="501">
        <f>16009733+9609391</f>
        <v>25619124</v>
      </c>
      <c r="D106" s="501">
        <f t="shared" ref="D106:M106" si="21">16009733</f>
        <v>16009733</v>
      </c>
      <c r="E106" s="501">
        <f>16009733-558238-2291474+626058</f>
        <v>13786079</v>
      </c>
      <c r="F106" s="501">
        <f t="shared" si="21"/>
        <v>16009733</v>
      </c>
      <c r="G106" s="501">
        <f t="shared" si="21"/>
        <v>16009733</v>
      </c>
      <c r="H106" s="501">
        <f>16009733-429499+206682-15544420-8544974</f>
        <v>-8302478</v>
      </c>
      <c r="I106" s="501">
        <f t="shared" si="21"/>
        <v>16009733</v>
      </c>
      <c r="J106" s="501">
        <f t="shared" si="21"/>
        <v>16009733</v>
      </c>
      <c r="K106" s="501">
        <f t="shared" si="21"/>
        <v>16009733</v>
      </c>
      <c r="L106" s="501">
        <f t="shared" si="21"/>
        <v>16009733</v>
      </c>
      <c r="M106" s="501">
        <f t="shared" si="21"/>
        <v>16009733</v>
      </c>
      <c r="N106" s="501">
        <f>16009733+2</f>
        <v>16009735</v>
      </c>
      <c r="O106" s="502">
        <f t="shared" si="20"/>
        <v>175190324</v>
      </c>
    </row>
    <row r="107" spans="1:15" s="508" customFormat="1" ht="16" customHeight="1" thickBot="1" x14ac:dyDescent="0.35">
      <c r="A107" s="504"/>
      <c r="B107" s="505" t="s">
        <v>105</v>
      </c>
      <c r="C107" s="506">
        <f t="shared" ref="C107:N107" si="22">SUM(C95:C106)</f>
        <v>81410598</v>
      </c>
      <c r="D107" s="506">
        <f t="shared" si="22"/>
        <v>73423215</v>
      </c>
      <c r="E107" s="506">
        <f t="shared" si="22"/>
        <v>100611526</v>
      </c>
      <c r="F107" s="506">
        <f t="shared" si="22"/>
        <v>142523751</v>
      </c>
      <c r="G107" s="506">
        <f t="shared" si="22"/>
        <v>81653448</v>
      </c>
      <c r="H107" s="506">
        <f t="shared" si="22"/>
        <v>37813911</v>
      </c>
      <c r="I107" s="506">
        <f t="shared" si="22"/>
        <v>115380800</v>
      </c>
      <c r="J107" s="506">
        <f t="shared" si="22"/>
        <v>119091400</v>
      </c>
      <c r="K107" s="506">
        <f t="shared" si="22"/>
        <v>95669033</v>
      </c>
      <c r="L107" s="506">
        <f t="shared" si="22"/>
        <v>70385698</v>
      </c>
      <c r="M107" s="506">
        <f t="shared" si="22"/>
        <v>70435698</v>
      </c>
      <c r="N107" s="506">
        <f t="shared" si="22"/>
        <v>325879586</v>
      </c>
      <c r="O107" s="507">
        <f t="shared" si="20"/>
        <v>1314278664</v>
      </c>
    </row>
    <row r="108" spans="1:15" s="508" customFormat="1" ht="16" customHeight="1" thickBot="1" x14ac:dyDescent="0.35">
      <c r="A108" s="513"/>
      <c r="B108" s="514"/>
      <c r="C108" s="515"/>
      <c r="D108" s="515"/>
      <c r="E108" s="515"/>
      <c r="F108" s="515"/>
      <c r="G108" s="515"/>
      <c r="H108" s="515"/>
      <c r="I108" s="515"/>
      <c r="J108" s="515"/>
      <c r="K108" s="515"/>
      <c r="L108" s="515"/>
      <c r="M108" s="515"/>
      <c r="N108" s="515"/>
      <c r="O108" s="515"/>
    </row>
    <row r="109" spans="1:15" ht="16" thickBot="1" x14ac:dyDescent="0.4">
      <c r="A109" s="504"/>
      <c r="B109" s="505" t="s">
        <v>106</v>
      </c>
      <c r="C109" s="506">
        <f t="shared" ref="C109:O109" si="23">C91-C107</f>
        <v>648121947.91666663</v>
      </c>
      <c r="D109" s="506">
        <f t="shared" si="23"/>
        <v>-20442849.083333328</v>
      </c>
      <c r="E109" s="506">
        <f t="shared" si="23"/>
        <v>27470129.916666672</v>
      </c>
      <c r="F109" s="506">
        <f t="shared" si="23"/>
        <v>-109951149.08333333</v>
      </c>
      <c r="G109" s="506">
        <f t="shared" si="23"/>
        <v>-49080846.083333328</v>
      </c>
      <c r="H109" s="506">
        <f t="shared" si="23"/>
        <v>-51794503.083333328</v>
      </c>
      <c r="I109" s="506">
        <f t="shared" si="23"/>
        <v>-29446511.083333328</v>
      </c>
      <c r="J109" s="506">
        <f t="shared" si="23"/>
        <v>-48562731.083333328</v>
      </c>
      <c r="K109" s="506">
        <f t="shared" si="23"/>
        <v>1426632.9166666716</v>
      </c>
      <c r="L109" s="506">
        <f t="shared" si="23"/>
        <v>-37813096.083333328</v>
      </c>
      <c r="M109" s="506">
        <f t="shared" si="23"/>
        <v>-37863096.083333328</v>
      </c>
      <c r="N109" s="506">
        <f t="shared" si="23"/>
        <v>-292063929.08333331</v>
      </c>
      <c r="O109" s="507">
        <f t="shared" si="23"/>
        <v>0</v>
      </c>
    </row>
  </sheetData>
  <mergeCells count="13">
    <mergeCell ref="A76:O76"/>
    <mergeCell ref="A77:O77"/>
    <mergeCell ref="B81:O81"/>
    <mergeCell ref="B94:O94"/>
    <mergeCell ref="L1:N1"/>
    <mergeCell ref="A40:O40"/>
    <mergeCell ref="A41:O41"/>
    <mergeCell ref="B45:O45"/>
    <mergeCell ref="B58:O58"/>
    <mergeCell ref="A4:O4"/>
    <mergeCell ref="A5:O5"/>
    <mergeCell ref="B9:O9"/>
    <mergeCell ref="B22:O22"/>
  </mergeCells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51" orientation="landscape" r:id="rId1"/>
  <headerFooter alignWithMargins="0">
    <oddHeader xml:space="preserve">&amp;R&amp;"Times New Roman CE,Félkövér dőlt"&amp;11 </oddHeader>
    <oddFooter>&amp;P. oldal, összesen: &amp;N</oddFooter>
  </headerFooter>
  <rowBreaks count="1" manualBreakCount="1">
    <brk id="38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Munka32">
    <tabColor rgb="FFFFFF00"/>
  </sheetPr>
  <dimension ref="A1:D40"/>
  <sheetViews>
    <sheetView zoomScaleNormal="100" workbookViewId="0">
      <selection activeCell="B100" sqref="B100"/>
    </sheetView>
  </sheetViews>
  <sheetFormatPr defaultColWidth="9.296875" defaultRowHeight="15.5" x14ac:dyDescent="0.35"/>
  <cols>
    <col min="1" max="1" width="109.5" style="456" bestFit="1" customWidth="1"/>
    <col min="2" max="4" width="35.296875" style="456" bestFit="1" customWidth="1"/>
    <col min="5" max="16384" width="9.296875" style="456"/>
  </cols>
  <sheetData>
    <row r="1" spans="1:4" x14ac:dyDescent="0.35">
      <c r="A1" s="455" t="s">
        <v>535</v>
      </c>
    </row>
    <row r="2" spans="1:4" x14ac:dyDescent="0.35">
      <c r="A2" s="340" t="s">
        <v>585</v>
      </c>
    </row>
    <row r="3" spans="1:4" x14ac:dyDescent="0.35">
      <c r="A3" s="341" t="s">
        <v>645</v>
      </c>
      <c r="B3" s="341"/>
      <c r="C3" s="341"/>
      <c r="D3" s="341"/>
    </row>
    <row r="4" spans="1:4" x14ac:dyDescent="0.35">
      <c r="A4" s="342"/>
      <c r="B4" s="483" t="s">
        <v>579</v>
      </c>
      <c r="C4" s="483" t="s">
        <v>579</v>
      </c>
      <c r="D4" s="483" t="s">
        <v>579</v>
      </c>
    </row>
    <row r="5" spans="1:4" s="457" customFormat="1" x14ac:dyDescent="0.35">
      <c r="A5" s="343" t="s">
        <v>47</v>
      </c>
      <c r="B5" s="343" t="s">
        <v>646</v>
      </c>
      <c r="C5" s="343" t="s">
        <v>726</v>
      </c>
      <c r="D5" s="343" t="s">
        <v>732</v>
      </c>
    </row>
    <row r="6" spans="1:4" s="458" customFormat="1" x14ac:dyDescent="0.3">
      <c r="A6" s="343" t="s">
        <v>482</v>
      </c>
      <c r="B6" s="343" t="s">
        <v>483</v>
      </c>
      <c r="C6" s="343" t="s">
        <v>483</v>
      </c>
      <c r="D6" s="343" t="s">
        <v>483</v>
      </c>
    </row>
    <row r="7" spans="1:4" x14ac:dyDescent="0.35">
      <c r="A7" s="343" t="s">
        <v>557</v>
      </c>
      <c r="B7" s="484">
        <f>SUM(B8+B9+B15+B17+B16+B14)</f>
        <v>119931664</v>
      </c>
      <c r="C7" s="484">
        <f>SUM(C8+C9+C15+C17+C16+C14)</f>
        <v>129633164</v>
      </c>
      <c r="D7" s="484">
        <f>SUM(D8+D9+D15+D17+D16+D14)</f>
        <v>108858931</v>
      </c>
    </row>
    <row r="8" spans="1:4" x14ac:dyDescent="0.35">
      <c r="A8" s="459" t="s">
        <v>558</v>
      </c>
      <c r="B8" s="485">
        <v>48777000</v>
      </c>
      <c r="C8" s="485">
        <f>48777000+9701500</f>
        <v>58478500</v>
      </c>
      <c r="D8" s="485">
        <f>48777000+9701500</f>
        <v>58478500</v>
      </c>
    </row>
    <row r="9" spans="1:4" x14ac:dyDescent="0.35">
      <c r="A9" s="459" t="s">
        <v>559</v>
      </c>
      <c r="B9" s="486">
        <f>B10+B11+B12+B13</f>
        <v>33859064</v>
      </c>
      <c r="C9" s="486">
        <f>C10+C11+C12+C13</f>
        <v>33859064</v>
      </c>
      <c r="D9" s="486">
        <f>D10+D11+D12+D13</f>
        <v>33859064</v>
      </c>
    </row>
    <row r="10" spans="1:4" x14ac:dyDescent="0.35">
      <c r="A10" s="460" t="s">
        <v>560</v>
      </c>
      <c r="B10" s="485">
        <v>8326080</v>
      </c>
      <c r="C10" s="485">
        <v>8326080</v>
      </c>
      <c r="D10" s="485">
        <v>8326080</v>
      </c>
    </row>
    <row r="11" spans="1:4" x14ac:dyDescent="0.35">
      <c r="A11" s="460" t="s">
        <v>561</v>
      </c>
      <c r="B11" s="485">
        <v>14432000</v>
      </c>
      <c r="C11" s="485">
        <v>14432000</v>
      </c>
      <c r="D11" s="485">
        <v>14432000</v>
      </c>
    </row>
    <row r="12" spans="1:4" x14ac:dyDescent="0.35">
      <c r="A12" s="460" t="s">
        <v>562</v>
      </c>
      <c r="B12" s="485">
        <v>1744044</v>
      </c>
      <c r="C12" s="485">
        <v>1744044</v>
      </c>
      <c r="D12" s="485">
        <v>1744044</v>
      </c>
    </row>
    <row r="13" spans="1:4" x14ac:dyDescent="0.35">
      <c r="A13" s="460" t="s">
        <v>563</v>
      </c>
      <c r="B13" s="485">
        <v>9356940</v>
      </c>
      <c r="C13" s="485">
        <v>9356940</v>
      </c>
      <c r="D13" s="485">
        <v>9356940</v>
      </c>
    </row>
    <row r="14" spans="1:4" x14ac:dyDescent="0.35">
      <c r="A14" s="459" t="s">
        <v>629</v>
      </c>
      <c r="B14" s="485">
        <v>840800</v>
      </c>
      <c r="C14" s="485">
        <v>840800</v>
      </c>
      <c r="D14" s="485">
        <v>840800</v>
      </c>
    </row>
    <row r="15" spans="1:4" x14ac:dyDescent="0.35">
      <c r="A15" s="459" t="s">
        <v>580</v>
      </c>
      <c r="B15" s="485">
        <v>7000000</v>
      </c>
      <c r="C15" s="485">
        <v>7000000</v>
      </c>
      <c r="D15" s="485">
        <v>7000000</v>
      </c>
    </row>
    <row r="16" spans="1:4" x14ac:dyDescent="0.35">
      <c r="A16" s="459" t="s">
        <v>570</v>
      </c>
      <c r="B16" s="487">
        <v>29454800</v>
      </c>
      <c r="C16" s="487">
        <v>29454800</v>
      </c>
      <c r="D16" s="487">
        <f>29454800-21207500</f>
        <v>8247300</v>
      </c>
    </row>
    <row r="17" spans="1:4" x14ac:dyDescent="0.35">
      <c r="A17" s="459" t="s">
        <v>571</v>
      </c>
      <c r="B17" s="487"/>
      <c r="C17" s="487"/>
      <c r="D17" s="487">
        <f>189566+243701</f>
        <v>433267</v>
      </c>
    </row>
    <row r="18" spans="1:4" x14ac:dyDescent="0.35">
      <c r="A18" s="461" t="s">
        <v>564</v>
      </c>
      <c r="B18" s="488">
        <f>SUM(B19:B20)</f>
        <v>64851900</v>
      </c>
      <c r="C18" s="488">
        <f>SUM(C19:C20)</f>
        <v>64851900</v>
      </c>
      <c r="D18" s="488">
        <f>SUM(D19:D20)</f>
        <v>64822680</v>
      </c>
    </row>
    <row r="19" spans="1:4" x14ac:dyDescent="0.35">
      <c r="A19" s="459" t="s">
        <v>581</v>
      </c>
      <c r="B19" s="485">
        <v>55014500</v>
      </c>
      <c r="C19" s="485">
        <v>55014500</v>
      </c>
      <c r="D19" s="485">
        <v>55014500</v>
      </c>
    </row>
    <row r="20" spans="1:4" x14ac:dyDescent="0.35">
      <c r="A20" s="459" t="s">
        <v>565</v>
      </c>
      <c r="B20" s="485">
        <v>9837400</v>
      </c>
      <c r="C20" s="485">
        <v>9837400</v>
      </c>
      <c r="D20" s="485">
        <f>9837400-29220</f>
        <v>9808180</v>
      </c>
    </row>
    <row r="21" spans="1:4" x14ac:dyDescent="0.35">
      <c r="A21" s="461" t="s">
        <v>583</v>
      </c>
      <c r="B21" s="488">
        <f>B22+B23+B24+B25+B26</f>
        <v>41522446</v>
      </c>
      <c r="C21" s="488">
        <f>C22+C23+C24+C25+C26</f>
        <v>41522446</v>
      </c>
      <c r="D21" s="488">
        <f>D22+D23+D24+D25+D26</f>
        <v>39891006</v>
      </c>
    </row>
    <row r="22" spans="1:4" x14ac:dyDescent="0.35">
      <c r="A22" s="462" t="s">
        <v>566</v>
      </c>
      <c r="B22" s="489">
        <v>12545000</v>
      </c>
      <c r="C22" s="489">
        <v>12545000</v>
      </c>
      <c r="D22" s="489">
        <v>12545000</v>
      </c>
    </row>
    <row r="23" spans="1:4" x14ac:dyDescent="0.35">
      <c r="A23" s="463" t="s">
        <v>567</v>
      </c>
      <c r="B23" s="490">
        <v>1045760</v>
      </c>
      <c r="C23" s="490">
        <v>1045760</v>
      </c>
      <c r="D23" s="490">
        <f>1045760+130720</f>
        <v>1176480</v>
      </c>
    </row>
    <row r="24" spans="1:4" x14ac:dyDescent="0.35">
      <c r="A24" s="459" t="s">
        <v>568</v>
      </c>
      <c r="B24" s="487">
        <v>13640000</v>
      </c>
      <c r="C24" s="487">
        <v>13640000</v>
      </c>
      <c r="D24" s="487">
        <f>13640000-1826000</f>
        <v>11814000</v>
      </c>
    </row>
    <row r="25" spans="1:4" x14ac:dyDescent="0.35">
      <c r="A25" s="459" t="s">
        <v>569</v>
      </c>
      <c r="B25" s="487">
        <v>14291686</v>
      </c>
      <c r="C25" s="487">
        <v>14291686</v>
      </c>
      <c r="D25" s="487">
        <v>14291686</v>
      </c>
    </row>
    <row r="26" spans="1:4" x14ac:dyDescent="0.35">
      <c r="A26" s="459" t="s">
        <v>738</v>
      </c>
      <c r="B26" s="487"/>
      <c r="C26" s="487"/>
      <c r="D26" s="487">
        <v>63840</v>
      </c>
    </row>
    <row r="27" spans="1:4" x14ac:dyDescent="0.35">
      <c r="A27" s="461" t="s">
        <v>584</v>
      </c>
      <c r="B27" s="491">
        <f>B28+B29+B30</f>
        <v>3191301</v>
      </c>
      <c r="C27" s="491">
        <f>C28+C29+C30</f>
        <v>3191301</v>
      </c>
      <c r="D27" s="491">
        <f>D28+D29+D30</f>
        <v>4184352</v>
      </c>
    </row>
    <row r="28" spans="1:4" x14ac:dyDescent="0.35">
      <c r="A28" s="463" t="s">
        <v>582</v>
      </c>
      <c r="B28" s="490">
        <v>3191301</v>
      </c>
      <c r="C28" s="490">
        <v>3191301</v>
      </c>
      <c r="D28" s="490">
        <v>3191301</v>
      </c>
    </row>
    <row r="29" spans="1:4" x14ac:dyDescent="0.35">
      <c r="A29" s="463" t="s">
        <v>610</v>
      </c>
      <c r="B29" s="490"/>
      <c r="C29" s="490"/>
      <c r="D29" s="490">
        <f>145744+215307</f>
        <v>361051</v>
      </c>
    </row>
    <row r="30" spans="1:4" x14ac:dyDescent="0.35">
      <c r="A30" s="463" t="s">
        <v>618</v>
      </c>
      <c r="B30" s="490"/>
      <c r="C30" s="490"/>
      <c r="D30" s="490">
        <v>632000</v>
      </c>
    </row>
    <row r="31" spans="1:4" s="464" customFormat="1" x14ac:dyDescent="0.3">
      <c r="A31" s="461" t="s">
        <v>617</v>
      </c>
      <c r="B31" s="491">
        <f>B32+B33+B35+B34</f>
        <v>0</v>
      </c>
      <c r="C31" s="491">
        <f>C32+C33+C35+C34</f>
        <v>335310</v>
      </c>
      <c r="D31" s="491">
        <f>D32+D33+D35+D34</f>
        <v>0</v>
      </c>
    </row>
    <row r="32" spans="1:4" x14ac:dyDescent="0.35">
      <c r="A32" s="459" t="s">
        <v>620</v>
      </c>
      <c r="B32" s="487"/>
      <c r="C32" s="487"/>
      <c r="D32" s="487"/>
    </row>
    <row r="33" spans="1:4" x14ac:dyDescent="0.35">
      <c r="A33" s="459" t="s">
        <v>571</v>
      </c>
      <c r="B33" s="487"/>
      <c r="C33" s="487">
        <f>189566</f>
        <v>189566</v>
      </c>
      <c r="D33" s="487">
        <f>189566-189566</f>
        <v>0</v>
      </c>
    </row>
    <row r="34" spans="1:4" x14ac:dyDescent="0.35">
      <c r="A34" s="459" t="s">
        <v>728</v>
      </c>
      <c r="B34" s="487"/>
      <c r="C34" s="487">
        <f>145744</f>
        <v>145744</v>
      </c>
      <c r="D34" s="487">
        <f>145744-145744</f>
        <v>0</v>
      </c>
    </row>
    <row r="35" spans="1:4" x14ac:dyDescent="0.35">
      <c r="A35" s="459" t="s">
        <v>616</v>
      </c>
      <c r="B35" s="487"/>
      <c r="C35" s="487"/>
      <c r="D35" s="487"/>
    </row>
    <row r="36" spans="1:4" x14ac:dyDescent="0.35">
      <c r="A36" s="461" t="s">
        <v>426</v>
      </c>
      <c r="B36" s="491">
        <f>B37</f>
        <v>0</v>
      </c>
      <c r="C36" s="491">
        <f>C37</f>
        <v>0</v>
      </c>
      <c r="D36" s="491">
        <f>D37</f>
        <v>0</v>
      </c>
    </row>
    <row r="37" spans="1:4" x14ac:dyDescent="0.35">
      <c r="A37" s="459" t="s">
        <v>647</v>
      </c>
      <c r="B37" s="487"/>
      <c r="C37" s="487"/>
      <c r="D37" s="487"/>
    </row>
    <row r="38" spans="1:4" x14ac:dyDescent="0.35">
      <c r="A38" s="461" t="s">
        <v>634</v>
      </c>
      <c r="B38" s="491">
        <f>B39</f>
        <v>0</v>
      </c>
      <c r="C38" s="491">
        <f>C39</f>
        <v>0</v>
      </c>
      <c r="D38" s="491">
        <f>D39</f>
        <v>0</v>
      </c>
    </row>
    <row r="39" spans="1:4" x14ac:dyDescent="0.35">
      <c r="A39" s="459" t="s">
        <v>634</v>
      </c>
      <c r="B39" s="487"/>
      <c r="C39" s="487"/>
      <c r="D39" s="487"/>
    </row>
    <row r="40" spans="1:4" x14ac:dyDescent="0.35">
      <c r="A40" s="465" t="s">
        <v>48</v>
      </c>
      <c r="B40" s="484">
        <f>B7+B18+B21+B27+B31+B36+B38</f>
        <v>229497311</v>
      </c>
      <c r="C40" s="484">
        <f>C7+C18+C21+C27+C31+C36+C38</f>
        <v>239534121</v>
      </c>
      <c r="D40" s="484">
        <f>D7+D18+D21+D27+D31+D36+D38</f>
        <v>217756969</v>
      </c>
    </row>
  </sheetData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50" orientation="portrait" verticalDpi="300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Munka33">
    <tabColor rgb="FFFFFF00"/>
  </sheetPr>
  <dimension ref="A1:G18"/>
  <sheetViews>
    <sheetView zoomScaleNormal="100" workbookViewId="0">
      <selection activeCell="B100" sqref="B100"/>
    </sheetView>
  </sheetViews>
  <sheetFormatPr defaultColWidth="14" defaultRowHeight="15.5" x14ac:dyDescent="0.35"/>
  <cols>
    <col min="1" max="1" width="9.296875" style="333" bestFit="1" customWidth="1"/>
    <col min="2" max="2" width="73.796875" style="333" bestFit="1" customWidth="1"/>
    <col min="3" max="3" width="21.69921875" style="333" bestFit="1" customWidth="1"/>
    <col min="4" max="6" width="12.5" style="333" bestFit="1" customWidth="1"/>
    <col min="7" max="16384" width="14" style="333"/>
  </cols>
  <sheetData>
    <row r="1" spans="1:6" ht="22.5" customHeight="1" x14ac:dyDescent="0.35">
      <c r="A1" s="972" t="s">
        <v>578</v>
      </c>
      <c r="B1" s="972"/>
      <c r="C1" s="972"/>
    </row>
    <row r="2" spans="1:6" ht="17.25" customHeight="1" x14ac:dyDescent="0.35">
      <c r="A2" s="972" t="s">
        <v>643</v>
      </c>
      <c r="B2" s="972"/>
      <c r="C2" s="972"/>
      <c r="D2" s="332"/>
      <c r="E2" s="332"/>
      <c r="F2" s="332"/>
    </row>
    <row r="3" spans="1:6" ht="17.25" customHeight="1" x14ac:dyDescent="0.35">
      <c r="A3" s="332"/>
      <c r="B3" s="332"/>
      <c r="C3" s="332"/>
      <c r="D3" s="332"/>
      <c r="E3" s="332"/>
      <c r="F3" s="332"/>
    </row>
    <row r="4" spans="1:6" ht="16" thickBot="1" x14ac:dyDescent="0.4">
      <c r="A4" s="334"/>
      <c r="B4" s="334"/>
      <c r="C4" s="378" t="s">
        <v>579</v>
      </c>
    </row>
    <row r="5" spans="1:6" ht="55.5" customHeight="1" x14ac:dyDescent="0.35">
      <c r="A5" s="335" t="s">
        <v>577</v>
      </c>
      <c r="B5" s="335" t="s">
        <v>120</v>
      </c>
      <c r="C5" s="335" t="s">
        <v>121</v>
      </c>
      <c r="D5" s="481" t="s">
        <v>644</v>
      </c>
      <c r="E5" s="481" t="s">
        <v>727</v>
      </c>
      <c r="F5" s="481" t="s">
        <v>733</v>
      </c>
    </row>
    <row r="6" spans="1:6" ht="16" customHeight="1" x14ac:dyDescent="0.35">
      <c r="A6" s="336" t="s">
        <v>14</v>
      </c>
      <c r="B6" s="337" t="s">
        <v>549</v>
      </c>
      <c r="C6" s="337" t="s">
        <v>573</v>
      </c>
      <c r="D6" s="479">
        <v>200000</v>
      </c>
      <c r="E6" s="479">
        <v>200000</v>
      </c>
      <c r="F6" s="479">
        <f>200000-100000</f>
        <v>100000</v>
      </c>
    </row>
    <row r="7" spans="1:6" ht="16" customHeight="1" x14ac:dyDescent="0.35">
      <c r="A7" s="336" t="s">
        <v>15</v>
      </c>
      <c r="B7" s="389" t="s">
        <v>541</v>
      </c>
      <c r="C7" s="389" t="s">
        <v>573</v>
      </c>
      <c r="D7" s="480">
        <v>300000</v>
      </c>
      <c r="E7" s="480">
        <v>300000</v>
      </c>
      <c r="F7" s="480">
        <f>300000-150000</f>
        <v>150000</v>
      </c>
    </row>
    <row r="8" spans="1:6" ht="16" customHeight="1" x14ac:dyDescent="0.35">
      <c r="A8" s="336" t="s">
        <v>16</v>
      </c>
      <c r="B8" s="337" t="s">
        <v>542</v>
      </c>
      <c r="C8" s="337" t="s">
        <v>573</v>
      </c>
      <c r="D8" s="479">
        <v>100000</v>
      </c>
      <c r="E8" s="479">
        <v>100000</v>
      </c>
      <c r="F8" s="479">
        <f>100000-50000</f>
        <v>50000</v>
      </c>
    </row>
    <row r="9" spans="1:6" ht="18.75" customHeight="1" x14ac:dyDescent="0.35">
      <c r="A9" s="336" t="s">
        <v>17</v>
      </c>
      <c r="B9" s="338" t="s">
        <v>544</v>
      </c>
      <c r="C9" s="337" t="s">
        <v>573</v>
      </c>
      <c r="D9" s="479">
        <v>1300000</v>
      </c>
      <c r="E9" s="479">
        <v>1300000</v>
      </c>
      <c r="F9" s="479">
        <f>1300000-800000</f>
        <v>500000</v>
      </c>
    </row>
    <row r="10" spans="1:6" ht="16" customHeight="1" x14ac:dyDescent="0.35">
      <c r="A10" s="336" t="s">
        <v>18</v>
      </c>
      <c r="B10" s="337" t="s">
        <v>545</v>
      </c>
      <c r="C10" s="337" t="s">
        <v>573</v>
      </c>
      <c r="D10" s="479">
        <v>200000</v>
      </c>
      <c r="E10" s="479">
        <v>200000</v>
      </c>
      <c r="F10" s="479">
        <f>200000-200000</f>
        <v>0</v>
      </c>
    </row>
    <row r="11" spans="1:6" ht="16" customHeight="1" x14ac:dyDescent="0.35">
      <c r="A11" s="336" t="s">
        <v>19</v>
      </c>
      <c r="B11" s="337" t="s">
        <v>545</v>
      </c>
      <c r="C11" s="337" t="s">
        <v>573</v>
      </c>
      <c r="D11" s="479">
        <v>1300000</v>
      </c>
      <c r="E11" s="479">
        <v>1300000</v>
      </c>
      <c r="F11" s="479">
        <v>1300000</v>
      </c>
    </row>
    <row r="12" spans="1:6" ht="16" customHeight="1" x14ac:dyDescent="0.35">
      <c r="A12" s="336" t="s">
        <v>20</v>
      </c>
      <c r="B12" s="337" t="s">
        <v>621</v>
      </c>
      <c r="C12" s="337" t="s">
        <v>573</v>
      </c>
      <c r="D12" s="479">
        <v>80000</v>
      </c>
      <c r="E12" s="479">
        <v>80000</v>
      </c>
      <c r="F12" s="479">
        <v>80000</v>
      </c>
    </row>
    <row r="13" spans="1:6" ht="16" customHeight="1" x14ac:dyDescent="0.35">
      <c r="A13" s="336" t="s">
        <v>21</v>
      </c>
      <c r="B13" s="337" t="s">
        <v>546</v>
      </c>
      <c r="C13" s="337" t="s">
        <v>573</v>
      </c>
      <c r="D13" s="479">
        <v>8200000</v>
      </c>
      <c r="E13" s="479">
        <v>8200000</v>
      </c>
      <c r="F13" s="479">
        <f>8200000-2000000</f>
        <v>6200000</v>
      </c>
    </row>
    <row r="14" spans="1:6" ht="16" customHeight="1" x14ac:dyDescent="0.35">
      <c r="A14" s="336" t="s">
        <v>22</v>
      </c>
      <c r="B14" s="337" t="s">
        <v>547</v>
      </c>
      <c r="C14" s="337" t="s">
        <v>573</v>
      </c>
      <c r="D14" s="479">
        <v>700000</v>
      </c>
      <c r="E14" s="479">
        <v>700000</v>
      </c>
      <c r="F14" s="479">
        <v>700000</v>
      </c>
    </row>
    <row r="15" spans="1:6" ht="16.5" customHeight="1" x14ac:dyDescent="0.35">
      <c r="A15" s="336" t="s">
        <v>23</v>
      </c>
      <c r="B15" s="337" t="s">
        <v>543</v>
      </c>
      <c r="C15" s="337" t="s">
        <v>573</v>
      </c>
      <c r="D15" s="479">
        <v>900000</v>
      </c>
      <c r="E15" s="479">
        <v>900000</v>
      </c>
      <c r="F15" s="479">
        <v>900000</v>
      </c>
    </row>
    <row r="16" spans="1:6" ht="16" customHeight="1" x14ac:dyDescent="0.35">
      <c r="A16" s="336" t="s">
        <v>24</v>
      </c>
      <c r="B16" s="337" t="s">
        <v>615</v>
      </c>
      <c r="C16" s="337" t="s">
        <v>573</v>
      </c>
      <c r="D16" s="479">
        <v>4600000</v>
      </c>
      <c r="E16" s="479">
        <v>4600000</v>
      </c>
      <c r="F16" s="479">
        <f>4600000-1600000</f>
        <v>3000000</v>
      </c>
    </row>
    <row r="17" spans="1:7" ht="16" customHeight="1" thickBot="1" x14ac:dyDescent="0.4">
      <c r="A17" s="336" t="s">
        <v>25</v>
      </c>
      <c r="B17" s="337" t="s">
        <v>548</v>
      </c>
      <c r="C17" s="337" t="s">
        <v>573</v>
      </c>
      <c r="D17" s="479">
        <v>200000</v>
      </c>
      <c r="E17" s="479">
        <v>200000</v>
      </c>
      <c r="F17" s="479">
        <v>200000</v>
      </c>
    </row>
    <row r="18" spans="1:7" ht="16" customHeight="1" thickBot="1" x14ac:dyDescent="0.4">
      <c r="A18" s="973" t="s">
        <v>48</v>
      </c>
      <c r="B18" s="974"/>
      <c r="C18" s="339"/>
      <c r="D18" s="482">
        <f>SUM(D6:D17)</f>
        <v>18080000</v>
      </c>
      <c r="E18" s="482">
        <f>SUM(E6:E17)</f>
        <v>18080000</v>
      </c>
      <c r="F18" s="482">
        <f>SUM(F6:F17)</f>
        <v>13180000</v>
      </c>
      <c r="G18" s="810"/>
    </row>
  </sheetData>
  <mergeCells count="3">
    <mergeCell ref="A1:C1"/>
    <mergeCell ref="A18:B18"/>
    <mergeCell ref="A2:C2"/>
  </mergeCells>
  <phoneticPr fontId="5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73" orientation="portrait" copies="4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unka34">
    <tabColor rgb="FFFFFF00"/>
  </sheetPr>
  <dimension ref="A1:F48"/>
  <sheetViews>
    <sheetView zoomScale="120" zoomScaleNormal="120" zoomScaleSheetLayoutView="100" workbookViewId="0">
      <selection activeCell="B100" sqref="B100"/>
    </sheetView>
  </sheetViews>
  <sheetFormatPr defaultColWidth="9.296875" defaultRowHeight="15.5" x14ac:dyDescent="0.35"/>
  <cols>
    <col min="1" max="1" width="9" style="33" customWidth="1"/>
    <col min="2" max="2" width="66.296875" style="33" bestFit="1" customWidth="1"/>
    <col min="3" max="5" width="15.5" style="466" customWidth="1"/>
    <col min="6" max="6" width="9" style="33" customWidth="1"/>
    <col min="7" max="16384" width="9.296875" style="33"/>
  </cols>
  <sheetData>
    <row r="1" spans="1:5" ht="16" customHeight="1" x14ac:dyDescent="0.35">
      <c r="A1" s="900" t="s">
        <v>11</v>
      </c>
      <c r="B1" s="900"/>
      <c r="C1" s="900"/>
      <c r="D1" s="900"/>
      <c r="E1" s="900"/>
    </row>
    <row r="2" spans="1:5" ht="16" customHeight="1" thickBot="1" x14ac:dyDescent="0.4">
      <c r="A2" s="902" t="s">
        <v>142</v>
      </c>
      <c r="B2" s="902"/>
    </row>
    <row r="3" spans="1:5" ht="38.15" customHeight="1" thickBot="1" x14ac:dyDescent="0.4">
      <c r="A3" s="34" t="s">
        <v>64</v>
      </c>
      <c r="B3" s="35" t="s">
        <v>13</v>
      </c>
      <c r="C3" s="35" t="s">
        <v>631</v>
      </c>
      <c r="D3" s="35" t="s">
        <v>636</v>
      </c>
      <c r="E3" s="35" t="s">
        <v>642</v>
      </c>
    </row>
    <row r="4" spans="1:5" s="38" customFormat="1" ht="12" customHeight="1" thickBot="1" x14ac:dyDescent="0.3">
      <c r="A4" s="74" t="s">
        <v>482</v>
      </c>
      <c r="B4" s="75" t="s">
        <v>483</v>
      </c>
      <c r="C4" s="75" t="s">
        <v>484</v>
      </c>
      <c r="D4" s="75" t="s">
        <v>486</v>
      </c>
      <c r="E4" s="75" t="s">
        <v>485</v>
      </c>
    </row>
    <row r="5" spans="1:5" s="42" customFormat="1" ht="12" customHeight="1" thickBot="1" x14ac:dyDescent="0.35">
      <c r="A5" s="39" t="s">
        <v>14</v>
      </c>
      <c r="B5" s="40" t="s">
        <v>521</v>
      </c>
      <c r="C5" s="467">
        <v>229500000</v>
      </c>
      <c r="D5" s="467">
        <v>229500000</v>
      </c>
      <c r="E5" s="467">
        <v>229500000</v>
      </c>
    </row>
    <row r="6" spans="1:5" s="42" customFormat="1" ht="12" customHeight="1" thickBot="1" x14ac:dyDescent="0.35">
      <c r="A6" s="39" t="s">
        <v>15</v>
      </c>
      <c r="B6" s="52" t="s">
        <v>370</v>
      </c>
      <c r="C6" s="467">
        <v>86370000</v>
      </c>
      <c r="D6" s="467">
        <v>86370000</v>
      </c>
      <c r="E6" s="467">
        <v>86370000</v>
      </c>
    </row>
    <row r="7" spans="1:5" s="42" customFormat="1" ht="12" customHeight="1" thickBot="1" x14ac:dyDescent="0.35">
      <c r="A7" s="39" t="s">
        <v>16</v>
      </c>
      <c r="B7" s="40" t="s">
        <v>378</v>
      </c>
      <c r="C7" s="467"/>
      <c r="D7" s="467"/>
      <c r="E7" s="467"/>
    </row>
    <row r="8" spans="1:5" s="42" customFormat="1" ht="12" customHeight="1" thickBot="1" x14ac:dyDescent="0.35">
      <c r="A8" s="39" t="s">
        <v>162</v>
      </c>
      <c r="B8" s="40" t="s">
        <v>256</v>
      </c>
      <c r="C8" s="468">
        <f>+C9+C13+C14+C15</f>
        <v>161200000</v>
      </c>
      <c r="D8" s="468">
        <f>+D9+D13+D14+D15</f>
        <v>161200000</v>
      </c>
      <c r="E8" s="468">
        <f>+E9+E13+E14+E15</f>
        <v>161200000</v>
      </c>
    </row>
    <row r="9" spans="1:5" s="42" customFormat="1" ht="12" customHeight="1" x14ac:dyDescent="0.3">
      <c r="A9" s="43" t="s">
        <v>257</v>
      </c>
      <c r="B9" s="44" t="s">
        <v>432</v>
      </c>
      <c r="C9" s="469">
        <f>+C10+C11+C12</f>
        <v>120000000</v>
      </c>
      <c r="D9" s="469">
        <f>+D10+D11+D12</f>
        <v>120000000</v>
      </c>
      <c r="E9" s="469">
        <f>+E10+E11+E12</f>
        <v>120000000</v>
      </c>
    </row>
    <row r="10" spans="1:5" s="42" customFormat="1" ht="12" customHeight="1" x14ac:dyDescent="0.3">
      <c r="A10" s="46" t="s">
        <v>258</v>
      </c>
      <c r="B10" s="47" t="s">
        <v>263</v>
      </c>
      <c r="C10" s="470">
        <v>75000000</v>
      </c>
      <c r="D10" s="470">
        <v>75000000</v>
      </c>
      <c r="E10" s="470">
        <v>75000000</v>
      </c>
    </row>
    <row r="11" spans="1:5" s="42" customFormat="1" ht="12" customHeight="1" x14ac:dyDescent="0.3">
      <c r="A11" s="46" t="s">
        <v>259</v>
      </c>
      <c r="B11" s="47" t="s">
        <v>264</v>
      </c>
      <c r="C11" s="470"/>
      <c r="D11" s="470"/>
      <c r="E11" s="470"/>
    </row>
    <row r="12" spans="1:5" s="42" customFormat="1" ht="12" customHeight="1" x14ac:dyDescent="0.3">
      <c r="A12" s="46" t="s">
        <v>430</v>
      </c>
      <c r="B12" s="57" t="s">
        <v>431</v>
      </c>
      <c r="C12" s="470">
        <v>45000000</v>
      </c>
      <c r="D12" s="470">
        <v>45000000</v>
      </c>
      <c r="E12" s="470">
        <v>45000000</v>
      </c>
    </row>
    <row r="13" spans="1:5" s="42" customFormat="1" ht="12" customHeight="1" x14ac:dyDescent="0.3">
      <c r="A13" s="46" t="s">
        <v>260</v>
      </c>
      <c r="B13" s="47" t="s">
        <v>265</v>
      </c>
      <c r="C13" s="470">
        <v>9000000</v>
      </c>
      <c r="D13" s="470">
        <v>9000000</v>
      </c>
      <c r="E13" s="470">
        <v>9000000</v>
      </c>
    </row>
    <row r="14" spans="1:5" s="42" customFormat="1" ht="12" customHeight="1" x14ac:dyDescent="0.3">
      <c r="A14" s="46" t="s">
        <v>261</v>
      </c>
      <c r="B14" s="47" t="s">
        <v>266</v>
      </c>
      <c r="C14" s="470">
        <v>32000000</v>
      </c>
      <c r="D14" s="470">
        <v>32000000</v>
      </c>
      <c r="E14" s="470">
        <v>32000000</v>
      </c>
    </row>
    <row r="15" spans="1:5" s="42" customFormat="1" ht="12" customHeight="1" thickBot="1" x14ac:dyDescent="0.35">
      <c r="A15" s="50" t="s">
        <v>262</v>
      </c>
      <c r="B15" s="54" t="s">
        <v>267</v>
      </c>
      <c r="C15" s="471">
        <v>200000</v>
      </c>
      <c r="D15" s="471">
        <v>200000</v>
      </c>
      <c r="E15" s="471">
        <v>200000</v>
      </c>
    </row>
    <row r="16" spans="1:5" s="42" customFormat="1" ht="12" customHeight="1" thickBot="1" x14ac:dyDescent="0.35">
      <c r="A16" s="39" t="s">
        <v>18</v>
      </c>
      <c r="B16" s="40" t="s">
        <v>524</v>
      </c>
      <c r="C16" s="467">
        <v>145230000</v>
      </c>
      <c r="D16" s="467">
        <v>145230000</v>
      </c>
      <c r="E16" s="467">
        <v>145230000</v>
      </c>
    </row>
    <row r="17" spans="1:6" s="42" customFormat="1" ht="12" customHeight="1" thickBot="1" x14ac:dyDescent="0.35">
      <c r="A17" s="39" t="s">
        <v>19</v>
      </c>
      <c r="B17" s="40" t="s">
        <v>8</v>
      </c>
      <c r="C17" s="467"/>
      <c r="D17" s="467"/>
      <c r="E17" s="467"/>
    </row>
    <row r="18" spans="1:6" s="42" customFormat="1" ht="12" customHeight="1" thickBot="1" x14ac:dyDescent="0.35">
      <c r="A18" s="39" t="s">
        <v>169</v>
      </c>
      <c r="B18" s="40" t="s">
        <v>523</v>
      </c>
      <c r="C18" s="467"/>
      <c r="D18" s="467"/>
      <c r="E18" s="467"/>
    </row>
    <row r="19" spans="1:6" s="42" customFormat="1" ht="12" customHeight="1" thickBot="1" x14ac:dyDescent="0.35">
      <c r="A19" s="39" t="s">
        <v>21</v>
      </c>
      <c r="B19" s="52" t="s">
        <v>522</v>
      </c>
      <c r="C19" s="467"/>
      <c r="D19" s="467"/>
      <c r="E19" s="467"/>
    </row>
    <row r="20" spans="1:6" s="42" customFormat="1" ht="12" customHeight="1" thickBot="1" x14ac:dyDescent="0.35">
      <c r="A20" s="39" t="s">
        <v>22</v>
      </c>
      <c r="B20" s="40" t="s">
        <v>300</v>
      </c>
      <c r="C20" s="468">
        <f>+C5+C6+C7+C8+C16+C17+C18+C19</f>
        <v>622300000</v>
      </c>
      <c r="D20" s="468">
        <f>+D5+D6+D7+D8+D16+D17+D18+D19</f>
        <v>622300000</v>
      </c>
      <c r="E20" s="468">
        <f>+E5+E6+E7+E8+E16+E17+E18+E19</f>
        <v>622300000</v>
      </c>
    </row>
    <row r="21" spans="1:6" s="42" customFormat="1" ht="12" customHeight="1" thickBot="1" x14ac:dyDescent="0.35">
      <c r="A21" s="39" t="s">
        <v>23</v>
      </c>
      <c r="B21" s="40" t="s">
        <v>525</v>
      </c>
      <c r="C21" s="472"/>
      <c r="D21" s="472"/>
      <c r="E21" s="472"/>
    </row>
    <row r="22" spans="1:6" s="42" customFormat="1" ht="12" customHeight="1" thickBot="1" x14ac:dyDescent="0.35">
      <c r="A22" s="39" t="s">
        <v>24</v>
      </c>
      <c r="B22" s="40" t="s">
        <v>526</v>
      </c>
      <c r="C22" s="468">
        <f>+C20+C21</f>
        <v>622300000</v>
      </c>
      <c r="D22" s="468">
        <f>+D20+D21</f>
        <v>622300000</v>
      </c>
      <c r="E22" s="468">
        <f>+E20+E21</f>
        <v>622300000</v>
      </c>
    </row>
    <row r="23" spans="1:6" s="42" customFormat="1" ht="12" customHeight="1" x14ac:dyDescent="0.3">
      <c r="A23" s="371"/>
      <c r="B23" s="372"/>
      <c r="C23" s="473"/>
      <c r="D23" s="473"/>
      <c r="E23" s="473"/>
    </row>
    <row r="24" spans="1:6" s="42" customFormat="1" ht="12" customHeight="1" x14ac:dyDescent="0.3">
      <c r="A24" s="900" t="s">
        <v>42</v>
      </c>
      <c r="B24" s="900"/>
      <c r="C24" s="900"/>
      <c r="D24" s="900"/>
      <c r="E24" s="900"/>
    </row>
    <row r="25" spans="1:6" s="42" customFormat="1" ht="12" customHeight="1" thickBot="1" x14ac:dyDescent="0.35">
      <c r="A25" s="903" t="s">
        <v>143</v>
      </c>
      <c r="B25" s="903"/>
      <c r="C25" s="466"/>
      <c r="D25" s="466"/>
      <c r="E25" s="466"/>
    </row>
    <row r="26" spans="1:6" s="42" customFormat="1" ht="24" customHeight="1" thickBot="1" x14ac:dyDescent="0.35">
      <c r="A26" s="34" t="s">
        <v>12</v>
      </c>
      <c r="B26" s="35" t="s">
        <v>43</v>
      </c>
      <c r="C26" s="35" t="str">
        <f>+C3</f>
        <v>2021. évi</v>
      </c>
      <c r="D26" s="35" t="str">
        <f>+D3</f>
        <v>2022. évi</v>
      </c>
      <c r="E26" s="35" t="str">
        <f>+E3</f>
        <v>2023. évi</v>
      </c>
      <c r="F26" s="373"/>
    </row>
    <row r="27" spans="1:6" s="42" customFormat="1" ht="12" customHeight="1" thickBot="1" x14ac:dyDescent="0.35">
      <c r="A27" s="36" t="s">
        <v>482</v>
      </c>
      <c r="B27" s="37" t="s">
        <v>483</v>
      </c>
      <c r="C27" s="37" t="s">
        <v>484</v>
      </c>
      <c r="D27" s="37" t="s">
        <v>486</v>
      </c>
      <c r="E27" s="37" t="s">
        <v>485</v>
      </c>
      <c r="F27" s="373"/>
    </row>
    <row r="28" spans="1:6" s="42" customFormat="1" ht="15" customHeight="1" thickBot="1" x14ac:dyDescent="0.35">
      <c r="A28" s="39" t="s">
        <v>14</v>
      </c>
      <c r="B28" s="101" t="s">
        <v>527</v>
      </c>
      <c r="C28" s="467">
        <v>392123000</v>
      </c>
      <c r="D28" s="467">
        <v>392123000</v>
      </c>
      <c r="E28" s="467">
        <v>392123000</v>
      </c>
      <c r="F28" s="373"/>
    </row>
    <row r="29" spans="1:6" ht="12" customHeight="1" thickBot="1" x14ac:dyDescent="0.4">
      <c r="A29" s="90" t="s">
        <v>15</v>
      </c>
      <c r="B29" s="374" t="s">
        <v>532</v>
      </c>
      <c r="C29" s="474">
        <f>C30+C31+C32</f>
        <v>38060000</v>
      </c>
      <c r="D29" s="474">
        <f>D30+D31+D32</f>
        <v>38060000</v>
      </c>
      <c r="E29" s="474">
        <f>E30+E31+E32</f>
        <v>38060000</v>
      </c>
    </row>
    <row r="30" spans="1:6" ht="12" customHeight="1" x14ac:dyDescent="0.35">
      <c r="A30" s="43" t="s">
        <v>99</v>
      </c>
      <c r="B30" s="16" t="s">
        <v>217</v>
      </c>
      <c r="C30" s="475">
        <v>34230000</v>
      </c>
      <c r="D30" s="475">
        <v>34230000</v>
      </c>
      <c r="E30" s="475">
        <v>34230000</v>
      </c>
    </row>
    <row r="31" spans="1:6" ht="12" customHeight="1" x14ac:dyDescent="0.35">
      <c r="A31" s="43" t="s">
        <v>100</v>
      </c>
      <c r="B31" s="92" t="s">
        <v>176</v>
      </c>
      <c r="C31" s="470">
        <v>3830000</v>
      </c>
      <c r="D31" s="470">
        <v>3830000</v>
      </c>
      <c r="E31" s="470">
        <v>3830000</v>
      </c>
    </row>
    <row r="32" spans="1:6" ht="12" customHeight="1" thickBot="1" x14ac:dyDescent="0.4">
      <c r="A32" s="43" t="s">
        <v>101</v>
      </c>
      <c r="B32" s="51" t="s">
        <v>219</v>
      </c>
      <c r="C32" s="470"/>
      <c r="D32" s="470"/>
      <c r="E32" s="470"/>
    </row>
    <row r="33" spans="1:6" ht="12" customHeight="1" thickBot="1" x14ac:dyDescent="0.4">
      <c r="A33" s="39" t="s">
        <v>16</v>
      </c>
      <c r="B33" s="19" t="s">
        <v>443</v>
      </c>
      <c r="C33" s="476">
        <f>+C28+C29</f>
        <v>430183000</v>
      </c>
      <c r="D33" s="476">
        <f>+D28+D29</f>
        <v>430183000</v>
      </c>
      <c r="E33" s="476">
        <f>+E28+E29</f>
        <v>430183000</v>
      </c>
    </row>
    <row r="34" spans="1:6" ht="15" customHeight="1" thickBot="1" x14ac:dyDescent="0.4">
      <c r="A34" s="39" t="s">
        <v>17</v>
      </c>
      <c r="B34" s="19" t="s">
        <v>528</v>
      </c>
      <c r="C34" s="477">
        <v>192117000</v>
      </c>
      <c r="D34" s="477">
        <v>192117000</v>
      </c>
      <c r="E34" s="477">
        <v>192117000</v>
      </c>
      <c r="F34" s="98"/>
    </row>
    <row r="35" spans="1:6" s="42" customFormat="1" ht="13" customHeight="1" thickBot="1" x14ac:dyDescent="0.35">
      <c r="A35" s="99" t="s">
        <v>18</v>
      </c>
      <c r="B35" s="100" t="s">
        <v>529</v>
      </c>
      <c r="C35" s="478">
        <f>+C33+C34</f>
        <v>622300000</v>
      </c>
      <c r="D35" s="478">
        <f>+D33+D34</f>
        <v>622300000</v>
      </c>
      <c r="E35" s="478">
        <f>+E33+E34</f>
        <v>622300000</v>
      </c>
    </row>
    <row r="36" spans="1:6" x14ac:dyDescent="0.35">
      <c r="C36" s="33"/>
      <c r="D36" s="33"/>
      <c r="E36" s="33"/>
    </row>
    <row r="37" spans="1:6" x14ac:dyDescent="0.35">
      <c r="C37" s="33"/>
      <c r="D37" s="33"/>
      <c r="E37" s="33"/>
    </row>
    <row r="38" spans="1:6" x14ac:dyDescent="0.35">
      <c r="C38" s="33"/>
      <c r="D38" s="33"/>
      <c r="E38" s="33"/>
    </row>
    <row r="39" spans="1:6" ht="16.5" customHeight="1" x14ac:dyDescent="0.35">
      <c r="C39" s="33"/>
      <c r="D39" s="33"/>
      <c r="E39" s="33"/>
    </row>
    <row r="40" spans="1:6" x14ac:dyDescent="0.35">
      <c r="C40" s="33"/>
      <c r="D40" s="33"/>
      <c r="E40" s="33"/>
    </row>
    <row r="41" spans="1:6" x14ac:dyDescent="0.35">
      <c r="C41" s="33"/>
      <c r="D41" s="33"/>
      <c r="E41" s="33"/>
    </row>
    <row r="42" spans="1:6" x14ac:dyDescent="0.35">
      <c r="C42" s="33"/>
      <c r="D42" s="33"/>
      <c r="E42" s="33"/>
    </row>
    <row r="43" spans="1:6" x14ac:dyDescent="0.35">
      <c r="C43" s="33"/>
      <c r="D43" s="33"/>
      <c r="E43" s="33"/>
    </row>
    <row r="44" spans="1:6" x14ac:dyDescent="0.35">
      <c r="C44" s="33"/>
      <c r="D44" s="33"/>
      <c r="E44" s="33"/>
    </row>
    <row r="45" spans="1:6" x14ac:dyDescent="0.35">
      <c r="C45" s="33"/>
      <c r="D45" s="33"/>
      <c r="E45" s="33"/>
    </row>
    <row r="46" spans="1:6" x14ac:dyDescent="0.35">
      <c r="C46" s="33"/>
      <c r="D46" s="33"/>
      <c r="E46" s="33"/>
    </row>
    <row r="47" spans="1:6" x14ac:dyDescent="0.35">
      <c r="C47" s="33"/>
      <c r="D47" s="33"/>
      <c r="E47" s="33"/>
    </row>
    <row r="48" spans="1:6" x14ac:dyDescent="0.35">
      <c r="C48" s="33"/>
      <c r="D48" s="33"/>
      <c r="E48" s="33"/>
    </row>
  </sheetData>
  <mergeCells count="4">
    <mergeCell ref="A1:E1"/>
    <mergeCell ref="A2:B2"/>
    <mergeCell ref="A24:E24"/>
    <mergeCell ref="A25:B25"/>
  </mergeCells>
  <phoneticPr fontId="5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78" fitToWidth="3" fitToHeight="2" orientation="portrait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>
    <tabColor rgb="FFFFC000"/>
  </sheetPr>
  <dimension ref="A1:E159"/>
  <sheetViews>
    <sheetView view="pageLayout" topLeftCell="H92" zoomScaleNormal="100" zoomScaleSheetLayoutView="100" workbookViewId="0">
      <selection activeCell="H103" sqref="H103"/>
    </sheetView>
  </sheetViews>
  <sheetFormatPr defaultColWidth="9.296875" defaultRowHeight="15.5" x14ac:dyDescent="0.35"/>
  <cols>
    <col min="1" max="1" width="5.796875" style="33" bestFit="1" customWidth="1"/>
    <col min="2" max="2" width="63.69921875" style="33" bestFit="1" customWidth="1"/>
    <col min="3" max="5" width="15.69921875" style="466" bestFit="1" customWidth="1"/>
    <col min="6" max="16384" width="9.296875" style="33"/>
  </cols>
  <sheetData>
    <row r="1" spans="1:5" x14ac:dyDescent="0.35">
      <c r="B1" s="376" t="s">
        <v>622</v>
      </c>
    </row>
    <row r="2" spans="1:5" x14ac:dyDescent="0.35">
      <c r="B2" s="376" t="s">
        <v>716</v>
      </c>
    </row>
    <row r="3" spans="1:5" x14ac:dyDescent="0.35">
      <c r="B3" s="379" t="s">
        <v>625</v>
      </c>
    </row>
    <row r="5" spans="1:5" ht="16" customHeight="1" x14ac:dyDescent="0.35">
      <c r="A5" s="900" t="s">
        <v>11</v>
      </c>
      <c r="B5" s="900"/>
      <c r="C5" s="33"/>
      <c r="D5" s="33"/>
      <c r="E5" s="33"/>
    </row>
    <row r="6" spans="1:5" ht="16" customHeight="1" thickBot="1" x14ac:dyDescent="0.4">
      <c r="A6" s="902" t="s">
        <v>142</v>
      </c>
      <c r="B6" s="902"/>
      <c r="C6" s="516" t="s">
        <v>579</v>
      </c>
      <c r="D6" s="516" t="s">
        <v>579</v>
      </c>
      <c r="E6" s="516" t="s">
        <v>579</v>
      </c>
    </row>
    <row r="7" spans="1:5" ht="38.15" customHeight="1" thickBot="1" x14ac:dyDescent="0.4">
      <c r="A7" s="34" t="s">
        <v>64</v>
      </c>
      <c r="B7" s="35" t="s">
        <v>13</v>
      </c>
      <c r="C7" s="595" t="s">
        <v>640</v>
      </c>
      <c r="D7" s="595" t="s">
        <v>724</v>
      </c>
      <c r="E7" s="654" t="s">
        <v>730</v>
      </c>
    </row>
    <row r="8" spans="1:5" s="38" customFormat="1" ht="12" customHeight="1" thickBot="1" x14ac:dyDescent="0.3">
      <c r="A8" s="36" t="s">
        <v>482</v>
      </c>
      <c r="B8" s="37" t="s">
        <v>483</v>
      </c>
      <c r="C8" s="565" t="s">
        <v>484</v>
      </c>
      <c r="D8" s="565" t="s">
        <v>484</v>
      </c>
      <c r="E8" s="565" t="s">
        <v>484</v>
      </c>
    </row>
    <row r="9" spans="1:5" s="42" customFormat="1" ht="12" customHeight="1" thickBot="1" x14ac:dyDescent="0.35">
      <c r="A9" s="39" t="s">
        <v>14</v>
      </c>
      <c r="B9" s="40" t="s">
        <v>241</v>
      </c>
      <c r="C9" s="41">
        <f>+C10+C11+C12+C13+C14+C15</f>
        <v>0</v>
      </c>
      <c r="D9" s="41">
        <f>+D10+D11+D12+D13+D14+D15</f>
        <v>0</v>
      </c>
      <c r="E9" s="41">
        <f>+E10+E11+E12+E13+E14+E15</f>
        <v>0</v>
      </c>
    </row>
    <row r="10" spans="1:5" s="42" customFormat="1" ht="12" customHeight="1" x14ac:dyDescent="0.3">
      <c r="A10" s="43" t="s">
        <v>93</v>
      </c>
      <c r="B10" s="44" t="s">
        <v>242</v>
      </c>
      <c r="C10" s="45"/>
      <c r="D10" s="45"/>
      <c r="E10" s="45"/>
    </row>
    <row r="11" spans="1:5" s="42" customFormat="1" ht="12" customHeight="1" x14ac:dyDescent="0.3">
      <c r="A11" s="46" t="s">
        <v>94</v>
      </c>
      <c r="B11" s="47" t="s">
        <v>243</v>
      </c>
      <c r="C11" s="48"/>
      <c r="D11" s="48"/>
      <c r="E11" s="48"/>
    </row>
    <row r="12" spans="1:5" s="42" customFormat="1" ht="12" customHeight="1" x14ac:dyDescent="0.3">
      <c r="A12" s="46" t="s">
        <v>95</v>
      </c>
      <c r="B12" s="47" t="s">
        <v>244</v>
      </c>
      <c r="C12" s="48"/>
      <c r="D12" s="48"/>
      <c r="E12" s="48"/>
    </row>
    <row r="13" spans="1:5" s="42" customFormat="1" ht="12" customHeight="1" x14ac:dyDescent="0.3">
      <c r="A13" s="46" t="s">
        <v>96</v>
      </c>
      <c r="B13" s="47" t="s">
        <v>245</v>
      </c>
      <c r="C13" s="48"/>
      <c r="D13" s="48"/>
      <c r="E13" s="48"/>
    </row>
    <row r="14" spans="1:5" s="42" customFormat="1" ht="12" customHeight="1" x14ac:dyDescent="0.3">
      <c r="A14" s="46" t="s">
        <v>139</v>
      </c>
      <c r="B14" s="49" t="s">
        <v>425</v>
      </c>
      <c r="C14" s="48"/>
      <c r="D14" s="48"/>
      <c r="E14" s="48"/>
    </row>
    <row r="15" spans="1:5" s="42" customFormat="1" ht="12" customHeight="1" thickBot="1" x14ac:dyDescent="0.35">
      <c r="A15" s="50" t="s">
        <v>97</v>
      </c>
      <c r="B15" s="51" t="s">
        <v>426</v>
      </c>
      <c r="C15" s="48"/>
      <c r="D15" s="48"/>
      <c r="E15" s="48"/>
    </row>
    <row r="16" spans="1:5" s="42" customFormat="1" ht="12" customHeight="1" thickBot="1" x14ac:dyDescent="0.35">
      <c r="A16" s="39" t="s">
        <v>15</v>
      </c>
      <c r="B16" s="52" t="s">
        <v>246</v>
      </c>
      <c r="C16" s="41">
        <f>+C17+C18+C19+C20+C21</f>
        <v>0</v>
      </c>
      <c r="D16" s="41">
        <f>+D17+D18+D19+D20+D21</f>
        <v>0</v>
      </c>
      <c r="E16" s="41">
        <f>+E17+E18+E19+E20+E21</f>
        <v>0</v>
      </c>
    </row>
    <row r="17" spans="1:5" s="42" customFormat="1" ht="12" customHeight="1" x14ac:dyDescent="0.3">
      <c r="A17" s="43" t="s">
        <v>99</v>
      </c>
      <c r="B17" s="44" t="s">
        <v>247</v>
      </c>
      <c r="C17" s="45"/>
      <c r="D17" s="45"/>
      <c r="E17" s="45"/>
    </row>
    <row r="18" spans="1:5" s="42" customFormat="1" ht="12" customHeight="1" x14ac:dyDescent="0.3">
      <c r="A18" s="46" t="s">
        <v>100</v>
      </c>
      <c r="B18" s="47" t="s">
        <v>248</v>
      </c>
      <c r="C18" s="48"/>
      <c r="D18" s="48"/>
      <c r="E18" s="48"/>
    </row>
    <row r="19" spans="1:5" s="42" customFormat="1" ht="12" customHeight="1" x14ac:dyDescent="0.3">
      <c r="A19" s="46" t="s">
        <v>101</v>
      </c>
      <c r="B19" s="47" t="s">
        <v>415</v>
      </c>
      <c r="C19" s="48"/>
      <c r="D19" s="48"/>
      <c r="E19" s="48"/>
    </row>
    <row r="20" spans="1:5" s="42" customFormat="1" ht="12" customHeight="1" x14ac:dyDescent="0.3">
      <c r="A20" s="46" t="s">
        <v>102</v>
      </c>
      <c r="B20" s="47" t="s">
        <v>416</v>
      </c>
      <c r="C20" s="48"/>
      <c r="D20" s="48"/>
      <c r="E20" s="48"/>
    </row>
    <row r="21" spans="1:5" s="42" customFormat="1" ht="12" customHeight="1" x14ac:dyDescent="0.3">
      <c r="A21" s="46" t="s">
        <v>103</v>
      </c>
      <c r="B21" s="47" t="s">
        <v>249</v>
      </c>
      <c r="C21" s="48"/>
      <c r="D21" s="48"/>
      <c r="E21" s="48"/>
    </row>
    <row r="22" spans="1:5" s="42" customFormat="1" ht="12" customHeight="1" thickBot="1" x14ac:dyDescent="0.35">
      <c r="A22" s="50" t="s">
        <v>112</v>
      </c>
      <c r="B22" s="51" t="s">
        <v>250</v>
      </c>
      <c r="C22" s="53"/>
      <c r="D22" s="53"/>
      <c r="E22" s="53"/>
    </row>
    <row r="23" spans="1:5" s="42" customFormat="1" ht="12" customHeight="1" thickBot="1" x14ac:dyDescent="0.35">
      <c r="A23" s="39" t="s">
        <v>16</v>
      </c>
      <c r="B23" s="40" t="s">
        <v>251</v>
      </c>
      <c r="C23" s="41">
        <f>+C24+C25+C26+C27+C28</f>
        <v>0</v>
      </c>
      <c r="D23" s="41">
        <f>+D24+D25+D26+D27+D28</f>
        <v>0</v>
      </c>
      <c r="E23" s="41">
        <f>+E24+E25+E26+E27+E28</f>
        <v>0</v>
      </c>
    </row>
    <row r="24" spans="1:5" s="42" customFormat="1" ht="12" customHeight="1" x14ac:dyDescent="0.3">
      <c r="A24" s="43" t="s">
        <v>82</v>
      </c>
      <c r="B24" s="44" t="s">
        <v>252</v>
      </c>
      <c r="C24" s="45"/>
      <c r="D24" s="45"/>
      <c r="E24" s="45"/>
    </row>
    <row r="25" spans="1:5" s="42" customFormat="1" ht="12" customHeight="1" x14ac:dyDescent="0.3">
      <c r="A25" s="46" t="s">
        <v>83</v>
      </c>
      <c r="B25" s="47" t="s">
        <v>253</v>
      </c>
      <c r="C25" s="48"/>
      <c r="D25" s="48"/>
      <c r="E25" s="48"/>
    </row>
    <row r="26" spans="1:5" s="42" customFormat="1" ht="12" customHeight="1" x14ac:dyDescent="0.3">
      <c r="A26" s="46" t="s">
        <v>84</v>
      </c>
      <c r="B26" s="47" t="s">
        <v>417</v>
      </c>
      <c r="C26" s="48"/>
      <c r="D26" s="48"/>
      <c r="E26" s="48"/>
    </row>
    <row r="27" spans="1:5" s="42" customFormat="1" ht="12" customHeight="1" x14ac:dyDescent="0.3">
      <c r="A27" s="46" t="s">
        <v>85</v>
      </c>
      <c r="B27" s="47" t="s">
        <v>418</v>
      </c>
      <c r="C27" s="48"/>
      <c r="D27" s="48"/>
      <c r="E27" s="48"/>
    </row>
    <row r="28" spans="1:5" s="42" customFormat="1" ht="12" customHeight="1" x14ac:dyDescent="0.3">
      <c r="A28" s="46" t="s">
        <v>160</v>
      </c>
      <c r="B28" s="47" t="s">
        <v>254</v>
      </c>
      <c r="C28" s="48"/>
      <c r="D28" s="48"/>
      <c r="E28" s="48"/>
    </row>
    <row r="29" spans="1:5" s="42" customFormat="1" ht="12" customHeight="1" thickBot="1" x14ac:dyDescent="0.35">
      <c r="A29" s="50" t="s">
        <v>161</v>
      </c>
      <c r="B29" s="54" t="s">
        <v>255</v>
      </c>
      <c r="C29" s="53"/>
      <c r="D29" s="53"/>
      <c r="E29" s="53"/>
    </row>
    <row r="30" spans="1:5" s="42" customFormat="1" ht="12" customHeight="1" thickBot="1" x14ac:dyDescent="0.35">
      <c r="A30" s="39" t="s">
        <v>162</v>
      </c>
      <c r="B30" s="40" t="s">
        <v>256</v>
      </c>
      <c r="C30" s="55">
        <f>+C31+C35+C36+C37</f>
        <v>0</v>
      </c>
      <c r="D30" s="55">
        <f>+D31+D35+D36+D37</f>
        <v>0</v>
      </c>
      <c r="E30" s="55">
        <f>+E31+E35+E36+E37</f>
        <v>0</v>
      </c>
    </row>
    <row r="31" spans="1:5" s="42" customFormat="1" ht="12" customHeight="1" x14ac:dyDescent="0.3">
      <c r="A31" s="43" t="s">
        <v>257</v>
      </c>
      <c r="B31" s="44" t="s">
        <v>432</v>
      </c>
      <c r="C31" s="56">
        <f>+C32+C33+C34</f>
        <v>0</v>
      </c>
      <c r="D31" s="56">
        <f>+D32+D33+D34</f>
        <v>0</v>
      </c>
      <c r="E31" s="56">
        <f>+E32+E33+E34</f>
        <v>0</v>
      </c>
    </row>
    <row r="32" spans="1:5" s="42" customFormat="1" ht="12" customHeight="1" x14ac:dyDescent="0.3">
      <c r="A32" s="46" t="s">
        <v>258</v>
      </c>
      <c r="B32" s="47" t="s">
        <v>263</v>
      </c>
      <c r="C32" s="48"/>
      <c r="D32" s="48"/>
      <c r="E32" s="48"/>
    </row>
    <row r="33" spans="1:5" s="42" customFormat="1" ht="12" customHeight="1" x14ac:dyDescent="0.3">
      <c r="A33" s="46" t="s">
        <v>259</v>
      </c>
      <c r="B33" s="47" t="s">
        <v>264</v>
      </c>
      <c r="C33" s="48"/>
      <c r="D33" s="48"/>
      <c r="E33" s="48"/>
    </row>
    <row r="34" spans="1:5" s="42" customFormat="1" ht="12" customHeight="1" x14ac:dyDescent="0.3">
      <c r="A34" s="46" t="s">
        <v>430</v>
      </c>
      <c r="B34" s="57" t="s">
        <v>431</v>
      </c>
      <c r="C34" s="48"/>
      <c r="D34" s="48"/>
      <c r="E34" s="48"/>
    </row>
    <row r="35" spans="1:5" s="42" customFormat="1" ht="12" customHeight="1" x14ac:dyDescent="0.3">
      <c r="A35" s="46" t="s">
        <v>260</v>
      </c>
      <c r="B35" s="47" t="s">
        <v>265</v>
      </c>
      <c r="C35" s="48"/>
      <c r="D35" s="48"/>
      <c r="E35" s="48"/>
    </row>
    <row r="36" spans="1:5" s="42" customFormat="1" ht="12" customHeight="1" x14ac:dyDescent="0.3">
      <c r="A36" s="46" t="s">
        <v>261</v>
      </c>
      <c r="B36" s="47" t="s">
        <v>266</v>
      </c>
      <c r="C36" s="48"/>
      <c r="D36" s="48"/>
      <c r="E36" s="48"/>
    </row>
    <row r="37" spans="1:5" s="42" customFormat="1" ht="12" customHeight="1" thickBot="1" x14ac:dyDescent="0.35">
      <c r="A37" s="50" t="s">
        <v>262</v>
      </c>
      <c r="B37" s="54" t="s">
        <v>267</v>
      </c>
      <c r="C37" s="53"/>
      <c r="D37" s="53"/>
      <c r="E37" s="53"/>
    </row>
    <row r="38" spans="1:5" s="42" customFormat="1" ht="12" customHeight="1" thickBot="1" x14ac:dyDescent="0.35">
      <c r="A38" s="39" t="s">
        <v>18</v>
      </c>
      <c r="B38" s="40" t="s">
        <v>427</v>
      </c>
      <c r="C38" s="41">
        <f>SUM(C39:C49)</f>
        <v>0</v>
      </c>
      <c r="D38" s="41">
        <f>SUM(D39:D49)</f>
        <v>0</v>
      </c>
      <c r="E38" s="41">
        <f>SUM(E39:E49)</f>
        <v>0</v>
      </c>
    </row>
    <row r="39" spans="1:5" s="42" customFormat="1" ht="12" customHeight="1" x14ac:dyDescent="0.3">
      <c r="A39" s="43" t="s">
        <v>86</v>
      </c>
      <c r="B39" s="44" t="s">
        <v>270</v>
      </c>
      <c r="C39" s="45"/>
      <c r="D39" s="45"/>
      <c r="E39" s="45"/>
    </row>
    <row r="40" spans="1:5" s="42" customFormat="1" ht="12" customHeight="1" x14ac:dyDescent="0.3">
      <c r="A40" s="46" t="s">
        <v>87</v>
      </c>
      <c r="B40" s="47" t="s">
        <v>271</v>
      </c>
      <c r="C40" s="48"/>
      <c r="D40" s="48"/>
      <c r="E40" s="48"/>
    </row>
    <row r="41" spans="1:5" s="42" customFormat="1" ht="12" customHeight="1" x14ac:dyDescent="0.3">
      <c r="A41" s="46" t="s">
        <v>88</v>
      </c>
      <c r="B41" s="47" t="s">
        <v>272</v>
      </c>
      <c r="C41" s="48"/>
      <c r="D41" s="48"/>
      <c r="E41" s="48"/>
    </row>
    <row r="42" spans="1:5" s="42" customFormat="1" ht="12" customHeight="1" x14ac:dyDescent="0.3">
      <c r="A42" s="46" t="s">
        <v>164</v>
      </c>
      <c r="B42" s="47" t="s">
        <v>273</v>
      </c>
      <c r="C42" s="48"/>
      <c r="D42" s="48"/>
      <c r="E42" s="48"/>
    </row>
    <row r="43" spans="1:5" s="42" customFormat="1" ht="12" customHeight="1" x14ac:dyDescent="0.3">
      <c r="A43" s="46" t="s">
        <v>165</v>
      </c>
      <c r="B43" s="47" t="s">
        <v>274</v>
      </c>
      <c r="C43" s="48"/>
      <c r="D43" s="48"/>
      <c r="E43" s="48"/>
    </row>
    <row r="44" spans="1:5" s="42" customFormat="1" ht="12" customHeight="1" x14ac:dyDescent="0.3">
      <c r="A44" s="46" t="s">
        <v>166</v>
      </c>
      <c r="B44" s="47" t="s">
        <v>275</v>
      </c>
      <c r="C44" s="48"/>
      <c r="D44" s="48"/>
      <c r="E44" s="48"/>
    </row>
    <row r="45" spans="1:5" s="42" customFormat="1" ht="12" customHeight="1" x14ac:dyDescent="0.3">
      <c r="A45" s="46" t="s">
        <v>167</v>
      </c>
      <c r="B45" s="47" t="s">
        <v>276</v>
      </c>
      <c r="C45" s="48"/>
      <c r="D45" s="48"/>
      <c r="E45" s="48"/>
    </row>
    <row r="46" spans="1:5" s="42" customFormat="1" ht="12" customHeight="1" x14ac:dyDescent="0.3">
      <c r="A46" s="46" t="s">
        <v>168</v>
      </c>
      <c r="B46" s="47" t="s">
        <v>277</v>
      </c>
      <c r="C46" s="48"/>
      <c r="D46" s="48"/>
      <c r="E46" s="48"/>
    </row>
    <row r="47" spans="1:5" s="42" customFormat="1" ht="12" customHeight="1" x14ac:dyDescent="0.3">
      <c r="A47" s="46" t="s">
        <v>268</v>
      </c>
      <c r="B47" s="47" t="s">
        <v>278</v>
      </c>
      <c r="C47" s="58"/>
      <c r="D47" s="58"/>
      <c r="E47" s="58"/>
    </row>
    <row r="48" spans="1:5" s="42" customFormat="1" ht="12" customHeight="1" x14ac:dyDescent="0.3">
      <c r="A48" s="50" t="s">
        <v>269</v>
      </c>
      <c r="B48" s="54" t="s">
        <v>429</v>
      </c>
      <c r="C48" s="59"/>
      <c r="D48" s="59"/>
      <c r="E48" s="59"/>
    </row>
    <row r="49" spans="1:5" s="42" customFormat="1" ht="12" customHeight="1" thickBot="1" x14ac:dyDescent="0.35">
      <c r="A49" s="50" t="s">
        <v>428</v>
      </c>
      <c r="B49" s="51" t="s">
        <v>279</v>
      </c>
      <c r="C49" s="59"/>
      <c r="D49" s="59"/>
      <c r="E49" s="59"/>
    </row>
    <row r="50" spans="1:5" s="42" customFormat="1" ht="12" customHeight="1" thickBot="1" x14ac:dyDescent="0.35">
      <c r="A50" s="39" t="s">
        <v>19</v>
      </c>
      <c r="B50" s="40" t="s">
        <v>280</v>
      </c>
      <c r="C50" s="41">
        <f>SUM(C51:C55)</f>
        <v>0</v>
      </c>
      <c r="D50" s="41">
        <f>SUM(D51:D55)</f>
        <v>0</v>
      </c>
      <c r="E50" s="41">
        <f>SUM(E51:E55)</f>
        <v>0</v>
      </c>
    </row>
    <row r="51" spans="1:5" s="42" customFormat="1" ht="12" customHeight="1" x14ac:dyDescent="0.3">
      <c r="A51" s="43" t="s">
        <v>89</v>
      </c>
      <c r="B51" s="44" t="s">
        <v>284</v>
      </c>
      <c r="C51" s="60"/>
      <c r="D51" s="60"/>
      <c r="E51" s="60"/>
    </row>
    <row r="52" spans="1:5" s="42" customFormat="1" ht="12" customHeight="1" x14ac:dyDescent="0.3">
      <c r="A52" s="46" t="s">
        <v>90</v>
      </c>
      <c r="B52" s="47" t="s">
        <v>285</v>
      </c>
      <c r="C52" s="58"/>
      <c r="D52" s="58"/>
      <c r="E52" s="58"/>
    </row>
    <row r="53" spans="1:5" s="42" customFormat="1" ht="12" customHeight="1" x14ac:dyDescent="0.3">
      <c r="A53" s="46" t="s">
        <v>281</v>
      </c>
      <c r="B53" s="47" t="s">
        <v>286</v>
      </c>
      <c r="C53" s="58"/>
      <c r="D53" s="58"/>
      <c r="E53" s="58"/>
    </row>
    <row r="54" spans="1:5" s="42" customFormat="1" ht="12" customHeight="1" x14ac:dyDescent="0.3">
      <c r="A54" s="46" t="s">
        <v>282</v>
      </c>
      <c r="B54" s="47" t="s">
        <v>287</v>
      </c>
      <c r="C54" s="58"/>
      <c r="D54" s="58"/>
      <c r="E54" s="58"/>
    </row>
    <row r="55" spans="1:5" s="42" customFormat="1" ht="12" customHeight="1" thickBot="1" x14ac:dyDescent="0.35">
      <c r="A55" s="50" t="s">
        <v>283</v>
      </c>
      <c r="B55" s="51" t="s">
        <v>288</v>
      </c>
      <c r="C55" s="59"/>
      <c r="D55" s="59"/>
      <c r="E55" s="59"/>
    </row>
    <row r="56" spans="1:5" s="42" customFormat="1" ht="12" customHeight="1" thickBot="1" x14ac:dyDescent="0.35">
      <c r="A56" s="39" t="s">
        <v>169</v>
      </c>
      <c r="B56" s="40" t="s">
        <v>289</v>
      </c>
      <c r="C56" s="41">
        <f>SUM(C57:C59)</f>
        <v>0</v>
      </c>
      <c r="D56" s="41">
        <f>SUM(D57:D59)</f>
        <v>0</v>
      </c>
      <c r="E56" s="41">
        <f>SUM(E57:E59)</f>
        <v>0</v>
      </c>
    </row>
    <row r="57" spans="1:5" s="42" customFormat="1" ht="12" customHeight="1" x14ac:dyDescent="0.3">
      <c r="A57" s="43" t="s">
        <v>91</v>
      </c>
      <c r="B57" s="44" t="s">
        <v>290</v>
      </c>
      <c r="C57" s="45"/>
      <c r="D57" s="45"/>
      <c r="E57" s="45"/>
    </row>
    <row r="58" spans="1:5" s="42" customFormat="1" ht="12" customHeight="1" x14ac:dyDescent="0.3">
      <c r="A58" s="46" t="s">
        <v>92</v>
      </c>
      <c r="B58" s="47" t="s">
        <v>419</v>
      </c>
      <c r="C58" s="48"/>
      <c r="D58" s="48"/>
      <c r="E58" s="48"/>
    </row>
    <row r="59" spans="1:5" s="42" customFormat="1" ht="12" customHeight="1" x14ac:dyDescent="0.3">
      <c r="A59" s="46" t="s">
        <v>293</v>
      </c>
      <c r="B59" s="47" t="s">
        <v>291</v>
      </c>
      <c r="C59" s="48"/>
      <c r="D59" s="48"/>
      <c r="E59" s="48"/>
    </row>
    <row r="60" spans="1:5" s="42" customFormat="1" ht="12" customHeight="1" thickBot="1" x14ac:dyDescent="0.35">
      <c r="A60" s="50" t="s">
        <v>294</v>
      </c>
      <c r="B60" s="51" t="s">
        <v>292</v>
      </c>
      <c r="C60" s="53"/>
      <c r="D60" s="53"/>
      <c r="E60" s="53"/>
    </row>
    <row r="61" spans="1:5" s="42" customFormat="1" ht="12" customHeight="1" thickBot="1" x14ac:dyDescent="0.35">
      <c r="A61" s="39" t="s">
        <v>21</v>
      </c>
      <c r="B61" s="52" t="s">
        <v>295</v>
      </c>
      <c r="C61" s="41">
        <f>SUM(C62:C64)</f>
        <v>0</v>
      </c>
      <c r="D61" s="41">
        <f>SUM(D62:D64)</f>
        <v>0</v>
      </c>
      <c r="E61" s="41">
        <f>SUM(E62:E64)</f>
        <v>0</v>
      </c>
    </row>
    <row r="62" spans="1:5" s="42" customFormat="1" ht="12" customHeight="1" x14ac:dyDescent="0.3">
      <c r="A62" s="43" t="s">
        <v>170</v>
      </c>
      <c r="B62" s="44" t="s">
        <v>297</v>
      </c>
      <c r="C62" s="58"/>
      <c r="D62" s="58"/>
      <c r="E62" s="58"/>
    </row>
    <row r="63" spans="1:5" s="42" customFormat="1" ht="12" customHeight="1" x14ac:dyDescent="0.3">
      <c r="A63" s="46" t="s">
        <v>171</v>
      </c>
      <c r="B63" s="47" t="s">
        <v>420</v>
      </c>
      <c r="C63" s="58"/>
      <c r="D63" s="58"/>
      <c r="E63" s="58"/>
    </row>
    <row r="64" spans="1:5" s="42" customFormat="1" ht="12" customHeight="1" x14ac:dyDescent="0.3">
      <c r="A64" s="46" t="s">
        <v>218</v>
      </c>
      <c r="B64" s="47" t="s">
        <v>298</v>
      </c>
      <c r="C64" s="58"/>
      <c r="D64" s="58"/>
      <c r="E64" s="58"/>
    </row>
    <row r="65" spans="1:5" s="42" customFormat="1" ht="12" customHeight="1" thickBot="1" x14ac:dyDescent="0.35">
      <c r="A65" s="50" t="s">
        <v>296</v>
      </c>
      <c r="B65" s="51" t="s">
        <v>299</v>
      </c>
      <c r="C65" s="58"/>
      <c r="D65" s="58"/>
      <c r="E65" s="58"/>
    </row>
    <row r="66" spans="1:5" s="42" customFormat="1" ht="12" customHeight="1" thickBot="1" x14ac:dyDescent="0.35">
      <c r="A66" s="61" t="s">
        <v>471</v>
      </c>
      <c r="B66" s="40" t="s">
        <v>300</v>
      </c>
      <c r="C66" s="55">
        <f>+C9+C16+C23+C30+C38+C50+C56+C61</f>
        <v>0</v>
      </c>
      <c r="D66" s="55">
        <f>+D9+D16+D23+D30+D38+D50+D56+D61</f>
        <v>0</v>
      </c>
      <c r="E66" s="55">
        <f>+E9+E16+E23+E30+E38+E50+E56+E61</f>
        <v>0</v>
      </c>
    </row>
    <row r="67" spans="1:5" s="42" customFormat="1" ht="12" customHeight="1" thickBot="1" x14ac:dyDescent="0.35">
      <c r="A67" s="62" t="s">
        <v>301</v>
      </c>
      <c r="B67" s="52" t="s">
        <v>302</v>
      </c>
      <c r="C67" s="41">
        <f>SUM(C68:C70)</f>
        <v>0</v>
      </c>
      <c r="D67" s="41">
        <f>SUM(D68:D70)</f>
        <v>0</v>
      </c>
      <c r="E67" s="41">
        <f>SUM(E68:E70)</f>
        <v>0</v>
      </c>
    </row>
    <row r="68" spans="1:5" s="42" customFormat="1" ht="12" customHeight="1" x14ac:dyDescent="0.3">
      <c r="A68" s="43" t="s">
        <v>333</v>
      </c>
      <c r="B68" s="44" t="s">
        <v>303</v>
      </c>
      <c r="C68" s="58"/>
      <c r="D68" s="58"/>
      <c r="E68" s="58"/>
    </row>
    <row r="69" spans="1:5" s="42" customFormat="1" ht="12" customHeight="1" x14ac:dyDescent="0.3">
      <c r="A69" s="46" t="s">
        <v>342</v>
      </c>
      <c r="B69" s="47" t="s">
        <v>304</v>
      </c>
      <c r="C69" s="58"/>
      <c r="D69" s="58"/>
      <c r="E69" s="58"/>
    </row>
    <row r="70" spans="1:5" s="42" customFormat="1" ht="12" customHeight="1" thickBot="1" x14ac:dyDescent="0.35">
      <c r="A70" s="50" t="s">
        <v>343</v>
      </c>
      <c r="B70" s="63" t="s">
        <v>456</v>
      </c>
      <c r="C70" s="58"/>
      <c r="D70" s="58"/>
      <c r="E70" s="58"/>
    </row>
    <row r="71" spans="1:5" s="42" customFormat="1" ht="12" customHeight="1" thickBot="1" x14ac:dyDescent="0.35">
      <c r="A71" s="62" t="s">
        <v>306</v>
      </c>
      <c r="B71" s="52" t="s">
        <v>307</v>
      </c>
      <c r="C71" s="41">
        <f>SUM(C72:C75)</f>
        <v>0</v>
      </c>
      <c r="D71" s="41">
        <f>SUM(D72:D75)</f>
        <v>0</v>
      </c>
      <c r="E71" s="41">
        <f>SUM(E72:E75)</f>
        <v>0</v>
      </c>
    </row>
    <row r="72" spans="1:5" s="42" customFormat="1" ht="12" customHeight="1" x14ac:dyDescent="0.3">
      <c r="A72" s="43" t="s">
        <v>140</v>
      </c>
      <c r="B72" s="44" t="s">
        <v>308</v>
      </c>
      <c r="C72" s="58"/>
      <c r="D72" s="58"/>
      <c r="E72" s="58"/>
    </row>
    <row r="73" spans="1:5" s="42" customFormat="1" ht="12" customHeight="1" x14ac:dyDescent="0.3">
      <c r="A73" s="46" t="s">
        <v>141</v>
      </c>
      <c r="B73" s="47" t="s">
        <v>309</v>
      </c>
      <c r="C73" s="58"/>
      <c r="D73" s="58"/>
      <c r="E73" s="58"/>
    </row>
    <row r="74" spans="1:5" s="42" customFormat="1" ht="12" customHeight="1" x14ac:dyDescent="0.3">
      <c r="A74" s="46" t="s">
        <v>334</v>
      </c>
      <c r="B74" s="47" t="s">
        <v>310</v>
      </c>
      <c r="C74" s="58"/>
      <c r="D74" s="58"/>
      <c r="E74" s="58"/>
    </row>
    <row r="75" spans="1:5" s="42" customFormat="1" ht="12" customHeight="1" thickBot="1" x14ac:dyDescent="0.35">
      <c r="A75" s="50" t="s">
        <v>335</v>
      </c>
      <c r="B75" s="51" t="s">
        <v>311</v>
      </c>
      <c r="C75" s="58"/>
      <c r="D75" s="58"/>
      <c r="E75" s="58"/>
    </row>
    <row r="76" spans="1:5" s="42" customFormat="1" ht="12" customHeight="1" thickBot="1" x14ac:dyDescent="0.35">
      <c r="A76" s="62" t="s">
        <v>312</v>
      </c>
      <c r="B76" s="52" t="s">
        <v>313</v>
      </c>
      <c r="C76" s="41">
        <f>SUM(C77:C78)</f>
        <v>0</v>
      </c>
      <c r="D76" s="41">
        <f>SUM(D77:D78)</f>
        <v>0</v>
      </c>
      <c r="E76" s="41">
        <f>SUM(E77:E78)</f>
        <v>0</v>
      </c>
    </row>
    <row r="77" spans="1:5" s="42" customFormat="1" ht="12" customHeight="1" x14ac:dyDescent="0.3">
      <c r="A77" s="43" t="s">
        <v>336</v>
      </c>
      <c r="B77" s="44" t="s">
        <v>314</v>
      </c>
      <c r="C77" s="58"/>
      <c r="D77" s="58"/>
      <c r="E77" s="58"/>
    </row>
    <row r="78" spans="1:5" s="42" customFormat="1" ht="12" customHeight="1" thickBot="1" x14ac:dyDescent="0.35">
      <c r="A78" s="50" t="s">
        <v>337</v>
      </c>
      <c r="B78" s="51" t="s">
        <v>315</v>
      </c>
      <c r="C78" s="58"/>
      <c r="D78" s="58"/>
      <c r="E78" s="58"/>
    </row>
    <row r="79" spans="1:5" s="42" customFormat="1" ht="12" customHeight="1" thickBot="1" x14ac:dyDescent="0.35">
      <c r="A79" s="62" t="s">
        <v>316</v>
      </c>
      <c r="B79" s="52" t="s">
        <v>317</v>
      </c>
      <c r="C79" s="41">
        <f>SUM(C80:C82)</f>
        <v>0</v>
      </c>
      <c r="D79" s="41">
        <f>SUM(D80:D82)</f>
        <v>0</v>
      </c>
      <c r="E79" s="41">
        <f>SUM(E80:E82)</f>
        <v>0</v>
      </c>
    </row>
    <row r="80" spans="1:5" s="42" customFormat="1" ht="12" customHeight="1" x14ac:dyDescent="0.3">
      <c r="A80" s="43" t="s">
        <v>338</v>
      </c>
      <c r="B80" s="44" t="s">
        <v>318</v>
      </c>
      <c r="C80" s="58"/>
      <c r="D80" s="58"/>
      <c r="E80" s="58"/>
    </row>
    <row r="81" spans="1:5" s="42" customFormat="1" ht="12" customHeight="1" x14ac:dyDescent="0.3">
      <c r="A81" s="46" t="s">
        <v>339</v>
      </c>
      <c r="B81" s="47" t="s">
        <v>319</v>
      </c>
      <c r="C81" s="58"/>
      <c r="D81" s="58"/>
      <c r="E81" s="58"/>
    </row>
    <row r="82" spans="1:5" s="42" customFormat="1" ht="12" customHeight="1" thickBot="1" x14ac:dyDescent="0.35">
      <c r="A82" s="50" t="s">
        <v>340</v>
      </c>
      <c r="B82" s="51" t="s">
        <v>320</v>
      </c>
      <c r="C82" s="58"/>
      <c r="D82" s="58"/>
      <c r="E82" s="58"/>
    </row>
    <row r="83" spans="1:5" s="42" customFormat="1" ht="12" customHeight="1" thickBot="1" x14ac:dyDescent="0.35">
      <c r="A83" s="62" t="s">
        <v>321</v>
      </c>
      <c r="B83" s="52" t="s">
        <v>341</v>
      </c>
      <c r="C83" s="41">
        <f>SUM(C84:C87)</f>
        <v>0</v>
      </c>
      <c r="D83" s="41">
        <f>SUM(D84:D87)</f>
        <v>0</v>
      </c>
      <c r="E83" s="41">
        <f>SUM(E84:E87)</f>
        <v>0</v>
      </c>
    </row>
    <row r="84" spans="1:5" s="42" customFormat="1" ht="12" customHeight="1" x14ac:dyDescent="0.3">
      <c r="A84" s="64" t="s">
        <v>322</v>
      </c>
      <c r="B84" s="44" t="s">
        <v>323</v>
      </c>
      <c r="C84" s="58"/>
      <c r="D84" s="58"/>
      <c r="E84" s="58"/>
    </row>
    <row r="85" spans="1:5" s="42" customFormat="1" ht="12" customHeight="1" x14ac:dyDescent="0.3">
      <c r="A85" s="65" t="s">
        <v>324</v>
      </c>
      <c r="B85" s="47" t="s">
        <v>325</v>
      </c>
      <c r="C85" s="58"/>
      <c r="D85" s="58"/>
      <c r="E85" s="58"/>
    </row>
    <row r="86" spans="1:5" s="42" customFormat="1" ht="12" customHeight="1" x14ac:dyDescent="0.3">
      <c r="A86" s="65" t="s">
        <v>326</v>
      </c>
      <c r="B86" s="47" t="s">
        <v>327</v>
      </c>
      <c r="C86" s="58"/>
      <c r="D86" s="58"/>
      <c r="E86" s="58"/>
    </row>
    <row r="87" spans="1:5" s="42" customFormat="1" ht="12" customHeight="1" thickBot="1" x14ac:dyDescent="0.35">
      <c r="A87" s="66" t="s">
        <v>328</v>
      </c>
      <c r="B87" s="51" t="s">
        <v>329</v>
      </c>
      <c r="C87" s="58"/>
      <c r="D87" s="58"/>
      <c r="E87" s="58"/>
    </row>
    <row r="88" spans="1:5" s="42" customFormat="1" ht="12" customHeight="1" thickBot="1" x14ac:dyDescent="0.35">
      <c r="A88" s="62" t="s">
        <v>330</v>
      </c>
      <c r="B88" s="52" t="s">
        <v>470</v>
      </c>
      <c r="C88" s="67"/>
      <c r="D88" s="67"/>
      <c r="E88" s="67"/>
    </row>
    <row r="89" spans="1:5" s="42" customFormat="1" ht="13.5" customHeight="1" thickBot="1" x14ac:dyDescent="0.35">
      <c r="A89" s="62" t="s">
        <v>332</v>
      </c>
      <c r="B89" s="52" t="s">
        <v>331</v>
      </c>
      <c r="C89" s="67"/>
      <c r="D89" s="67"/>
      <c r="E89" s="67"/>
    </row>
    <row r="90" spans="1:5" s="42" customFormat="1" ht="15.75" customHeight="1" thickBot="1" x14ac:dyDescent="0.35">
      <c r="A90" s="62" t="s">
        <v>344</v>
      </c>
      <c r="B90" s="68" t="s">
        <v>473</v>
      </c>
      <c r="C90" s="55">
        <f>+C67+C71+C76+C79+C83+C89+C88</f>
        <v>0</v>
      </c>
      <c r="D90" s="55">
        <f>+D67+D71+D76+D79+D83+D89+D88</f>
        <v>0</v>
      </c>
      <c r="E90" s="55">
        <f>+E67+E71+E76+E79+E83+E89+E88</f>
        <v>0</v>
      </c>
    </row>
    <row r="91" spans="1:5" s="42" customFormat="1" ht="16.5" customHeight="1" thickBot="1" x14ac:dyDescent="0.35">
      <c r="A91" s="69" t="s">
        <v>472</v>
      </c>
      <c r="B91" s="70" t="s">
        <v>474</v>
      </c>
      <c r="C91" s="55">
        <f>+C66+C90</f>
        <v>0</v>
      </c>
      <c r="D91" s="55">
        <f>+D66+D90</f>
        <v>0</v>
      </c>
      <c r="E91" s="55">
        <f>+E66+E90</f>
        <v>0</v>
      </c>
    </row>
    <row r="92" spans="1:5" s="42" customFormat="1" ht="83.25" customHeight="1" x14ac:dyDescent="0.3">
      <c r="A92" s="71"/>
      <c r="B92" s="72"/>
      <c r="C92" s="566"/>
      <c r="D92" s="566"/>
      <c r="E92" s="566"/>
    </row>
    <row r="93" spans="1:5" ht="16.5" customHeight="1" x14ac:dyDescent="0.35">
      <c r="A93" s="900" t="s">
        <v>42</v>
      </c>
      <c r="B93" s="900"/>
      <c r="C93" s="33"/>
      <c r="D93" s="33"/>
      <c r="E93" s="33"/>
    </row>
    <row r="94" spans="1:5" s="73" customFormat="1" ht="16.5" customHeight="1" thickBot="1" x14ac:dyDescent="0.4">
      <c r="A94" s="903" t="s">
        <v>143</v>
      </c>
      <c r="B94" s="903"/>
      <c r="C94" s="564" t="s">
        <v>632</v>
      </c>
      <c r="D94" s="564" t="s">
        <v>632</v>
      </c>
      <c r="E94" s="564" t="s">
        <v>632</v>
      </c>
    </row>
    <row r="95" spans="1:5" ht="38.15" customHeight="1" thickBot="1" x14ac:dyDescent="0.4">
      <c r="A95" s="34" t="s">
        <v>64</v>
      </c>
      <c r="B95" s="35" t="s">
        <v>43</v>
      </c>
      <c r="C95" s="595" t="s">
        <v>640</v>
      </c>
      <c r="D95" s="595" t="s">
        <v>724</v>
      </c>
      <c r="E95" s="654" t="s">
        <v>730</v>
      </c>
    </row>
    <row r="96" spans="1:5" s="38" customFormat="1" ht="12" customHeight="1" thickBot="1" x14ac:dyDescent="0.3">
      <c r="A96" s="74" t="s">
        <v>482</v>
      </c>
      <c r="B96" s="75" t="s">
        <v>483</v>
      </c>
      <c r="C96" s="567" t="s">
        <v>484</v>
      </c>
      <c r="D96" s="567" t="s">
        <v>484</v>
      </c>
      <c r="E96" s="567" t="s">
        <v>484</v>
      </c>
    </row>
    <row r="97" spans="1:5" ht="12" customHeight="1" thickBot="1" x14ac:dyDescent="0.4">
      <c r="A97" s="76" t="s">
        <v>14</v>
      </c>
      <c r="B97" s="77" t="s">
        <v>608</v>
      </c>
      <c r="C97" s="78">
        <f>C98+C99+C100+C101+C102+C115</f>
        <v>0</v>
      </c>
      <c r="D97" s="78">
        <f>D98+D99+D100+D101+D102+D115</f>
        <v>0</v>
      </c>
      <c r="E97" s="78">
        <f>E98+E99+E100+E101+E102+E115</f>
        <v>0</v>
      </c>
    </row>
    <row r="98" spans="1:5" ht="12" customHeight="1" x14ac:dyDescent="0.35">
      <c r="A98" s="79" t="s">
        <v>93</v>
      </c>
      <c r="B98" s="15" t="s">
        <v>44</v>
      </c>
      <c r="C98" s="80"/>
      <c r="D98" s="80"/>
      <c r="E98" s="80"/>
    </row>
    <row r="99" spans="1:5" ht="12" customHeight="1" x14ac:dyDescent="0.35">
      <c r="A99" s="46" t="s">
        <v>94</v>
      </c>
      <c r="B99" s="16" t="s">
        <v>172</v>
      </c>
      <c r="C99" s="48"/>
      <c r="D99" s="48"/>
      <c r="E99" s="48"/>
    </row>
    <row r="100" spans="1:5" ht="12" customHeight="1" x14ac:dyDescent="0.35">
      <c r="A100" s="46" t="s">
        <v>95</v>
      </c>
      <c r="B100" s="16" t="s">
        <v>131</v>
      </c>
      <c r="C100" s="53"/>
      <c r="D100" s="53"/>
      <c r="E100" s="53"/>
    </row>
    <row r="101" spans="1:5" ht="12" customHeight="1" x14ac:dyDescent="0.35">
      <c r="A101" s="46" t="s">
        <v>96</v>
      </c>
      <c r="B101" s="81" t="s">
        <v>173</v>
      </c>
      <c r="C101" s="53"/>
      <c r="D101" s="53"/>
      <c r="E101" s="53"/>
    </row>
    <row r="102" spans="1:5" ht="12" customHeight="1" x14ac:dyDescent="0.35">
      <c r="A102" s="46" t="s">
        <v>107</v>
      </c>
      <c r="B102" s="82" t="s">
        <v>174</v>
      </c>
      <c r="C102" s="53"/>
      <c r="D102" s="53"/>
      <c r="E102" s="53"/>
    </row>
    <row r="103" spans="1:5" ht="12" customHeight="1" x14ac:dyDescent="0.35">
      <c r="A103" s="46" t="s">
        <v>97</v>
      </c>
      <c r="B103" s="16" t="s">
        <v>437</v>
      </c>
      <c r="C103" s="53"/>
      <c r="D103" s="53"/>
      <c r="E103" s="53"/>
    </row>
    <row r="104" spans="1:5" ht="12" customHeight="1" x14ac:dyDescent="0.35">
      <c r="A104" s="46" t="s">
        <v>98</v>
      </c>
      <c r="B104" s="83" t="s">
        <v>436</v>
      </c>
      <c r="C104" s="53"/>
      <c r="D104" s="53"/>
      <c r="E104" s="53"/>
    </row>
    <row r="105" spans="1:5" ht="12" customHeight="1" x14ac:dyDescent="0.35">
      <c r="A105" s="46" t="s">
        <v>108</v>
      </c>
      <c r="B105" s="83" t="s">
        <v>435</v>
      </c>
      <c r="C105" s="53"/>
      <c r="D105" s="53"/>
      <c r="E105" s="53"/>
    </row>
    <row r="106" spans="1:5" ht="12" customHeight="1" x14ac:dyDescent="0.35">
      <c r="A106" s="46" t="s">
        <v>109</v>
      </c>
      <c r="B106" s="84" t="s">
        <v>347</v>
      </c>
      <c r="C106" s="53"/>
      <c r="D106" s="53"/>
      <c r="E106" s="53"/>
    </row>
    <row r="107" spans="1:5" ht="12" customHeight="1" x14ac:dyDescent="0.35">
      <c r="A107" s="46" t="s">
        <v>110</v>
      </c>
      <c r="B107" s="85" t="s">
        <v>348</v>
      </c>
      <c r="C107" s="53"/>
      <c r="D107" s="53"/>
      <c r="E107" s="53"/>
    </row>
    <row r="108" spans="1:5" ht="12" customHeight="1" x14ac:dyDescent="0.35">
      <c r="A108" s="46" t="s">
        <v>111</v>
      </c>
      <c r="B108" s="85" t="s">
        <v>349</v>
      </c>
      <c r="C108" s="53"/>
      <c r="D108" s="53"/>
      <c r="E108" s="53"/>
    </row>
    <row r="109" spans="1:5" ht="12" customHeight="1" x14ac:dyDescent="0.35">
      <c r="A109" s="46" t="s">
        <v>113</v>
      </c>
      <c r="B109" s="84" t="s">
        <v>350</v>
      </c>
      <c r="C109" s="53"/>
      <c r="D109" s="53"/>
      <c r="E109" s="53"/>
    </row>
    <row r="110" spans="1:5" ht="12" customHeight="1" x14ac:dyDescent="0.35">
      <c r="A110" s="46" t="s">
        <v>175</v>
      </c>
      <c r="B110" s="84" t="s">
        <v>351</v>
      </c>
      <c r="C110" s="53"/>
      <c r="D110" s="53"/>
      <c r="E110" s="53"/>
    </row>
    <row r="111" spans="1:5" ht="12" customHeight="1" x14ac:dyDescent="0.35">
      <c r="A111" s="46" t="s">
        <v>345</v>
      </c>
      <c r="B111" s="85" t="s">
        <v>352</v>
      </c>
      <c r="C111" s="53"/>
      <c r="D111" s="53"/>
      <c r="E111" s="53"/>
    </row>
    <row r="112" spans="1:5" ht="12" customHeight="1" x14ac:dyDescent="0.35">
      <c r="A112" s="86" t="s">
        <v>346</v>
      </c>
      <c r="B112" s="83" t="s">
        <v>353</v>
      </c>
      <c r="C112" s="53"/>
      <c r="D112" s="53"/>
      <c r="E112" s="53"/>
    </row>
    <row r="113" spans="1:5" ht="12" customHeight="1" x14ac:dyDescent="0.35">
      <c r="A113" s="46" t="s">
        <v>433</v>
      </c>
      <c r="B113" s="83" t="s">
        <v>354</v>
      </c>
      <c r="C113" s="53"/>
      <c r="D113" s="53"/>
      <c r="E113" s="53"/>
    </row>
    <row r="114" spans="1:5" ht="12" customHeight="1" x14ac:dyDescent="0.35">
      <c r="A114" s="50" t="s">
        <v>434</v>
      </c>
      <c r="B114" s="83" t="s">
        <v>355</v>
      </c>
      <c r="C114" s="53"/>
      <c r="D114" s="53"/>
      <c r="E114" s="53"/>
    </row>
    <row r="115" spans="1:5" ht="12" customHeight="1" x14ac:dyDescent="0.35">
      <c r="A115" s="46" t="s">
        <v>438</v>
      </c>
      <c r="B115" s="81" t="s">
        <v>45</v>
      </c>
      <c r="C115" s="48"/>
      <c r="D115" s="48"/>
      <c r="E115" s="48"/>
    </row>
    <row r="116" spans="1:5" ht="12" customHeight="1" x14ac:dyDescent="0.35">
      <c r="A116" s="46" t="s">
        <v>439</v>
      </c>
      <c r="B116" s="16" t="s">
        <v>441</v>
      </c>
      <c r="C116" s="48"/>
      <c r="D116" s="48"/>
      <c r="E116" s="48"/>
    </row>
    <row r="117" spans="1:5" ht="12" customHeight="1" thickBot="1" x14ac:dyDescent="0.4">
      <c r="A117" s="87" t="s">
        <v>440</v>
      </c>
      <c r="B117" s="88" t="s">
        <v>442</v>
      </c>
      <c r="C117" s="89"/>
      <c r="D117" s="89"/>
      <c r="E117" s="89"/>
    </row>
    <row r="118" spans="1:5" ht="12" customHeight="1" thickBot="1" x14ac:dyDescent="0.4">
      <c r="A118" s="90" t="s">
        <v>15</v>
      </c>
      <c r="B118" s="91" t="s">
        <v>609</v>
      </c>
      <c r="C118" s="568">
        <f>+C119+C121+C123</f>
        <v>0</v>
      </c>
      <c r="D118" s="568">
        <f>+D119+D121+D123</f>
        <v>0</v>
      </c>
      <c r="E118" s="568">
        <f>+E119+E121+E123</f>
        <v>0</v>
      </c>
    </row>
    <row r="119" spans="1:5" ht="12" customHeight="1" x14ac:dyDescent="0.35">
      <c r="A119" s="43" t="s">
        <v>99</v>
      </c>
      <c r="B119" s="16" t="s">
        <v>217</v>
      </c>
      <c r="C119" s="45"/>
      <c r="D119" s="45"/>
      <c r="E119" s="45"/>
    </row>
    <row r="120" spans="1:5" ht="12" customHeight="1" x14ac:dyDescent="0.35">
      <c r="A120" s="43" t="s">
        <v>100</v>
      </c>
      <c r="B120" s="92" t="s">
        <v>359</v>
      </c>
      <c r="C120" s="45"/>
      <c r="D120" s="45"/>
      <c r="E120" s="45"/>
    </row>
    <row r="121" spans="1:5" ht="12" customHeight="1" x14ac:dyDescent="0.35">
      <c r="A121" s="43" t="s">
        <v>101</v>
      </c>
      <c r="B121" s="92" t="s">
        <v>176</v>
      </c>
      <c r="C121" s="48"/>
      <c r="D121" s="48"/>
      <c r="E121" s="48"/>
    </row>
    <row r="122" spans="1:5" ht="12" customHeight="1" x14ac:dyDescent="0.35">
      <c r="A122" s="43" t="s">
        <v>102</v>
      </c>
      <c r="B122" s="92" t="s">
        <v>360</v>
      </c>
      <c r="C122" s="93"/>
      <c r="D122" s="93"/>
      <c r="E122" s="93"/>
    </row>
    <row r="123" spans="1:5" ht="12" customHeight="1" x14ac:dyDescent="0.35">
      <c r="A123" s="43" t="s">
        <v>103</v>
      </c>
      <c r="B123" s="51" t="s">
        <v>219</v>
      </c>
      <c r="C123" s="93"/>
      <c r="D123" s="93"/>
      <c r="E123" s="93"/>
    </row>
    <row r="124" spans="1:5" ht="12" customHeight="1" x14ac:dyDescent="0.35">
      <c r="A124" s="43" t="s">
        <v>112</v>
      </c>
      <c r="B124" s="49" t="s">
        <v>421</v>
      </c>
      <c r="C124" s="93"/>
      <c r="D124" s="93"/>
      <c r="E124" s="93"/>
    </row>
    <row r="125" spans="1:5" ht="12" customHeight="1" x14ac:dyDescent="0.35">
      <c r="A125" s="43" t="s">
        <v>114</v>
      </c>
      <c r="B125" s="94" t="s">
        <v>365</v>
      </c>
      <c r="C125" s="93"/>
      <c r="D125" s="93"/>
      <c r="E125" s="93"/>
    </row>
    <row r="126" spans="1:5" x14ac:dyDescent="0.35">
      <c r="A126" s="43" t="s">
        <v>177</v>
      </c>
      <c r="B126" s="85" t="s">
        <v>349</v>
      </c>
      <c r="C126" s="93"/>
      <c r="D126" s="93"/>
      <c r="E126" s="93"/>
    </row>
    <row r="127" spans="1:5" ht="12" customHeight="1" x14ac:dyDescent="0.35">
      <c r="A127" s="43" t="s">
        <v>178</v>
      </c>
      <c r="B127" s="85" t="s">
        <v>364</v>
      </c>
      <c r="C127" s="93"/>
      <c r="D127" s="93"/>
      <c r="E127" s="93"/>
    </row>
    <row r="128" spans="1:5" ht="12" customHeight="1" x14ac:dyDescent="0.35">
      <c r="A128" s="43" t="s">
        <v>179</v>
      </c>
      <c r="B128" s="85" t="s">
        <v>363</v>
      </c>
      <c r="C128" s="93"/>
      <c r="D128" s="93"/>
      <c r="E128" s="93"/>
    </row>
    <row r="129" spans="1:5" ht="12" customHeight="1" x14ac:dyDescent="0.35">
      <c r="A129" s="43" t="s">
        <v>356</v>
      </c>
      <c r="B129" s="85" t="s">
        <v>352</v>
      </c>
      <c r="C129" s="93"/>
      <c r="D129" s="93"/>
      <c r="E129" s="93"/>
    </row>
    <row r="130" spans="1:5" ht="12" customHeight="1" x14ac:dyDescent="0.35">
      <c r="A130" s="43" t="s">
        <v>357</v>
      </c>
      <c r="B130" s="85" t="s">
        <v>362</v>
      </c>
      <c r="C130" s="93"/>
      <c r="D130" s="93"/>
      <c r="E130" s="93"/>
    </row>
    <row r="131" spans="1:5" ht="16" thickBot="1" x14ac:dyDescent="0.4">
      <c r="A131" s="86" t="s">
        <v>358</v>
      </c>
      <c r="B131" s="85" t="s">
        <v>361</v>
      </c>
      <c r="C131" s="95"/>
      <c r="D131" s="95"/>
      <c r="E131" s="95"/>
    </row>
    <row r="132" spans="1:5" ht="12" customHeight="1" thickBot="1" x14ac:dyDescent="0.4">
      <c r="A132" s="39" t="s">
        <v>16</v>
      </c>
      <c r="B132" s="19" t="s">
        <v>443</v>
      </c>
      <c r="C132" s="41">
        <f>+C97+C118</f>
        <v>0</v>
      </c>
      <c r="D132" s="41">
        <f>+D97+D118</f>
        <v>0</v>
      </c>
      <c r="E132" s="41">
        <f>+E97+E118</f>
        <v>0</v>
      </c>
    </row>
    <row r="133" spans="1:5" ht="12" customHeight="1" thickBot="1" x14ac:dyDescent="0.4">
      <c r="A133" s="39" t="s">
        <v>17</v>
      </c>
      <c r="B133" s="19" t="s">
        <v>444</v>
      </c>
      <c r="C133" s="41">
        <f>+C134+C135+C136</f>
        <v>0</v>
      </c>
      <c r="D133" s="41">
        <f>+D134+D135+D136</f>
        <v>0</v>
      </c>
      <c r="E133" s="41">
        <f>+E134+E135+E136</f>
        <v>0</v>
      </c>
    </row>
    <row r="134" spans="1:5" ht="12" customHeight="1" x14ac:dyDescent="0.35">
      <c r="A134" s="43" t="s">
        <v>257</v>
      </c>
      <c r="B134" s="92" t="s">
        <v>451</v>
      </c>
      <c r="C134" s="93"/>
      <c r="D134" s="93"/>
      <c r="E134" s="93"/>
    </row>
    <row r="135" spans="1:5" ht="12" customHeight="1" x14ac:dyDescent="0.35">
      <c r="A135" s="43" t="s">
        <v>260</v>
      </c>
      <c r="B135" s="92" t="s">
        <v>452</v>
      </c>
      <c r="C135" s="93"/>
      <c r="D135" s="93"/>
      <c r="E135" s="93"/>
    </row>
    <row r="136" spans="1:5" ht="12" customHeight="1" thickBot="1" x14ac:dyDescent="0.4">
      <c r="A136" s="86" t="s">
        <v>261</v>
      </c>
      <c r="B136" s="92" t="s">
        <v>453</v>
      </c>
      <c r="C136" s="93"/>
      <c r="D136" s="93"/>
      <c r="E136" s="93"/>
    </row>
    <row r="137" spans="1:5" ht="12" customHeight="1" thickBot="1" x14ac:dyDescent="0.4">
      <c r="A137" s="39" t="s">
        <v>18</v>
      </c>
      <c r="B137" s="19" t="s">
        <v>445</v>
      </c>
      <c r="C137" s="41">
        <f>SUM(C138:C143)</f>
        <v>0</v>
      </c>
      <c r="D137" s="41">
        <f>SUM(D138:D143)</f>
        <v>0</v>
      </c>
      <c r="E137" s="41">
        <f>SUM(E138:E143)</f>
        <v>0</v>
      </c>
    </row>
    <row r="138" spans="1:5" ht="12" customHeight="1" x14ac:dyDescent="0.35">
      <c r="A138" s="43" t="s">
        <v>86</v>
      </c>
      <c r="B138" s="18" t="s">
        <v>454</v>
      </c>
      <c r="C138" s="93"/>
      <c r="D138" s="93"/>
      <c r="E138" s="93"/>
    </row>
    <row r="139" spans="1:5" ht="12" customHeight="1" x14ac:dyDescent="0.35">
      <c r="A139" s="43" t="s">
        <v>87</v>
      </c>
      <c r="B139" s="18" t="s">
        <v>446</v>
      </c>
      <c r="C139" s="93"/>
      <c r="D139" s="93"/>
      <c r="E139" s="93"/>
    </row>
    <row r="140" spans="1:5" ht="12" customHeight="1" x14ac:dyDescent="0.35">
      <c r="A140" s="43" t="s">
        <v>88</v>
      </c>
      <c r="B140" s="18" t="s">
        <v>447</v>
      </c>
      <c r="C140" s="93"/>
      <c r="D140" s="93"/>
      <c r="E140" s="93"/>
    </row>
    <row r="141" spans="1:5" ht="12" customHeight="1" x14ac:dyDescent="0.35">
      <c r="A141" s="43" t="s">
        <v>164</v>
      </c>
      <c r="B141" s="18" t="s">
        <v>448</v>
      </c>
      <c r="C141" s="93"/>
      <c r="D141" s="93"/>
      <c r="E141" s="93"/>
    </row>
    <row r="142" spans="1:5" ht="12" customHeight="1" x14ac:dyDescent="0.35">
      <c r="A142" s="43" t="s">
        <v>165</v>
      </c>
      <c r="B142" s="18" t="s">
        <v>449</v>
      </c>
      <c r="C142" s="93"/>
      <c r="D142" s="93"/>
      <c r="E142" s="93"/>
    </row>
    <row r="143" spans="1:5" ht="12" customHeight="1" thickBot="1" x14ac:dyDescent="0.4">
      <c r="A143" s="86" t="s">
        <v>166</v>
      </c>
      <c r="B143" s="18" t="s">
        <v>450</v>
      </c>
      <c r="C143" s="93"/>
      <c r="D143" s="93"/>
      <c r="E143" s="93"/>
    </row>
    <row r="144" spans="1:5" ht="12" customHeight="1" thickBot="1" x14ac:dyDescent="0.4">
      <c r="A144" s="39" t="s">
        <v>19</v>
      </c>
      <c r="B144" s="19" t="s">
        <v>458</v>
      </c>
      <c r="C144" s="55">
        <f>+C145+C146+C147+C148</f>
        <v>0</v>
      </c>
      <c r="D144" s="55">
        <f>+D145+D146+D147+D148</f>
        <v>0</v>
      </c>
      <c r="E144" s="55">
        <f>+E145+E146+E147+E148</f>
        <v>0</v>
      </c>
    </row>
    <row r="145" spans="1:5" ht="12" customHeight="1" x14ac:dyDescent="0.35">
      <c r="A145" s="43" t="s">
        <v>89</v>
      </c>
      <c r="B145" s="18" t="s">
        <v>366</v>
      </c>
      <c r="C145" s="93"/>
      <c r="D145" s="93"/>
      <c r="E145" s="93"/>
    </row>
    <row r="146" spans="1:5" ht="12" customHeight="1" x14ac:dyDescent="0.35">
      <c r="A146" s="43" t="s">
        <v>90</v>
      </c>
      <c r="B146" s="18" t="s">
        <v>367</v>
      </c>
      <c r="C146" s="93"/>
      <c r="D146" s="93"/>
      <c r="E146" s="93"/>
    </row>
    <row r="147" spans="1:5" ht="12" customHeight="1" x14ac:dyDescent="0.35">
      <c r="A147" s="43" t="s">
        <v>281</v>
      </c>
      <c r="B147" s="18" t="s">
        <v>459</v>
      </c>
      <c r="C147" s="93"/>
      <c r="D147" s="93"/>
      <c r="E147" s="93"/>
    </row>
    <row r="148" spans="1:5" ht="12" customHeight="1" thickBot="1" x14ac:dyDescent="0.4">
      <c r="A148" s="86" t="s">
        <v>282</v>
      </c>
      <c r="B148" s="17" t="s">
        <v>385</v>
      </c>
      <c r="C148" s="93"/>
      <c r="D148" s="93"/>
      <c r="E148" s="93"/>
    </row>
    <row r="149" spans="1:5" ht="12" customHeight="1" thickBot="1" x14ac:dyDescent="0.4">
      <c r="A149" s="39" t="s">
        <v>20</v>
      </c>
      <c r="B149" s="19" t="s">
        <v>460</v>
      </c>
      <c r="C149" s="96">
        <f>SUM(C150:C154)</f>
        <v>0</v>
      </c>
      <c r="D149" s="96">
        <f>SUM(D150:D154)</f>
        <v>0</v>
      </c>
      <c r="E149" s="96">
        <f>SUM(E150:E154)</f>
        <v>0</v>
      </c>
    </row>
    <row r="150" spans="1:5" ht="12" customHeight="1" x14ac:dyDescent="0.35">
      <c r="A150" s="43" t="s">
        <v>91</v>
      </c>
      <c r="B150" s="18" t="s">
        <v>455</v>
      </c>
      <c r="C150" s="93"/>
      <c r="D150" s="93"/>
      <c r="E150" s="93"/>
    </row>
    <row r="151" spans="1:5" ht="12" customHeight="1" x14ac:dyDescent="0.35">
      <c r="A151" s="43" t="s">
        <v>92</v>
      </c>
      <c r="B151" s="18" t="s">
        <v>462</v>
      </c>
      <c r="C151" s="93"/>
      <c r="D151" s="93"/>
      <c r="E151" s="93"/>
    </row>
    <row r="152" spans="1:5" ht="12" customHeight="1" x14ac:dyDescent="0.35">
      <c r="A152" s="43" t="s">
        <v>293</v>
      </c>
      <c r="B152" s="18" t="s">
        <v>457</v>
      </c>
      <c r="C152" s="93"/>
      <c r="D152" s="93"/>
      <c r="E152" s="93"/>
    </row>
    <row r="153" spans="1:5" ht="12" customHeight="1" x14ac:dyDescent="0.35">
      <c r="A153" s="43" t="s">
        <v>294</v>
      </c>
      <c r="B153" s="18" t="s">
        <v>463</v>
      </c>
      <c r="C153" s="93"/>
      <c r="D153" s="93"/>
      <c r="E153" s="93"/>
    </row>
    <row r="154" spans="1:5" ht="12" customHeight="1" thickBot="1" x14ac:dyDescent="0.4">
      <c r="A154" s="43" t="s">
        <v>461</v>
      </c>
      <c r="B154" s="18" t="s">
        <v>464</v>
      </c>
      <c r="C154" s="93"/>
      <c r="D154" s="93"/>
      <c r="E154" s="93"/>
    </row>
    <row r="155" spans="1:5" ht="12" customHeight="1" thickBot="1" x14ac:dyDescent="0.4">
      <c r="A155" s="39" t="s">
        <v>21</v>
      </c>
      <c r="B155" s="19" t="s">
        <v>465</v>
      </c>
      <c r="C155" s="569"/>
      <c r="D155" s="569"/>
      <c r="E155" s="569"/>
    </row>
    <row r="156" spans="1:5" ht="12" customHeight="1" thickBot="1" x14ac:dyDescent="0.4">
      <c r="A156" s="39" t="s">
        <v>22</v>
      </c>
      <c r="B156" s="19" t="s">
        <v>466</v>
      </c>
      <c r="C156" s="569"/>
      <c r="D156" s="569"/>
      <c r="E156" s="569"/>
    </row>
    <row r="157" spans="1:5" ht="15" customHeight="1" thickBot="1" x14ac:dyDescent="0.4">
      <c r="A157" s="39" t="s">
        <v>23</v>
      </c>
      <c r="B157" s="19" t="s">
        <v>468</v>
      </c>
      <c r="C157" s="97">
        <f>+C133+C137+C144+C149+C155+C156</f>
        <v>0</v>
      </c>
      <c r="D157" s="97">
        <f>+D133+D137+D144+D149+D155+D156</f>
        <v>0</v>
      </c>
      <c r="E157" s="97">
        <f>+E133+E137+E144+E149+E155+E156</f>
        <v>0</v>
      </c>
    </row>
    <row r="158" spans="1:5" s="42" customFormat="1" ht="13" customHeight="1" thickBot="1" x14ac:dyDescent="0.35">
      <c r="A158" s="99" t="s">
        <v>24</v>
      </c>
      <c r="B158" s="100" t="s">
        <v>467</v>
      </c>
      <c r="C158" s="97">
        <f>+C132+C157</f>
        <v>0</v>
      </c>
      <c r="D158" s="97">
        <f>+D132+D157</f>
        <v>0</v>
      </c>
      <c r="E158" s="97">
        <f>+E132+E157</f>
        <v>0</v>
      </c>
    </row>
    <row r="159" spans="1:5" ht="7.5" customHeight="1" x14ac:dyDescent="0.35"/>
  </sheetData>
  <mergeCells count="4">
    <mergeCell ref="A5:B5"/>
    <mergeCell ref="A6:B6"/>
    <mergeCell ref="A93:B93"/>
    <mergeCell ref="A94:B94"/>
  </mergeCells>
  <phoneticPr fontId="5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80" fitToHeight="2" orientation="portrait" r:id="rId1"/>
  <headerFooter alignWithMargins="0">
    <oddHeader>&amp;R&amp;"Times New Roman CE,Félkövér dőlt"&amp;11 1.1. melléklet a 11/2020. (VI.26.) önkormányzati rendelethez</oddHeader>
    <oddFooter>&amp;P. oldal, összesen: &amp;N</oddFooter>
  </headerFooter>
  <rowBreaks count="3" manualBreakCount="3">
    <brk id="66" max="3" man="1"/>
    <brk id="91" max="3" man="1"/>
    <brk id="136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rgb="FFFFFF00"/>
  </sheetPr>
  <dimension ref="A1:I33"/>
  <sheetViews>
    <sheetView view="pageLayout" zoomScaleNormal="115" zoomScaleSheetLayoutView="100" workbookViewId="0">
      <selection activeCell="E2" sqref="E2"/>
    </sheetView>
  </sheetViews>
  <sheetFormatPr defaultColWidth="9.296875" defaultRowHeight="13" x14ac:dyDescent="0.3"/>
  <cols>
    <col min="1" max="1" width="4.796875" style="210" bestFit="1" customWidth="1"/>
    <col min="2" max="2" width="47.69921875" style="209" bestFit="1" customWidth="1"/>
    <col min="3" max="5" width="21.296875" style="210" bestFit="1" customWidth="1"/>
    <col min="6" max="6" width="43.296875" style="210" bestFit="1" customWidth="1"/>
    <col min="7" max="9" width="18.796875" style="210" customWidth="1"/>
    <col min="10" max="16384" width="9.296875" style="210"/>
  </cols>
  <sheetData>
    <row r="1" spans="1:9" x14ac:dyDescent="0.3">
      <c r="B1" s="210"/>
      <c r="F1" s="377" t="s">
        <v>719</v>
      </c>
    </row>
    <row r="2" spans="1:9" ht="30" x14ac:dyDescent="0.3">
      <c r="B2" s="160" t="s">
        <v>147</v>
      </c>
      <c r="C2" s="451"/>
      <c r="D2" s="451"/>
      <c r="E2" s="451"/>
      <c r="F2" s="451"/>
      <c r="G2" s="451"/>
      <c r="H2" s="451"/>
      <c r="I2" s="451"/>
    </row>
    <row r="3" spans="1:9" ht="14" thickBot="1" x14ac:dyDescent="0.35">
      <c r="G3" s="620" t="s">
        <v>579</v>
      </c>
      <c r="H3" s="620" t="s">
        <v>579</v>
      </c>
      <c r="I3" s="620" t="s">
        <v>579</v>
      </c>
    </row>
    <row r="4" spans="1:9" ht="13.5" thickBot="1" x14ac:dyDescent="0.35">
      <c r="A4" s="904" t="s">
        <v>64</v>
      </c>
      <c r="B4" s="161" t="s">
        <v>51</v>
      </c>
      <c r="C4" s="621"/>
      <c r="D4" s="621"/>
      <c r="E4" s="621"/>
      <c r="F4" s="161" t="s">
        <v>52</v>
      </c>
      <c r="G4" s="622"/>
      <c r="H4" s="622"/>
      <c r="I4" s="622"/>
    </row>
    <row r="5" spans="1:9" s="163" customFormat="1" ht="23.5" thickBot="1" x14ac:dyDescent="0.35">
      <c r="A5" s="905"/>
      <c r="B5" s="162" t="s">
        <v>56</v>
      </c>
      <c r="C5" s="623" t="s">
        <v>640</v>
      </c>
      <c r="D5" s="623" t="s">
        <v>724</v>
      </c>
      <c r="E5" s="623" t="s">
        <v>724</v>
      </c>
      <c r="F5" s="162" t="s">
        <v>56</v>
      </c>
      <c r="G5" s="623" t="s">
        <v>640</v>
      </c>
      <c r="H5" s="623" t="s">
        <v>724</v>
      </c>
      <c r="I5" s="654" t="s">
        <v>730</v>
      </c>
    </row>
    <row r="6" spans="1:9" s="176" customFormat="1" ht="11" thickBot="1" x14ac:dyDescent="0.35">
      <c r="A6" s="164" t="s">
        <v>482</v>
      </c>
      <c r="B6" s="165" t="s">
        <v>483</v>
      </c>
      <c r="C6" s="624" t="s">
        <v>484</v>
      </c>
      <c r="D6" s="624" t="s">
        <v>484</v>
      </c>
      <c r="E6" s="624" t="s">
        <v>484</v>
      </c>
      <c r="F6" s="165" t="s">
        <v>486</v>
      </c>
      <c r="G6" s="166" t="s">
        <v>485</v>
      </c>
      <c r="H6" s="166" t="s">
        <v>485</v>
      </c>
      <c r="I6" s="166" t="s">
        <v>485</v>
      </c>
    </row>
    <row r="7" spans="1:9" x14ac:dyDescent="0.3">
      <c r="A7" s="452" t="s">
        <v>14</v>
      </c>
      <c r="B7" s="167" t="s">
        <v>369</v>
      </c>
      <c r="C7" s="625">
        <v>229497311</v>
      </c>
      <c r="D7" s="625">
        <f>229497311+189566+145744+9701500</f>
        <v>239534121</v>
      </c>
      <c r="E7" s="625">
        <f>229497311+189566+145744+9701500+632000+243701+215307-21207500-1660660</f>
        <v>217756969</v>
      </c>
      <c r="F7" s="167" t="s">
        <v>57</v>
      </c>
      <c r="G7" s="20">
        <v>88632818</v>
      </c>
      <c r="H7" s="20">
        <f>88632818+2282840</f>
        <v>90915658</v>
      </c>
      <c r="I7" s="20">
        <f>88632818+2282840+1728436+1650000+1207500+364000-4081250-2500000+500000</f>
        <v>89784344</v>
      </c>
    </row>
    <row r="8" spans="1:9" x14ac:dyDescent="0.3">
      <c r="A8" s="453" t="s">
        <v>15</v>
      </c>
      <c r="B8" s="168" t="s">
        <v>370</v>
      </c>
      <c r="C8" s="169">
        <v>86368865</v>
      </c>
      <c r="D8" s="169">
        <f>86368865-3379392+1986068+277527</f>
        <v>85253068</v>
      </c>
      <c r="E8" s="169">
        <f>86368865-3379392+1986068+277527+75000+379473+284369+140809-241702+1560482+1551000+1135050-3748146-1055268+500000</f>
        <v>85834135</v>
      </c>
      <c r="F8" s="168" t="s">
        <v>172</v>
      </c>
      <c r="G8" s="27">
        <v>17115177</v>
      </c>
      <c r="H8" s="27">
        <f>17115177+199749</f>
        <v>17314926</v>
      </c>
      <c r="I8" s="27">
        <f>17115177+199749+151240+288750+211312-1074019-437500+87500</f>
        <v>16542209</v>
      </c>
    </row>
    <row r="9" spans="1:9" x14ac:dyDescent="0.3">
      <c r="A9" s="453" t="s">
        <v>16</v>
      </c>
      <c r="B9" s="168" t="s">
        <v>390</v>
      </c>
      <c r="C9" s="169"/>
      <c r="D9" s="169"/>
      <c r="E9" s="169"/>
      <c r="F9" s="168" t="s">
        <v>222</v>
      </c>
      <c r="G9" s="27">
        <v>258201921</v>
      </c>
      <c r="H9" s="27">
        <v>258201921</v>
      </c>
      <c r="I9" s="27">
        <f>258201921-24000000+3175000-8636000</f>
        <v>228740921</v>
      </c>
    </row>
    <row r="10" spans="1:9" x14ac:dyDescent="0.3">
      <c r="A10" s="453" t="s">
        <v>17</v>
      </c>
      <c r="B10" s="168" t="s">
        <v>163</v>
      </c>
      <c r="C10" s="169">
        <v>161200000</v>
      </c>
      <c r="D10" s="169">
        <v>161200000</v>
      </c>
      <c r="E10" s="169">
        <f>161200000-9000000-17000000-7000000-5000000-8000000</f>
        <v>115200000</v>
      </c>
      <c r="F10" s="168" t="s">
        <v>173</v>
      </c>
      <c r="G10" s="27">
        <v>12600000</v>
      </c>
      <c r="H10" s="27">
        <v>12600000</v>
      </c>
      <c r="I10" s="27">
        <f>12600000-3175000</f>
        <v>9425000</v>
      </c>
    </row>
    <row r="11" spans="1:9" x14ac:dyDescent="0.3">
      <c r="A11" s="453" t="s">
        <v>18</v>
      </c>
      <c r="B11" s="177" t="s">
        <v>414</v>
      </c>
      <c r="C11" s="169">
        <v>145231626</v>
      </c>
      <c r="D11" s="169">
        <v>145231626</v>
      </c>
      <c r="E11" s="169">
        <f>145231626+1845716+118795-97409-21590000</f>
        <v>125508728</v>
      </c>
      <c r="F11" s="168" t="s">
        <v>174</v>
      </c>
      <c r="G11" s="27">
        <f>1100000+132997509+41080000</f>
        <v>175177509</v>
      </c>
      <c r="H11" s="27">
        <f>1100000+132997509+41080000-2405513+900000</f>
        <v>173671996</v>
      </c>
      <c r="I11" s="27">
        <f>1100000+132997509+41080000-2405513+900000-5489166-800000-200000-300000-4900000</f>
        <v>161982830</v>
      </c>
    </row>
    <row r="12" spans="1:9" x14ac:dyDescent="0.3">
      <c r="A12" s="453" t="s">
        <v>19</v>
      </c>
      <c r="B12" s="168" t="s">
        <v>371</v>
      </c>
      <c r="C12" s="626"/>
      <c r="D12" s="626"/>
      <c r="E12" s="626"/>
      <c r="F12" s="168" t="s">
        <v>45</v>
      </c>
      <c r="G12" s="27">
        <v>251870536</v>
      </c>
      <c r="H12" s="27">
        <f>251870536+2405513+558238+2291474+189566+145744+9701500-3379392+3151165-496521+277527-626058+2467033-900000</f>
        <v>267656325</v>
      </c>
      <c r="I12" s="27">
        <f>251870536+2405513+558238+2291474+189566+145744+9701500-3379392+3151165-496521+277527-626058+2467033-900000-163673+243701+215307+632000+15544420+8544974+5489166-9000000-21207500+75000+379473+284369+1845716-1660660+118795-319194-387750-283762+4791269-3748146-1055268-97409-1524000+1270000+800000+200000+300000+4900000+4572000+254000+3124200+4572000-13000000-770900-100893-355600+750000-87500</f>
        <v>272800460</v>
      </c>
    </row>
    <row r="13" spans="1:9" x14ac:dyDescent="0.3">
      <c r="A13" s="453" t="s">
        <v>20</v>
      </c>
      <c r="B13" s="168" t="s">
        <v>476</v>
      </c>
      <c r="C13" s="169"/>
      <c r="D13" s="169"/>
      <c r="E13" s="169"/>
      <c r="F13" s="170"/>
      <c r="G13" s="27"/>
      <c r="H13" s="27"/>
      <c r="I13" s="27"/>
    </row>
    <row r="14" spans="1:9" x14ac:dyDescent="0.3">
      <c r="A14" s="453" t="s">
        <v>21</v>
      </c>
      <c r="B14" s="168"/>
      <c r="C14" s="626"/>
      <c r="D14" s="626"/>
      <c r="E14" s="626"/>
      <c r="F14" s="168"/>
      <c r="G14" s="27"/>
      <c r="H14" s="27"/>
      <c r="I14" s="27"/>
    </row>
    <row r="15" spans="1:9" x14ac:dyDescent="0.3">
      <c r="A15" s="453" t="s">
        <v>22</v>
      </c>
      <c r="B15" s="168"/>
      <c r="C15" s="626"/>
      <c r="D15" s="626"/>
      <c r="E15" s="626"/>
      <c r="F15" s="168"/>
      <c r="G15" s="27"/>
      <c r="H15" s="27"/>
      <c r="I15" s="27"/>
    </row>
    <row r="16" spans="1:9" ht="17.25" customHeight="1" x14ac:dyDescent="0.3">
      <c r="A16" s="453" t="s">
        <v>23</v>
      </c>
      <c r="B16" s="168"/>
      <c r="C16" s="626"/>
      <c r="D16" s="626"/>
      <c r="E16" s="626"/>
      <c r="F16" s="168"/>
      <c r="G16" s="27"/>
      <c r="H16" s="27"/>
      <c r="I16" s="27"/>
    </row>
    <row r="17" spans="1:9" ht="15" customHeight="1" x14ac:dyDescent="0.3">
      <c r="A17" s="453" t="s">
        <v>24</v>
      </c>
      <c r="B17" s="168"/>
      <c r="C17" s="626"/>
      <c r="D17" s="626"/>
      <c r="E17" s="626"/>
      <c r="F17" s="168"/>
      <c r="G17" s="27"/>
      <c r="H17" s="27"/>
      <c r="I17" s="27"/>
    </row>
    <row r="18" spans="1:9" ht="15" customHeight="1" thickBot="1" x14ac:dyDescent="0.35">
      <c r="A18" s="453" t="s">
        <v>25</v>
      </c>
      <c r="B18" s="168"/>
      <c r="C18" s="626"/>
      <c r="D18" s="626"/>
      <c r="E18" s="626"/>
      <c r="F18" s="168"/>
      <c r="G18" s="27"/>
      <c r="H18" s="27"/>
      <c r="I18" s="27"/>
    </row>
    <row r="19" spans="1:9" ht="26.5" thickBot="1" x14ac:dyDescent="0.35">
      <c r="A19" s="173" t="s">
        <v>26</v>
      </c>
      <c r="B19" s="174" t="s">
        <v>477</v>
      </c>
      <c r="C19" s="628">
        <f>SUM(C7:C18)</f>
        <v>622297802</v>
      </c>
      <c r="D19" s="628">
        <f>SUM(D7:D18)</f>
        <v>631218815</v>
      </c>
      <c r="E19" s="628">
        <f>SUM(E7:E18)</f>
        <v>544299832</v>
      </c>
      <c r="F19" s="174" t="s">
        <v>377</v>
      </c>
      <c r="G19" s="629">
        <f>SUM(G7:G18)</f>
        <v>803597961</v>
      </c>
      <c r="H19" s="629">
        <f>SUM(H7:H18)</f>
        <v>820360826</v>
      </c>
      <c r="I19" s="629">
        <f>SUM(I7:I18)</f>
        <v>779275764</v>
      </c>
    </row>
    <row r="20" spans="1:9" ht="26" x14ac:dyDescent="0.3">
      <c r="A20" s="454" t="s">
        <v>27</v>
      </c>
      <c r="B20" s="172" t="s">
        <v>374</v>
      </c>
      <c r="C20" s="632">
        <f>+C21+C22+C23+C24</f>
        <v>382596849</v>
      </c>
      <c r="D20" s="632">
        <f>+D21+D22+D23+D24</f>
        <v>373675836</v>
      </c>
      <c r="E20" s="632">
        <f>+E21+E22+E23+E24</f>
        <v>409959574</v>
      </c>
      <c r="F20" s="168" t="s">
        <v>180</v>
      </c>
      <c r="G20" s="627"/>
      <c r="H20" s="627"/>
      <c r="I20" s="627"/>
    </row>
    <row r="21" spans="1:9" ht="26" x14ac:dyDescent="0.3">
      <c r="A21" s="453" t="s">
        <v>28</v>
      </c>
      <c r="B21" s="168" t="s">
        <v>215</v>
      </c>
      <c r="C21" s="169">
        <f>G31-C19-C29</f>
        <v>382596849</v>
      </c>
      <c r="D21" s="169">
        <f>G31-D19-D29</f>
        <v>373675836</v>
      </c>
      <c r="E21" s="169">
        <f>I31-E19-E29</f>
        <v>409959574</v>
      </c>
      <c r="F21" s="168" t="s">
        <v>376</v>
      </c>
      <c r="G21" s="27"/>
      <c r="H21" s="27"/>
      <c r="I21" s="27"/>
    </row>
    <row r="22" spans="1:9" ht="26" x14ac:dyDescent="0.3">
      <c r="A22" s="453" t="s">
        <v>29</v>
      </c>
      <c r="B22" s="168" t="s">
        <v>216</v>
      </c>
      <c r="C22" s="169"/>
      <c r="D22" s="169"/>
      <c r="E22" s="169"/>
      <c r="F22" s="168" t="s">
        <v>145</v>
      </c>
      <c r="G22" s="27"/>
      <c r="H22" s="27"/>
      <c r="I22" s="27"/>
    </row>
    <row r="23" spans="1:9" ht="26" x14ac:dyDescent="0.3">
      <c r="A23" s="453" t="s">
        <v>30</v>
      </c>
      <c r="B23" s="168" t="s">
        <v>220</v>
      </c>
      <c r="C23" s="169"/>
      <c r="D23" s="169"/>
      <c r="E23" s="169"/>
      <c r="F23" s="168" t="s">
        <v>146</v>
      </c>
      <c r="G23" s="27"/>
      <c r="H23" s="27"/>
      <c r="I23" s="27"/>
    </row>
    <row r="24" spans="1:9" ht="26" x14ac:dyDescent="0.3">
      <c r="A24" s="453" t="s">
        <v>31</v>
      </c>
      <c r="B24" s="168" t="s">
        <v>221</v>
      </c>
      <c r="C24" s="169"/>
      <c r="D24" s="169"/>
      <c r="E24" s="169"/>
      <c r="F24" s="172" t="s">
        <v>223</v>
      </c>
      <c r="G24" s="27"/>
      <c r="H24" s="27"/>
      <c r="I24" s="27"/>
    </row>
    <row r="25" spans="1:9" ht="26" x14ac:dyDescent="0.3">
      <c r="A25" s="453" t="s">
        <v>32</v>
      </c>
      <c r="B25" s="168" t="s">
        <v>375</v>
      </c>
      <c r="C25" s="630">
        <f>C26+C27</f>
        <v>0</v>
      </c>
      <c r="D25" s="630">
        <f>D26+D27</f>
        <v>0</v>
      </c>
      <c r="E25" s="630">
        <f>E26+E27</f>
        <v>0</v>
      </c>
      <c r="F25" s="168" t="s">
        <v>181</v>
      </c>
      <c r="G25" s="27"/>
      <c r="H25" s="27"/>
      <c r="I25" s="27"/>
    </row>
    <row r="26" spans="1:9" ht="26" x14ac:dyDescent="0.3">
      <c r="A26" s="454" t="s">
        <v>33</v>
      </c>
      <c r="B26" s="172" t="s">
        <v>372</v>
      </c>
      <c r="C26" s="633"/>
      <c r="D26" s="633"/>
      <c r="E26" s="633"/>
      <c r="F26" s="167" t="s">
        <v>459</v>
      </c>
      <c r="G26" s="627"/>
      <c r="H26" s="627"/>
      <c r="I26" s="627"/>
    </row>
    <row r="27" spans="1:9" ht="26" x14ac:dyDescent="0.3">
      <c r="A27" s="453" t="s">
        <v>34</v>
      </c>
      <c r="B27" s="168" t="s">
        <v>373</v>
      </c>
      <c r="C27" s="169"/>
      <c r="D27" s="169"/>
      <c r="E27" s="169"/>
      <c r="F27" s="168" t="s">
        <v>465</v>
      </c>
      <c r="G27" s="27"/>
      <c r="H27" s="27"/>
      <c r="I27" s="27"/>
    </row>
    <row r="28" spans="1:9" ht="26" x14ac:dyDescent="0.3">
      <c r="A28" s="453" t="s">
        <v>35</v>
      </c>
      <c r="B28" s="168" t="s">
        <v>470</v>
      </c>
      <c r="C28" s="169"/>
      <c r="D28" s="169"/>
      <c r="E28" s="169"/>
      <c r="F28" s="168" t="s">
        <v>575</v>
      </c>
      <c r="G28" s="27">
        <v>9609391</v>
      </c>
      <c r="H28" s="27">
        <v>9609391</v>
      </c>
      <c r="I28" s="27">
        <f>9609391-429499+206682</f>
        <v>9386574</v>
      </c>
    </row>
    <row r="29" spans="1:9" ht="26.5" thickBot="1" x14ac:dyDescent="0.35">
      <c r="A29" s="454" t="s">
        <v>36</v>
      </c>
      <c r="B29" s="172" t="s">
        <v>318</v>
      </c>
      <c r="C29" s="633">
        <v>429499</v>
      </c>
      <c r="D29" s="633">
        <v>429499</v>
      </c>
      <c r="E29" s="633">
        <f>429499-429499+206682</f>
        <v>206682</v>
      </c>
      <c r="F29" s="171" t="s">
        <v>540</v>
      </c>
      <c r="G29" s="627">
        <v>192116798</v>
      </c>
      <c r="H29" s="627">
        <f>192116798-558238-2291474+626058</f>
        <v>189893144</v>
      </c>
      <c r="I29" s="627">
        <f>192116798-558238-2291474+626058-15544420-8544974</f>
        <v>165803750</v>
      </c>
    </row>
    <row r="30" spans="1:9" ht="26.5" thickBot="1" x14ac:dyDescent="0.35">
      <c r="A30" s="173" t="s">
        <v>37</v>
      </c>
      <c r="B30" s="174" t="s">
        <v>478</v>
      </c>
      <c r="C30" s="628">
        <f>+C20+C25+C28+C29</f>
        <v>383026348</v>
      </c>
      <c r="D30" s="628">
        <f>+D20+D25+D28+D29</f>
        <v>374105335</v>
      </c>
      <c r="E30" s="628">
        <f>+E20+E25+E28+E29</f>
        <v>410166256</v>
      </c>
      <c r="F30" s="174" t="s">
        <v>480</v>
      </c>
      <c r="G30" s="629">
        <f>SUM(G20:G29)</f>
        <v>201726189</v>
      </c>
      <c r="H30" s="629">
        <f>SUM(H20:H29)</f>
        <v>199502535</v>
      </c>
      <c r="I30" s="629">
        <f>SUM(I20:I29)</f>
        <v>175190324</v>
      </c>
    </row>
    <row r="31" spans="1:9" ht="26.5" thickBot="1" x14ac:dyDescent="0.35">
      <c r="A31" s="173" t="s">
        <v>38</v>
      </c>
      <c r="B31" s="175" t="s">
        <v>479</v>
      </c>
      <c r="C31" s="631">
        <f>+C19+C30</f>
        <v>1005324150</v>
      </c>
      <c r="D31" s="631">
        <f>+D19+D30</f>
        <v>1005324150</v>
      </c>
      <c r="E31" s="631">
        <f>+E19+E30</f>
        <v>954466088</v>
      </c>
      <c r="F31" s="175" t="s">
        <v>481</v>
      </c>
      <c r="G31" s="631">
        <f>+G19+G30</f>
        <v>1005324150</v>
      </c>
      <c r="H31" s="631">
        <f>+H19+H30</f>
        <v>1019863361</v>
      </c>
      <c r="I31" s="631">
        <f>+I19+I30</f>
        <v>954466088</v>
      </c>
    </row>
    <row r="32" spans="1:9" ht="26.5" thickBot="1" x14ac:dyDescent="0.35">
      <c r="A32" s="173" t="s">
        <v>39</v>
      </c>
      <c r="B32" s="175" t="s">
        <v>158</v>
      </c>
      <c r="C32" s="631"/>
      <c r="D32" s="631"/>
      <c r="E32" s="631"/>
      <c r="F32" s="175" t="s">
        <v>159</v>
      </c>
      <c r="G32" s="631"/>
      <c r="H32" s="631"/>
      <c r="I32" s="631"/>
    </row>
    <row r="33" spans="1:9" ht="26.5" thickBot="1" x14ac:dyDescent="0.35">
      <c r="A33" s="173" t="s">
        <v>40</v>
      </c>
      <c r="B33" s="175" t="s">
        <v>224</v>
      </c>
      <c r="C33" s="631"/>
      <c r="D33" s="631"/>
      <c r="E33" s="631"/>
      <c r="F33" s="175" t="s">
        <v>225</v>
      </c>
      <c r="G33" s="631"/>
      <c r="H33" s="631"/>
      <c r="I33" s="631"/>
    </row>
  </sheetData>
  <mergeCells count="1">
    <mergeCell ref="A4:A5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rgb="FFFFFF00"/>
  </sheetPr>
  <dimension ref="A1:I34"/>
  <sheetViews>
    <sheetView view="pageLayout" zoomScaleNormal="100" zoomScaleSheetLayoutView="115" workbookViewId="0">
      <selection activeCell="I8" sqref="I8"/>
    </sheetView>
  </sheetViews>
  <sheetFormatPr defaultColWidth="9.296875" defaultRowHeight="15.5" x14ac:dyDescent="0.3"/>
  <cols>
    <col min="1" max="1" width="4.796875" style="666" bestFit="1" customWidth="1"/>
    <col min="2" max="2" width="43.19921875" style="669" bestFit="1" customWidth="1"/>
    <col min="3" max="5" width="15.296875" style="666" bestFit="1" customWidth="1"/>
    <col min="6" max="6" width="55.69921875" style="666" bestFit="1" customWidth="1"/>
    <col min="7" max="9" width="14.5" style="666" bestFit="1" customWidth="1"/>
    <col min="10" max="16384" width="9.296875" style="666"/>
  </cols>
  <sheetData>
    <row r="1" spans="1:9" ht="31" x14ac:dyDescent="0.3">
      <c r="B1" s="666" t="s">
        <v>535</v>
      </c>
      <c r="F1" s="667" t="s">
        <v>720</v>
      </c>
      <c r="G1" s="667"/>
      <c r="H1" s="667"/>
      <c r="I1" s="667"/>
    </row>
    <row r="2" spans="1:9" ht="30" x14ac:dyDescent="0.3">
      <c r="B2" s="160" t="s">
        <v>148</v>
      </c>
      <c r="C2" s="668"/>
      <c r="D2" s="668"/>
      <c r="E2" s="668"/>
      <c r="F2" s="668"/>
      <c r="G2" s="668"/>
      <c r="H2" s="668"/>
      <c r="I2" s="668"/>
    </row>
    <row r="3" spans="1:9" ht="16" thickBot="1" x14ac:dyDescent="0.35">
      <c r="G3" s="670" t="s">
        <v>579</v>
      </c>
      <c r="H3" s="670" t="s">
        <v>579</v>
      </c>
      <c r="I3" s="670" t="s">
        <v>579</v>
      </c>
    </row>
    <row r="4" spans="1:9" ht="16" thickBot="1" x14ac:dyDescent="0.35">
      <c r="A4" s="906" t="s">
        <v>64</v>
      </c>
      <c r="B4" s="671" t="s">
        <v>51</v>
      </c>
      <c r="C4" s="672"/>
      <c r="D4" s="672"/>
      <c r="E4" s="672"/>
      <c r="F4" s="671" t="s">
        <v>52</v>
      </c>
      <c r="G4" s="673"/>
      <c r="H4" s="673"/>
      <c r="I4" s="673"/>
    </row>
    <row r="5" spans="1:9" s="655" customFormat="1" ht="45.5" thickBot="1" x14ac:dyDescent="0.35">
      <c r="A5" s="907"/>
      <c r="B5" s="674" t="s">
        <v>56</v>
      </c>
      <c r="C5" s="675" t="s">
        <v>640</v>
      </c>
      <c r="D5" s="675" t="s">
        <v>724</v>
      </c>
      <c r="E5" s="675" t="s">
        <v>724</v>
      </c>
      <c r="F5" s="674" t="s">
        <v>56</v>
      </c>
      <c r="G5" s="675" t="s">
        <v>640</v>
      </c>
      <c r="H5" s="675" t="s">
        <v>724</v>
      </c>
      <c r="I5" s="654" t="s">
        <v>730</v>
      </c>
    </row>
    <row r="6" spans="1:9" s="655" customFormat="1" thickBot="1" x14ac:dyDescent="0.35">
      <c r="A6" s="676" t="s">
        <v>482</v>
      </c>
      <c r="B6" s="674" t="s">
        <v>483</v>
      </c>
      <c r="C6" s="677" t="s">
        <v>484</v>
      </c>
      <c r="D6" s="677" t="s">
        <v>484</v>
      </c>
      <c r="E6" s="677" t="s">
        <v>484</v>
      </c>
      <c r="F6" s="674" t="s">
        <v>486</v>
      </c>
      <c r="G6" s="678" t="s">
        <v>485</v>
      </c>
      <c r="H6" s="678" t="s">
        <v>485</v>
      </c>
      <c r="I6" s="678" t="s">
        <v>485</v>
      </c>
    </row>
    <row r="7" spans="1:9" ht="31" x14ac:dyDescent="0.3">
      <c r="A7" s="679" t="s">
        <v>14</v>
      </c>
      <c r="B7" s="680" t="s">
        <v>378</v>
      </c>
      <c r="C7" s="681">
        <v>62734377</v>
      </c>
      <c r="D7" s="681">
        <v>62734377</v>
      </c>
      <c r="E7" s="681">
        <f>62734377-163673</f>
        <v>62570704</v>
      </c>
      <c r="F7" s="680" t="s">
        <v>217</v>
      </c>
      <c r="G7" s="682">
        <v>366997728</v>
      </c>
      <c r="H7" s="682">
        <v>366997728</v>
      </c>
      <c r="I7" s="682">
        <f>366997728+70000+18900+298350-298350+1524000-1270000-3124200-4572000-9245600+762000+333248</f>
        <v>351494076</v>
      </c>
    </row>
    <row r="8" spans="1:9" x14ac:dyDescent="0.3">
      <c r="A8" s="683" t="s">
        <v>15</v>
      </c>
      <c r="B8" s="684" t="s">
        <v>379</v>
      </c>
      <c r="C8" s="685"/>
      <c r="D8" s="685"/>
      <c r="E8" s="685"/>
      <c r="F8" s="684" t="s">
        <v>383</v>
      </c>
      <c r="G8" s="686"/>
      <c r="H8" s="686"/>
      <c r="I8" s="686"/>
    </row>
    <row r="9" spans="1:9" x14ac:dyDescent="0.3">
      <c r="A9" s="683" t="s">
        <v>16</v>
      </c>
      <c r="B9" s="684" t="s">
        <v>8</v>
      </c>
      <c r="C9" s="685"/>
      <c r="D9" s="685">
        <f>3151165</f>
        <v>3151165</v>
      </c>
      <c r="E9" s="685">
        <f>3151165+750000</f>
        <v>3901165</v>
      </c>
      <c r="F9" s="684" t="s">
        <v>176</v>
      </c>
      <c r="G9" s="686">
        <v>13639800</v>
      </c>
      <c r="H9" s="686">
        <v>13639800</v>
      </c>
      <c r="I9" s="686">
        <f>13639800-70000-18900-4572000-254000-406400</f>
        <v>8318500</v>
      </c>
    </row>
    <row r="10" spans="1:9" x14ac:dyDescent="0.3">
      <c r="A10" s="683" t="s">
        <v>17</v>
      </c>
      <c r="B10" s="684" t="s">
        <v>522</v>
      </c>
      <c r="C10" s="685">
        <v>500000</v>
      </c>
      <c r="D10" s="685">
        <v>500000</v>
      </c>
      <c r="E10" s="685">
        <f>500000+333248</f>
        <v>833248</v>
      </c>
      <c r="F10" s="684" t="s">
        <v>384</v>
      </c>
      <c r="G10" s="686"/>
      <c r="H10" s="686"/>
      <c r="I10" s="686"/>
    </row>
    <row r="11" spans="1:9" x14ac:dyDescent="0.3">
      <c r="A11" s="683" t="s">
        <v>18</v>
      </c>
      <c r="B11" s="684" t="s">
        <v>380</v>
      </c>
      <c r="C11" s="685"/>
      <c r="D11" s="685"/>
      <c r="E11" s="685"/>
      <c r="F11" s="684" t="s">
        <v>219</v>
      </c>
      <c r="G11" s="686"/>
      <c r="H11" s="686"/>
      <c r="I11" s="686"/>
    </row>
    <row r="12" spans="1:9" x14ac:dyDescent="0.3">
      <c r="A12" s="683" t="s">
        <v>19</v>
      </c>
      <c r="B12" s="684" t="s">
        <v>381</v>
      </c>
      <c r="C12" s="687"/>
      <c r="D12" s="687"/>
      <c r="E12" s="687"/>
      <c r="F12" s="688"/>
      <c r="G12" s="686"/>
      <c r="H12" s="686"/>
      <c r="I12" s="686"/>
    </row>
    <row r="13" spans="1:9" x14ac:dyDescent="0.3">
      <c r="A13" s="683" t="s">
        <v>20</v>
      </c>
      <c r="B13" s="689"/>
      <c r="C13" s="685"/>
      <c r="D13" s="685"/>
      <c r="E13" s="685"/>
      <c r="F13" s="688"/>
      <c r="G13" s="686"/>
      <c r="H13" s="686"/>
      <c r="I13" s="686"/>
    </row>
    <row r="14" spans="1:9" x14ac:dyDescent="0.3">
      <c r="A14" s="683" t="s">
        <v>21</v>
      </c>
      <c r="B14" s="689"/>
      <c r="C14" s="685"/>
      <c r="D14" s="685"/>
      <c r="E14" s="685"/>
      <c r="F14" s="688"/>
      <c r="G14" s="686"/>
      <c r="H14" s="686"/>
      <c r="I14" s="686"/>
    </row>
    <row r="15" spans="1:9" x14ac:dyDescent="0.3">
      <c r="A15" s="683" t="s">
        <v>22</v>
      </c>
      <c r="B15" s="690"/>
      <c r="C15" s="687"/>
      <c r="D15" s="687"/>
      <c r="E15" s="687"/>
      <c r="F15" s="688"/>
      <c r="G15" s="686"/>
      <c r="H15" s="686"/>
      <c r="I15" s="686"/>
    </row>
    <row r="16" spans="1:9" ht="31" x14ac:dyDescent="0.3">
      <c r="A16" s="683" t="s">
        <v>23</v>
      </c>
      <c r="B16" s="689"/>
      <c r="C16" s="687"/>
      <c r="D16" s="687"/>
      <c r="E16" s="687"/>
      <c r="F16" s="688"/>
      <c r="G16" s="686"/>
      <c r="H16" s="686"/>
      <c r="I16" s="686"/>
    </row>
    <row r="17" spans="1:9" ht="31.5" thickBot="1" x14ac:dyDescent="0.35">
      <c r="A17" s="691" t="s">
        <v>24</v>
      </c>
      <c r="B17" s="692"/>
      <c r="C17" s="693"/>
      <c r="D17" s="693"/>
      <c r="E17" s="693"/>
      <c r="F17" s="694" t="s">
        <v>45</v>
      </c>
      <c r="G17" s="695"/>
      <c r="H17" s="695"/>
      <c r="I17" s="695"/>
    </row>
    <row r="18" spans="1:9" ht="30.5" thickBot="1" x14ac:dyDescent="0.35">
      <c r="A18" s="696" t="s">
        <v>25</v>
      </c>
      <c r="B18" s="697" t="s">
        <v>391</v>
      </c>
      <c r="C18" s="698">
        <f>+C7+C9+C10+C12+C13+C14+C15+C16+C17</f>
        <v>63234377</v>
      </c>
      <c r="D18" s="698">
        <f>+D7+D9+D10+D12+D13+D14+D15+D16+D17</f>
        <v>66385542</v>
      </c>
      <c r="E18" s="698">
        <f>+E7+E9+E10+E12+E13+E14+E15+E16+E17</f>
        <v>67305117</v>
      </c>
      <c r="F18" s="697" t="s">
        <v>392</v>
      </c>
      <c r="G18" s="699">
        <f>+G7+G9+G11+G12+G13+G14+G15+G16+G17</f>
        <v>380637528</v>
      </c>
      <c r="H18" s="699">
        <f>+H7+H9+H11+H12+H13+H14+H15+H16+H17</f>
        <v>380637528</v>
      </c>
      <c r="I18" s="699">
        <f>+I7+I9+I11+I12+I13+I14+I15+I16+I17</f>
        <v>359812576</v>
      </c>
    </row>
    <row r="19" spans="1:9" ht="31" x14ac:dyDescent="0.3">
      <c r="A19" s="679" t="s">
        <v>26</v>
      </c>
      <c r="B19" s="700" t="s">
        <v>237</v>
      </c>
      <c r="C19" s="701">
        <f>+C20+C21+C22+C23+C24</f>
        <v>317403151</v>
      </c>
      <c r="D19" s="701">
        <f>+D20+D21+D22+D23+D24</f>
        <v>314251986</v>
      </c>
      <c r="E19" s="701">
        <f>+E20+E21+E22+E23+E24</f>
        <v>292507459</v>
      </c>
      <c r="F19" s="684" t="s">
        <v>180</v>
      </c>
      <c r="G19" s="682"/>
      <c r="H19" s="682"/>
      <c r="I19" s="682"/>
    </row>
    <row r="20" spans="1:9" ht="31" x14ac:dyDescent="0.3">
      <c r="A20" s="683" t="s">
        <v>27</v>
      </c>
      <c r="B20" s="702" t="s">
        <v>226</v>
      </c>
      <c r="C20" s="685">
        <f>G32-C18</f>
        <v>317403151</v>
      </c>
      <c r="D20" s="685">
        <f>G32-D18</f>
        <v>314251986</v>
      </c>
      <c r="E20" s="685">
        <f>I32-E18</f>
        <v>292507459</v>
      </c>
      <c r="F20" s="684" t="s">
        <v>183</v>
      </c>
      <c r="G20" s="686"/>
      <c r="H20" s="686"/>
      <c r="I20" s="686"/>
    </row>
    <row r="21" spans="1:9" ht="31" x14ac:dyDescent="0.3">
      <c r="A21" s="679" t="s">
        <v>28</v>
      </c>
      <c r="B21" s="702" t="s">
        <v>227</v>
      </c>
      <c r="C21" s="685"/>
      <c r="D21" s="685"/>
      <c r="E21" s="685"/>
      <c r="F21" s="684" t="s">
        <v>145</v>
      </c>
      <c r="G21" s="686"/>
      <c r="H21" s="686"/>
      <c r="I21" s="686"/>
    </row>
    <row r="22" spans="1:9" ht="31" x14ac:dyDescent="0.3">
      <c r="A22" s="683" t="s">
        <v>29</v>
      </c>
      <c r="B22" s="702" t="s">
        <v>228</v>
      </c>
      <c r="C22" s="685"/>
      <c r="D22" s="685"/>
      <c r="E22" s="685"/>
      <c r="F22" s="684" t="s">
        <v>146</v>
      </c>
      <c r="G22" s="686"/>
      <c r="H22" s="686"/>
      <c r="I22" s="686"/>
    </row>
    <row r="23" spans="1:9" ht="31" x14ac:dyDescent="0.3">
      <c r="A23" s="679" t="s">
        <v>30</v>
      </c>
      <c r="B23" s="702" t="s">
        <v>229</v>
      </c>
      <c r="C23" s="685"/>
      <c r="D23" s="685"/>
      <c r="E23" s="685"/>
      <c r="F23" s="694" t="s">
        <v>223</v>
      </c>
      <c r="G23" s="686"/>
      <c r="H23" s="686"/>
      <c r="I23" s="686"/>
    </row>
    <row r="24" spans="1:9" ht="31" x14ac:dyDescent="0.3">
      <c r="A24" s="683" t="s">
        <v>31</v>
      </c>
      <c r="B24" s="703" t="s">
        <v>230</v>
      </c>
      <c r="C24" s="685"/>
      <c r="D24" s="685"/>
      <c r="E24" s="685"/>
      <c r="F24" s="684" t="s">
        <v>184</v>
      </c>
      <c r="G24" s="686"/>
      <c r="H24" s="686"/>
      <c r="I24" s="686"/>
    </row>
    <row r="25" spans="1:9" ht="31" x14ac:dyDescent="0.3">
      <c r="A25" s="679" t="s">
        <v>32</v>
      </c>
      <c r="B25" s="704" t="s">
        <v>231</v>
      </c>
      <c r="C25" s="705">
        <f>+C26+C27+C28+C29+C30</f>
        <v>0</v>
      </c>
      <c r="D25" s="705">
        <f>+D26+D27+D28+D29+D30</f>
        <v>0</v>
      </c>
      <c r="E25" s="705">
        <f>+E26+E27+E28+E29+E30</f>
        <v>0</v>
      </c>
      <c r="F25" s="680" t="s">
        <v>182</v>
      </c>
      <c r="G25" s="686"/>
      <c r="H25" s="686"/>
      <c r="I25" s="686"/>
    </row>
    <row r="26" spans="1:9" ht="31" x14ac:dyDescent="0.3">
      <c r="A26" s="683" t="s">
        <v>33</v>
      </c>
      <c r="B26" s="703" t="s">
        <v>232</v>
      </c>
      <c r="C26" s="685"/>
      <c r="D26" s="685"/>
      <c r="E26" s="685"/>
      <c r="F26" s="680" t="s">
        <v>385</v>
      </c>
      <c r="G26" s="686"/>
      <c r="H26" s="686"/>
      <c r="I26" s="686"/>
    </row>
    <row r="27" spans="1:9" ht="31" x14ac:dyDescent="0.3">
      <c r="A27" s="679" t="s">
        <v>34</v>
      </c>
      <c r="B27" s="703" t="s">
        <v>233</v>
      </c>
      <c r="C27" s="685"/>
      <c r="D27" s="685"/>
      <c r="E27" s="685"/>
      <c r="F27" s="706"/>
      <c r="G27" s="686"/>
      <c r="H27" s="686"/>
      <c r="I27" s="686"/>
    </row>
    <row r="28" spans="1:9" ht="31" x14ac:dyDescent="0.3">
      <c r="A28" s="683" t="s">
        <v>35</v>
      </c>
      <c r="B28" s="702" t="s">
        <v>234</v>
      </c>
      <c r="C28" s="685"/>
      <c r="D28" s="685"/>
      <c r="E28" s="685"/>
      <c r="F28" s="706"/>
      <c r="G28" s="686"/>
      <c r="H28" s="686"/>
      <c r="I28" s="686"/>
    </row>
    <row r="29" spans="1:9" ht="31" x14ac:dyDescent="0.3">
      <c r="A29" s="679" t="s">
        <v>36</v>
      </c>
      <c r="B29" s="707" t="s">
        <v>235</v>
      </c>
      <c r="C29" s="685"/>
      <c r="D29" s="685"/>
      <c r="E29" s="685"/>
      <c r="F29" s="689"/>
      <c r="G29" s="686"/>
      <c r="H29" s="686"/>
      <c r="I29" s="686"/>
    </row>
    <row r="30" spans="1:9" ht="31.5" thickBot="1" x14ac:dyDescent="0.35">
      <c r="A30" s="683" t="s">
        <v>37</v>
      </c>
      <c r="B30" s="708" t="s">
        <v>236</v>
      </c>
      <c r="C30" s="685"/>
      <c r="D30" s="685"/>
      <c r="E30" s="685"/>
      <c r="F30" s="706"/>
      <c r="G30" s="686"/>
      <c r="H30" s="686"/>
      <c r="I30" s="686"/>
    </row>
    <row r="31" spans="1:9" ht="30.5" thickBot="1" x14ac:dyDescent="0.35">
      <c r="A31" s="696" t="s">
        <v>38</v>
      </c>
      <c r="B31" s="697" t="s">
        <v>382</v>
      </c>
      <c r="C31" s="698">
        <f>+C19+C25</f>
        <v>317403151</v>
      </c>
      <c r="D31" s="698">
        <f>+D19+D25</f>
        <v>314251986</v>
      </c>
      <c r="E31" s="698">
        <f>+E19+E25</f>
        <v>292507459</v>
      </c>
      <c r="F31" s="697" t="s">
        <v>386</v>
      </c>
      <c r="G31" s="699">
        <f>SUM(G19:G30)</f>
        <v>0</v>
      </c>
      <c r="H31" s="699">
        <f>SUM(H19:H30)</f>
        <v>0</v>
      </c>
      <c r="I31" s="699">
        <f>SUM(I19:I30)</f>
        <v>0</v>
      </c>
    </row>
    <row r="32" spans="1:9" ht="30.5" thickBot="1" x14ac:dyDescent="0.35">
      <c r="A32" s="696" t="s">
        <v>39</v>
      </c>
      <c r="B32" s="697" t="s">
        <v>387</v>
      </c>
      <c r="C32" s="709">
        <f>C18+C31</f>
        <v>380637528</v>
      </c>
      <c r="D32" s="709">
        <f>D18+D31</f>
        <v>380637528</v>
      </c>
      <c r="E32" s="709">
        <f>E18+E31</f>
        <v>359812576</v>
      </c>
      <c r="F32" s="697" t="s">
        <v>388</v>
      </c>
      <c r="G32" s="709">
        <f>G18+G31</f>
        <v>380637528</v>
      </c>
      <c r="H32" s="709">
        <f>H18+H31</f>
        <v>380637528</v>
      </c>
      <c r="I32" s="709">
        <f>I18+I31</f>
        <v>359812576</v>
      </c>
    </row>
    <row r="33" spans="1:9" ht="30.5" thickBot="1" x14ac:dyDescent="0.35">
      <c r="A33" s="696" t="s">
        <v>40</v>
      </c>
      <c r="B33" s="697" t="s">
        <v>158</v>
      </c>
      <c r="C33" s="709"/>
      <c r="D33" s="709"/>
      <c r="E33" s="709"/>
      <c r="F33" s="697" t="s">
        <v>159</v>
      </c>
      <c r="G33" s="709"/>
      <c r="H33" s="709"/>
      <c r="I33" s="709"/>
    </row>
    <row r="34" spans="1:9" ht="30.5" thickBot="1" x14ac:dyDescent="0.35">
      <c r="A34" s="696" t="s">
        <v>41</v>
      </c>
      <c r="B34" s="697" t="s">
        <v>224</v>
      </c>
      <c r="C34" s="709"/>
      <c r="D34" s="709"/>
      <c r="E34" s="709"/>
      <c r="F34" s="697" t="s">
        <v>225</v>
      </c>
      <c r="G34" s="709"/>
      <c r="H34" s="709"/>
      <c r="I34" s="709"/>
    </row>
  </sheetData>
  <mergeCells count="1">
    <mergeCell ref="A4:A5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5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>
    <tabColor rgb="FFFFFF00"/>
  </sheetPr>
  <dimension ref="A1:G11"/>
  <sheetViews>
    <sheetView zoomScale="120" zoomScaleNormal="120" workbookViewId="0">
      <selection activeCell="F39" sqref="F39"/>
    </sheetView>
  </sheetViews>
  <sheetFormatPr defaultColWidth="9.296875" defaultRowHeight="14" x14ac:dyDescent="0.3"/>
  <cols>
    <col min="1" max="1" width="5.19921875" style="116" bestFit="1" customWidth="1"/>
    <col min="2" max="2" width="28.796875" style="116" bestFit="1" customWidth="1"/>
    <col min="3" max="6" width="16.296875" style="116" bestFit="1" customWidth="1"/>
    <col min="7" max="16384" width="9.296875" style="116"/>
  </cols>
  <sheetData>
    <row r="1" spans="1:7" ht="33" customHeight="1" x14ac:dyDescent="0.3">
      <c r="A1" s="908" t="s">
        <v>538</v>
      </c>
      <c r="B1" s="908"/>
      <c r="C1" s="908"/>
      <c r="D1" s="908"/>
      <c r="E1" s="908"/>
      <c r="F1" s="908"/>
    </row>
    <row r="2" spans="1:7" ht="16" customHeight="1" thickBot="1" x14ac:dyDescent="0.35">
      <c r="A2" s="117"/>
      <c r="B2" s="117"/>
      <c r="C2" s="909"/>
      <c r="D2" s="909"/>
      <c r="E2" s="916" t="s">
        <v>579</v>
      </c>
      <c r="F2" s="916"/>
      <c r="G2" s="119"/>
    </row>
    <row r="3" spans="1:7" ht="63" customHeight="1" x14ac:dyDescent="0.3">
      <c r="A3" s="912" t="s">
        <v>12</v>
      </c>
      <c r="B3" s="914" t="s">
        <v>186</v>
      </c>
      <c r="C3" s="914" t="s">
        <v>240</v>
      </c>
      <c r="D3" s="914"/>
      <c r="E3" s="914"/>
      <c r="F3" s="910" t="s">
        <v>492</v>
      </c>
    </row>
    <row r="4" spans="1:7" ht="14.5" thickBot="1" x14ac:dyDescent="0.35">
      <c r="A4" s="913"/>
      <c r="B4" s="915"/>
      <c r="C4" s="584" t="s">
        <v>593</v>
      </c>
      <c r="D4" s="584" t="s">
        <v>626</v>
      </c>
      <c r="E4" s="584" t="s">
        <v>666</v>
      </c>
      <c r="F4" s="911"/>
    </row>
    <row r="5" spans="1:7" ht="14.5" thickBot="1" x14ac:dyDescent="0.35">
      <c r="A5" s="150" t="s">
        <v>482</v>
      </c>
      <c r="B5" s="151" t="s">
        <v>483</v>
      </c>
      <c r="C5" s="151" t="s">
        <v>484</v>
      </c>
      <c r="D5" s="151" t="s">
        <v>486</v>
      </c>
      <c r="E5" s="151" t="s">
        <v>485</v>
      </c>
      <c r="F5" s="585" t="s">
        <v>487</v>
      </c>
    </row>
    <row r="6" spans="1:7" x14ac:dyDescent="0.3">
      <c r="A6" s="152" t="s">
        <v>14</v>
      </c>
      <c r="B6" s="153" t="s">
        <v>556</v>
      </c>
      <c r="C6" s="586">
        <v>152000000</v>
      </c>
      <c r="D6" s="586">
        <v>152000000</v>
      </c>
      <c r="E6" s="586">
        <v>152000000</v>
      </c>
      <c r="F6" s="587">
        <f>SUM(C6:E6)</f>
        <v>456000000</v>
      </c>
    </row>
    <row r="7" spans="1:7" ht="26" x14ac:dyDescent="0.3">
      <c r="A7" s="154" t="s">
        <v>15</v>
      </c>
      <c r="B7" s="380" t="s">
        <v>627</v>
      </c>
      <c r="C7" s="588">
        <v>200000</v>
      </c>
      <c r="D7" s="588">
        <v>200000</v>
      </c>
      <c r="E7" s="588">
        <v>200000</v>
      </c>
      <c r="F7" s="589">
        <f>SUM(C7:E7)</f>
        <v>600000</v>
      </c>
    </row>
    <row r="8" spans="1:7" x14ac:dyDescent="0.3">
      <c r="A8" s="154" t="s">
        <v>16</v>
      </c>
      <c r="B8" s="155"/>
      <c r="C8" s="588"/>
      <c r="D8" s="588"/>
      <c r="E8" s="588"/>
      <c r="F8" s="589">
        <f>SUM(C8:E8)</f>
        <v>0</v>
      </c>
    </row>
    <row r="9" spans="1:7" x14ac:dyDescent="0.3">
      <c r="A9" s="154" t="s">
        <v>17</v>
      </c>
      <c r="B9" s="155"/>
      <c r="C9" s="588"/>
      <c r="D9" s="588"/>
      <c r="E9" s="588"/>
      <c r="F9" s="589">
        <f>SUM(C9:E9)</f>
        <v>0</v>
      </c>
    </row>
    <row r="10" spans="1:7" ht="14.5" thickBot="1" x14ac:dyDescent="0.35">
      <c r="A10" s="156" t="s">
        <v>18</v>
      </c>
      <c r="B10" s="157"/>
      <c r="C10" s="590"/>
      <c r="D10" s="590"/>
      <c r="E10" s="590"/>
      <c r="F10" s="589">
        <f>SUM(C10:E10)</f>
        <v>0</v>
      </c>
    </row>
    <row r="11" spans="1:7" s="138" customFormat="1" ht="14.5" thickBot="1" x14ac:dyDescent="0.35">
      <c r="A11" s="158" t="s">
        <v>19</v>
      </c>
      <c r="B11" s="159" t="s">
        <v>187</v>
      </c>
      <c r="C11" s="591">
        <f>SUM(C6:C10)</f>
        <v>152200000</v>
      </c>
      <c r="D11" s="591">
        <f>SUM(D6:D10)</f>
        <v>152200000</v>
      </c>
      <c r="E11" s="591">
        <f>SUM(E6:E10)</f>
        <v>152200000</v>
      </c>
      <c r="F11" s="592">
        <f>SUM(F6:F10)</f>
        <v>456600000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>
    <tabColor rgb="FFFFFF00"/>
  </sheetPr>
  <dimension ref="A1:E12"/>
  <sheetViews>
    <sheetView zoomScale="120" zoomScaleNormal="120" workbookViewId="0">
      <selection activeCell="F39" sqref="F39"/>
    </sheetView>
  </sheetViews>
  <sheetFormatPr defaultColWidth="9.296875" defaultRowHeight="14" x14ac:dyDescent="0.3"/>
  <cols>
    <col min="1" max="1" width="4.19921875" style="116" bestFit="1" customWidth="1"/>
    <col min="2" max="2" width="65.296875" style="116" bestFit="1" customWidth="1"/>
    <col min="3" max="5" width="14.69921875" style="593" bestFit="1" customWidth="1"/>
    <col min="6" max="16384" width="9.296875" style="116"/>
  </cols>
  <sheetData>
    <row r="1" spans="1:5" ht="43.5" customHeight="1" x14ac:dyDescent="0.3">
      <c r="A1" s="908" t="s">
        <v>539</v>
      </c>
      <c r="B1" s="908"/>
    </row>
    <row r="2" spans="1:5" ht="16" customHeight="1" thickBot="1" x14ac:dyDescent="0.35">
      <c r="A2" s="117"/>
      <c r="B2" s="117"/>
      <c r="C2" s="594" t="s">
        <v>579</v>
      </c>
      <c r="D2" s="594" t="s">
        <v>579</v>
      </c>
      <c r="E2" s="594" t="s">
        <v>579</v>
      </c>
    </row>
    <row r="3" spans="1:5" ht="35" thickBot="1" x14ac:dyDescent="0.35">
      <c r="A3" s="139" t="s">
        <v>12</v>
      </c>
      <c r="B3" s="140" t="s">
        <v>185</v>
      </c>
      <c r="C3" s="595" t="s">
        <v>640</v>
      </c>
      <c r="D3" s="595" t="s">
        <v>724</v>
      </c>
      <c r="E3" s="654" t="s">
        <v>730</v>
      </c>
    </row>
    <row r="4" spans="1:5" ht="14.5" thickBot="1" x14ac:dyDescent="0.35">
      <c r="A4" s="141" t="s">
        <v>482</v>
      </c>
      <c r="B4" s="142" t="s">
        <v>483</v>
      </c>
      <c r="C4" s="596" t="s">
        <v>484</v>
      </c>
      <c r="D4" s="596" t="s">
        <v>484</v>
      </c>
      <c r="E4" s="596" t="s">
        <v>484</v>
      </c>
    </row>
    <row r="5" spans="1:5" x14ac:dyDescent="0.3">
      <c r="A5" s="143" t="s">
        <v>14</v>
      </c>
      <c r="B5" s="144" t="s">
        <v>493</v>
      </c>
      <c r="C5" s="597">
        <v>152000000</v>
      </c>
      <c r="D5" s="597">
        <v>152000000</v>
      </c>
      <c r="E5" s="597">
        <v>152000000</v>
      </c>
    </row>
    <row r="6" spans="1:5" ht="23.5" x14ac:dyDescent="0.3">
      <c r="A6" s="145" t="s">
        <v>15</v>
      </c>
      <c r="B6" s="146" t="s">
        <v>238</v>
      </c>
      <c r="C6" s="598"/>
      <c r="D6" s="598"/>
      <c r="E6" s="598"/>
    </row>
    <row r="7" spans="1:5" x14ac:dyDescent="0.3">
      <c r="A7" s="145" t="s">
        <v>16</v>
      </c>
      <c r="B7" s="147" t="s">
        <v>494</v>
      </c>
      <c r="C7" s="598"/>
      <c r="D7" s="598"/>
      <c r="E7" s="598"/>
    </row>
    <row r="8" spans="1:5" ht="23.5" x14ac:dyDescent="0.3">
      <c r="A8" s="145" t="s">
        <v>17</v>
      </c>
      <c r="B8" s="147" t="s">
        <v>239</v>
      </c>
      <c r="C8" s="598"/>
      <c r="D8" s="598"/>
      <c r="E8" s="598"/>
    </row>
    <row r="9" spans="1:5" x14ac:dyDescent="0.3">
      <c r="A9" s="148" t="s">
        <v>18</v>
      </c>
      <c r="B9" s="147" t="s">
        <v>628</v>
      </c>
      <c r="C9" s="599">
        <v>200000</v>
      </c>
      <c r="D9" s="599">
        <v>200000</v>
      </c>
      <c r="E9" s="599">
        <v>200000</v>
      </c>
    </row>
    <row r="10" spans="1:5" ht="14.5" thickBot="1" x14ac:dyDescent="0.35">
      <c r="A10" s="145" t="s">
        <v>19</v>
      </c>
      <c r="B10" s="149" t="s">
        <v>495</v>
      </c>
      <c r="C10" s="598"/>
      <c r="D10" s="598"/>
      <c r="E10" s="598"/>
    </row>
    <row r="11" spans="1:5" ht="14.5" thickBot="1" x14ac:dyDescent="0.35">
      <c r="A11" s="917" t="s">
        <v>188</v>
      </c>
      <c r="B11" s="918"/>
      <c r="C11" s="600">
        <f>SUM(C5:C10)</f>
        <v>152200000</v>
      </c>
      <c r="D11" s="600">
        <f>SUM(D5:D10)</f>
        <v>152200000</v>
      </c>
      <c r="E11" s="600">
        <f>SUM(E5:E10)</f>
        <v>152200000</v>
      </c>
    </row>
    <row r="12" spans="1:5" ht="23.25" customHeight="1" x14ac:dyDescent="0.3">
      <c r="A12" s="919" t="s">
        <v>214</v>
      </c>
      <c r="B12" s="919"/>
    </row>
  </sheetData>
  <mergeCells count="3">
    <mergeCell ref="A1:B1"/>
    <mergeCell ref="A11:B11"/>
    <mergeCell ref="A12:B12"/>
  </mergeCells>
  <phoneticPr fontId="5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9">
    <tabColor rgb="FFFFFF00"/>
  </sheetPr>
  <dimension ref="A1:D8"/>
  <sheetViews>
    <sheetView zoomScale="120" zoomScaleNormal="120" workbookViewId="0">
      <selection activeCell="F39" sqref="F39"/>
    </sheetView>
  </sheetViews>
  <sheetFormatPr defaultColWidth="9.296875" defaultRowHeight="14" x14ac:dyDescent="0.3"/>
  <cols>
    <col min="1" max="1" width="4.19921875" style="116" bestFit="1" customWidth="1"/>
    <col min="2" max="2" width="59.796875" style="116" bestFit="1" customWidth="1"/>
    <col min="3" max="3" width="19" style="116" bestFit="1" customWidth="1"/>
    <col min="4" max="16384" width="9.296875" style="116"/>
  </cols>
  <sheetData>
    <row r="1" spans="1:4" ht="33" customHeight="1" x14ac:dyDescent="0.3">
      <c r="A1" s="908" t="s">
        <v>665</v>
      </c>
      <c r="B1" s="908"/>
      <c r="C1" s="908"/>
    </row>
    <row r="2" spans="1:4" ht="16" customHeight="1" thickBot="1" x14ac:dyDescent="0.35">
      <c r="A2" s="117"/>
      <c r="B2" s="117"/>
      <c r="C2" s="118" t="s">
        <v>579</v>
      </c>
      <c r="D2" s="119"/>
    </row>
    <row r="3" spans="1:4" ht="26.25" customHeight="1" thickBot="1" x14ac:dyDescent="0.35">
      <c r="A3" s="120" t="s">
        <v>12</v>
      </c>
      <c r="B3" s="121" t="s">
        <v>189</v>
      </c>
      <c r="C3" s="122" t="s">
        <v>213</v>
      </c>
    </row>
    <row r="4" spans="1:4" ht="14.5" thickBot="1" x14ac:dyDescent="0.35">
      <c r="A4" s="123" t="s">
        <v>482</v>
      </c>
      <c r="B4" s="124" t="s">
        <v>483</v>
      </c>
      <c r="C4" s="125" t="s">
        <v>484</v>
      </c>
    </row>
    <row r="5" spans="1:4" x14ac:dyDescent="0.3">
      <c r="A5" s="126" t="s">
        <v>14</v>
      </c>
      <c r="B5" s="127"/>
      <c r="C5" s="128"/>
    </row>
    <row r="6" spans="1:4" x14ac:dyDescent="0.3">
      <c r="A6" s="129" t="s">
        <v>15</v>
      </c>
      <c r="B6" s="130"/>
      <c r="C6" s="131"/>
    </row>
    <row r="7" spans="1:4" ht="14.5" thickBot="1" x14ac:dyDescent="0.35">
      <c r="A7" s="132" t="s">
        <v>16</v>
      </c>
      <c r="B7" s="133"/>
      <c r="C7" s="134"/>
    </row>
    <row r="8" spans="1:4" s="138" customFormat="1" ht="17.25" customHeight="1" thickBot="1" x14ac:dyDescent="0.35">
      <c r="A8" s="135" t="s">
        <v>17</v>
      </c>
      <c r="B8" s="136" t="s">
        <v>190</v>
      </c>
      <c r="C8" s="137">
        <f>SUM(C5:C7)</f>
        <v>0</v>
      </c>
    </row>
  </sheetData>
  <mergeCells count="1">
    <mergeCell ref="A1:C1"/>
  </mergeCells>
  <phoneticPr fontId="5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23</vt:i4>
      </vt:variant>
    </vt:vector>
  </HeadingPairs>
  <TitlesOfParts>
    <vt:vector size="57" baseType="lpstr">
      <vt:lpstr>1.1.sz.mell.</vt:lpstr>
      <vt:lpstr>1.2.sz.mell.</vt:lpstr>
      <vt:lpstr>1.3.sz.mell.</vt:lpstr>
      <vt:lpstr>1.4.sz.mell.</vt:lpstr>
      <vt:lpstr>2.1.sz.mell</vt:lpstr>
      <vt:lpstr>2.2.sz.mell</vt:lpstr>
      <vt:lpstr>3.sz.mell.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 sz. mell (2-1)</vt:lpstr>
      <vt:lpstr>9.2. sz. mell (2-2)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 sz. mell (2-1)'!Nyomtatási_cím</vt:lpstr>
      <vt:lpstr>'9.2. sz. mell (2-2)'!Nyomtatási_cím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'4.sz tájékoztató t.'!Nyomtatási_terület</vt:lpstr>
      <vt:lpstr>'7. sz tájékoztató t.'!Nyomtatási_terület</vt:lpstr>
      <vt:lpstr>'7.sz.mell.'!Nyomtatási_terület</vt:lpstr>
      <vt:lpstr>'8. sz. mell.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penzugy3</cp:lastModifiedBy>
  <cp:lastPrinted>2020-06-17T11:23:00Z</cp:lastPrinted>
  <dcterms:created xsi:type="dcterms:W3CDTF">1999-10-30T10:30:45Z</dcterms:created>
  <dcterms:modified xsi:type="dcterms:W3CDTF">2020-07-07T07:55:37Z</dcterms:modified>
</cp:coreProperties>
</file>