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7.sz. táj. feladatos Önk. " sheetId="1" r:id="rId1"/>
  </sheets>
  <externalReferences>
    <externalReference r:id="rId2"/>
  </externalReferences>
  <definedNames>
    <definedName name="_xlnm.Print_Area" localSheetId="0">'7.sz. táj. feladatos Önk. '!$A$3:$O$58</definedName>
  </definedNames>
  <calcPr calcId="145621"/>
</workbook>
</file>

<file path=xl/calcChain.xml><?xml version="1.0" encoding="utf-8"?>
<calcChain xmlns="http://schemas.openxmlformats.org/spreadsheetml/2006/main">
  <c r="N60" i="1" l="1"/>
  <c r="M60" i="1"/>
  <c r="K60" i="1"/>
  <c r="J60" i="1"/>
  <c r="O60" i="1" s="1"/>
  <c r="G60" i="1"/>
  <c r="F60" i="1"/>
  <c r="E60" i="1"/>
  <c r="D60" i="1"/>
  <c r="C60" i="1"/>
  <c r="H60" i="1" s="1"/>
  <c r="L57" i="1"/>
  <c r="O57" i="1" s="1"/>
  <c r="L56" i="1"/>
  <c r="L58" i="1" s="1"/>
  <c r="L59" i="1" s="1"/>
  <c r="F56" i="1"/>
  <c r="F58" i="1" s="1"/>
  <c r="F59" i="1" s="1"/>
  <c r="E56" i="1"/>
  <c r="E58" i="1" s="1"/>
  <c r="E59" i="1" s="1"/>
  <c r="N55" i="1"/>
  <c r="N56" i="1" s="1"/>
  <c r="N58" i="1" s="1"/>
  <c r="N59" i="1" s="1"/>
  <c r="M55" i="1"/>
  <c r="M56" i="1" s="1"/>
  <c r="M58" i="1" s="1"/>
  <c r="M59" i="1" s="1"/>
  <c r="J55" i="1"/>
  <c r="O55" i="1" s="1"/>
  <c r="H55" i="1"/>
  <c r="O54" i="1"/>
  <c r="J54" i="1"/>
  <c r="H54" i="1"/>
  <c r="E54" i="1"/>
  <c r="K52" i="1"/>
  <c r="J52" i="1"/>
  <c r="O52" i="1" s="1"/>
  <c r="D52" i="1"/>
  <c r="H52" i="1" s="1"/>
  <c r="J51" i="1"/>
  <c r="O51" i="1" s="1"/>
  <c r="C51" i="1"/>
  <c r="H51" i="1" s="1"/>
  <c r="J50" i="1"/>
  <c r="O50" i="1" s="1"/>
  <c r="H50" i="1"/>
  <c r="K49" i="1"/>
  <c r="J49" i="1"/>
  <c r="O49" i="1" s="1"/>
  <c r="C49" i="1"/>
  <c r="H49" i="1" s="1"/>
  <c r="J48" i="1"/>
  <c r="O48" i="1" s="1"/>
  <c r="H48" i="1"/>
  <c r="O47" i="1"/>
  <c r="J47" i="1"/>
  <c r="H47" i="1"/>
  <c r="J46" i="1"/>
  <c r="O46" i="1" s="1"/>
  <c r="H46" i="1"/>
  <c r="K44" i="1"/>
  <c r="J44" i="1"/>
  <c r="O44" i="1" s="1"/>
  <c r="D44" i="1"/>
  <c r="C44" i="1"/>
  <c r="H44" i="1" s="1"/>
  <c r="K43" i="1"/>
  <c r="J43" i="1"/>
  <c r="O43" i="1" s="1"/>
  <c r="C43" i="1"/>
  <c r="H43" i="1" s="1"/>
  <c r="J42" i="1"/>
  <c r="O42" i="1" s="1"/>
  <c r="C42" i="1"/>
  <c r="H42" i="1" s="1"/>
  <c r="J41" i="1"/>
  <c r="O41" i="1" s="1"/>
  <c r="H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6" i="1" s="1"/>
  <c r="G58" i="1" s="1"/>
  <c r="G59" i="1" s="1"/>
  <c r="C15" i="1"/>
  <c r="H15" i="1" s="1"/>
  <c r="J14" i="1"/>
  <c r="O14" i="1" s="1"/>
  <c r="D14" i="1"/>
  <c r="C14" i="1"/>
  <c r="H14" i="1" s="1"/>
  <c r="K13" i="1"/>
  <c r="J13" i="1"/>
  <c r="O13" i="1" s="1"/>
  <c r="I13" i="1"/>
  <c r="I56" i="1" s="1"/>
  <c r="I58" i="1" s="1"/>
  <c r="I59" i="1" s="1"/>
  <c r="H13" i="1"/>
  <c r="C13" i="1"/>
  <c r="K12" i="1"/>
  <c r="K56" i="1" s="1"/>
  <c r="K58" i="1" s="1"/>
  <c r="K59" i="1" s="1"/>
  <c r="J12" i="1"/>
  <c r="O12" i="1" s="1"/>
  <c r="D12" i="1"/>
  <c r="D56" i="1" s="1"/>
  <c r="D58" i="1" s="1"/>
  <c r="D59" i="1" s="1"/>
  <c r="C12" i="1"/>
  <c r="H12" i="1" s="1"/>
  <c r="O11" i="1"/>
  <c r="J11" i="1"/>
  <c r="H11" i="1"/>
  <c r="C11" i="1"/>
  <c r="O10" i="1"/>
  <c r="O56" i="1" s="1"/>
  <c r="J10" i="1"/>
  <c r="J56" i="1" s="1"/>
  <c r="J58" i="1" s="1"/>
  <c r="J59" i="1" s="1"/>
  <c r="H10" i="1"/>
  <c r="H56" i="1" s="1"/>
  <c r="H58" i="1" s="1"/>
  <c r="H59" i="1" s="1"/>
  <c r="C10" i="1"/>
  <c r="C56" i="1" s="1"/>
  <c r="C58" i="1" s="1"/>
  <c r="C59" i="1" s="1"/>
  <c r="O58" i="1" l="1"/>
  <c r="O59" i="1" s="1"/>
  <c r="P56" i="1"/>
</calcChain>
</file>

<file path=xl/sharedStrings.xml><?xml version="1.0" encoding="utf-8"?>
<sst xmlns="http://schemas.openxmlformats.org/spreadsheetml/2006/main" count="130" uniqueCount="112">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</sst>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20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19" fillId="0" borderId="44" xfId="1" applyNumberFormat="1" applyFont="1" applyBorder="1"/>
    <xf numFmtId="3" fontId="9" fillId="0" borderId="10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19" fillId="0" borderId="3" xfId="1" applyNumberFormat="1" applyFont="1" applyBorder="1"/>
    <xf numFmtId="3" fontId="18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7" xfId="1" applyNumberFormat="1" applyFont="1" applyFill="1" applyBorder="1"/>
    <xf numFmtId="0" fontId="0" fillId="0" borderId="31" xfId="0" quotePrefix="1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1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1466902602</v>
          </cell>
        </row>
        <row r="15">
          <cell r="C15">
            <v>297587100</v>
          </cell>
        </row>
        <row r="22">
          <cell r="C22">
            <v>1063805950</v>
          </cell>
        </row>
        <row r="29">
          <cell r="C29">
            <v>482500000</v>
          </cell>
        </row>
        <row r="37">
          <cell r="C37">
            <v>68065842</v>
          </cell>
        </row>
        <row r="49">
          <cell r="C49">
            <v>21932600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93">
          <cell r="C93">
            <v>901231173</v>
          </cell>
        </row>
        <row r="111">
          <cell r="C111">
            <v>110191104</v>
          </cell>
        </row>
        <row r="114">
          <cell r="C114">
            <v>1366302869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5"/>
  <sheetViews>
    <sheetView tabSelected="1" view="pageLayout" zoomScale="85" zoomScaleNormal="115" zoomScaleSheetLayoutView="85" zoomScalePageLayoutView="85" workbookViewId="0">
      <selection activeCell="H10" sqref="H10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</f>
        <v>31774226</v>
      </c>
      <c r="K10" s="51"/>
      <c r="L10" s="51"/>
      <c r="M10" s="51"/>
      <c r="N10" s="51"/>
      <c r="O10" s="52">
        <f>SUM(J10:N10)</f>
        <v>31774226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57">
        <f>34588831+400000+1778250+346750-1778250-346750+866141+708661+425198-758196-204713+23353056+352940</f>
        <v>59731918</v>
      </c>
      <c r="K12" s="56">
        <f>239507251+45359984+20445905+16502091+230000+758196+204713-23353056+15748031+4251969+23622047+6377953+27812784+7128276+543400+146718</f>
        <v>385286262</v>
      </c>
      <c r="L12" s="56"/>
      <c r="M12" s="56"/>
      <c r="N12" s="56"/>
      <c r="O12" s="52">
        <f t="shared" si="0"/>
        <v>445018180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0"/>
      <c r="E13" s="56"/>
      <c r="F13" s="56"/>
      <c r="G13" s="56"/>
      <c r="H13" s="58">
        <f t="shared" si="1"/>
        <v>1837700</v>
      </c>
      <c r="I13" s="61" t="e">
        <f>SUM(#REF!)</f>
        <v>#REF!</v>
      </c>
      <c r="J13" s="57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62">
        <f>1587852850-2600335-5000000+9625137+1404000+56811000-53811000+350000-4709893+4709893-686510</f>
        <v>1593945142</v>
      </c>
      <c r="D14" s="63">
        <f>310000000+30000000+29999900</f>
        <v>369999900</v>
      </c>
      <c r="E14" s="56"/>
      <c r="F14" s="63"/>
      <c r="G14" s="63"/>
      <c r="H14" s="58">
        <f t="shared" si="1"/>
        <v>1963945042</v>
      </c>
      <c r="I14" s="49"/>
      <c r="J14" s="57">
        <f>42004332+3200000+100000+6500000</f>
        <v>51804332</v>
      </c>
      <c r="K14" s="56"/>
      <c r="L14" s="63"/>
      <c r="M14" s="63"/>
      <c r="N14" s="63"/>
      <c r="O14" s="52">
        <f t="shared" si="0"/>
        <v>51804332</v>
      </c>
      <c r="P14" s="12"/>
    </row>
    <row r="15" spans="1:194" ht="26.25" thickBot="1" x14ac:dyDescent="0.25">
      <c r="A15" s="64" t="s">
        <v>35</v>
      </c>
      <c r="B15" s="65" t="s">
        <v>36</v>
      </c>
      <c r="C15" s="66">
        <f>10000</f>
        <v>10000</v>
      </c>
      <c r="D15" s="67"/>
      <c r="E15" s="68"/>
      <c r="F15" s="68"/>
      <c r="G15" s="68">
        <f>346583469+2508353</f>
        <v>349091822</v>
      </c>
      <c r="H15" s="69">
        <f t="shared" si="1"/>
        <v>349101822</v>
      </c>
      <c r="I15" s="49"/>
      <c r="J15" s="70">
        <f>10000</f>
        <v>10000</v>
      </c>
      <c r="K15" s="71"/>
      <c r="L15" s="72">
        <v>1495346848</v>
      </c>
      <c r="M15" s="71"/>
      <c r="N15" s="71"/>
      <c r="O15" s="52">
        <f t="shared" si="0"/>
        <v>1495356848</v>
      </c>
      <c r="P15" s="12"/>
    </row>
    <row r="16" spans="1:194" ht="14.25" thickBot="1" x14ac:dyDescent="0.3">
      <c r="A16" s="73" t="s">
        <v>37</v>
      </c>
      <c r="B16" s="7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5" t="s">
        <v>38</v>
      </c>
      <c r="B17" s="76" t="s">
        <v>39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v>103817</v>
      </c>
      <c r="K17" s="78"/>
      <c r="L17" s="78"/>
      <c r="M17" s="78"/>
      <c r="N17" s="78"/>
      <c r="O17" s="52">
        <f>SUM(J17:N17)</f>
        <v>103817</v>
      </c>
    </row>
    <row r="18" spans="1:16" s="12" customFormat="1" ht="14.25" thickBot="1" x14ac:dyDescent="0.3">
      <c r="A18" s="82" t="s">
        <v>40</v>
      </c>
      <c r="B18" s="83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4" t="s">
        <v>40</v>
      </c>
    </row>
    <row r="19" spans="1:16" s="12" customFormat="1" x14ac:dyDescent="0.2">
      <c r="A19" s="85" t="s">
        <v>41</v>
      </c>
      <c r="B19" s="86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7"/>
      <c r="J19" s="88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89" t="s">
        <v>43</v>
      </c>
      <c r="B20" s="90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7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89" t="s">
        <v>45</v>
      </c>
      <c r="B21" s="90" t="s">
        <v>46</v>
      </c>
      <c r="C21" s="55"/>
      <c r="D21" s="56"/>
      <c r="E21" s="56"/>
      <c r="F21" s="56"/>
      <c r="G21" s="56"/>
      <c r="H21" s="58">
        <f t="shared" si="2"/>
        <v>0</v>
      </c>
      <c r="I21" s="87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89" t="s">
        <v>47</v>
      </c>
      <c r="B22" s="90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7"/>
      <c r="J22" s="57">
        <v>6918729</v>
      </c>
      <c r="K22" s="56">
        <f>52310187-22602726-6011851+204724409+55275591</f>
        <v>283695610</v>
      </c>
      <c r="L22" s="56"/>
      <c r="M22" s="56"/>
      <c r="N22" s="56"/>
      <c r="O22" s="58">
        <f t="shared" si="3"/>
        <v>290614339</v>
      </c>
    </row>
    <row r="23" spans="1:16" s="12" customFormat="1" ht="25.5" x14ac:dyDescent="0.2">
      <c r="A23" s="89" t="s">
        <v>49</v>
      </c>
      <c r="B23" s="90" t="s">
        <v>50</v>
      </c>
      <c r="C23" s="55"/>
      <c r="D23" s="56"/>
      <c r="E23" s="56"/>
      <c r="F23" s="56"/>
      <c r="G23" s="56"/>
      <c r="H23" s="58">
        <f t="shared" si="2"/>
        <v>0</v>
      </c>
      <c r="I23" s="87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1" t="s">
        <v>51</v>
      </c>
      <c r="B24" s="92" t="s">
        <v>52</v>
      </c>
      <c r="C24" s="66"/>
      <c r="D24" s="68">
        <f>3487179</f>
        <v>3487179</v>
      </c>
      <c r="E24" s="68"/>
      <c r="F24" s="68"/>
      <c r="G24" s="68"/>
      <c r="H24" s="69">
        <f t="shared" si="2"/>
        <v>3487179</v>
      </c>
      <c r="I24" s="87"/>
      <c r="J24" s="93">
        <f>698500</f>
        <v>698500</v>
      </c>
      <c r="K24" s="68">
        <f>1270000</f>
        <v>1270000</v>
      </c>
      <c r="L24" s="68"/>
      <c r="M24" s="68"/>
      <c r="N24" s="68"/>
      <c r="O24" s="69">
        <f t="shared" si="3"/>
        <v>1968500</v>
      </c>
    </row>
    <row r="25" spans="1:16" ht="14.25" thickBot="1" x14ac:dyDescent="0.3">
      <c r="A25" s="82" t="s">
        <v>53</v>
      </c>
      <c r="B25" s="83"/>
      <c r="C25" s="83"/>
      <c r="D25" s="83"/>
      <c r="E25" s="83"/>
      <c r="F25" s="83"/>
      <c r="G25" s="83"/>
      <c r="H25" s="83"/>
      <c r="I25" s="40"/>
      <c r="J25" s="83"/>
      <c r="K25" s="83"/>
      <c r="L25" s="83"/>
      <c r="M25" s="83"/>
      <c r="N25" s="83"/>
      <c r="O25" s="94"/>
      <c r="P25" s="12"/>
    </row>
    <row r="26" spans="1:16" ht="25.5" x14ac:dyDescent="0.25">
      <c r="A26" s="95" t="s">
        <v>54</v>
      </c>
      <c r="B26" s="96" t="s">
        <v>55</v>
      </c>
      <c r="C26" s="97">
        <v>16392698</v>
      </c>
      <c r="D26" s="98">
        <v>2634996</v>
      </c>
      <c r="E26" s="99"/>
      <c r="F26" s="99"/>
      <c r="G26" s="99"/>
      <c r="H26" s="48">
        <f t="shared" ref="H26:H29" si="4">SUM(C26:G26)</f>
        <v>19027694</v>
      </c>
      <c r="I26" s="100"/>
      <c r="J26" s="97">
        <f>406220+63980+12537400+3385098</f>
        <v>16392698</v>
      </c>
      <c r="K26" s="98">
        <f>2074800+560196</f>
        <v>2634996</v>
      </c>
      <c r="L26" s="98"/>
      <c r="M26" s="98"/>
      <c r="N26" s="98"/>
      <c r="O26" s="48">
        <f t="shared" ref="O26:O29" si="5">SUM(J26:N26)</f>
        <v>19027694</v>
      </c>
      <c r="P26" s="12"/>
    </row>
    <row r="27" spans="1:16" ht="38.25" x14ac:dyDescent="0.2">
      <c r="A27" s="101" t="s">
        <v>56</v>
      </c>
      <c r="B27" s="102" t="s">
        <v>57</v>
      </c>
      <c r="C27" s="50">
        <f>507601+2984246</f>
        <v>3491847</v>
      </c>
      <c r="D27" s="103"/>
      <c r="E27" s="103"/>
      <c r="F27" s="103"/>
      <c r="G27" s="103"/>
      <c r="H27" s="52">
        <f t="shared" si="4"/>
        <v>3491847</v>
      </c>
      <c r="I27" s="104"/>
      <c r="J27" s="50">
        <f>16688593+2349800+634446</f>
        <v>19672839</v>
      </c>
      <c r="K27" s="103"/>
      <c r="L27" s="103"/>
      <c r="M27" s="103"/>
      <c r="N27" s="103"/>
      <c r="O27" s="52">
        <f t="shared" si="5"/>
        <v>19672839</v>
      </c>
      <c r="P27" s="12"/>
    </row>
    <row r="28" spans="1:16" ht="25.5" x14ac:dyDescent="0.2">
      <c r="A28" s="89" t="s">
        <v>58</v>
      </c>
      <c r="B28" s="105" t="s">
        <v>59</v>
      </c>
      <c r="C28" s="57"/>
      <c r="D28" s="56"/>
      <c r="E28" s="56"/>
      <c r="F28" s="56"/>
      <c r="G28" s="56"/>
      <c r="H28" s="58">
        <f t="shared" si="4"/>
        <v>0</v>
      </c>
      <c r="I28" s="104"/>
      <c r="J28" s="106">
        <v>835000</v>
      </c>
      <c r="K28" s="63"/>
      <c r="L28" s="63"/>
      <c r="M28" s="63"/>
      <c r="N28" s="63"/>
      <c r="O28" s="52">
        <f t="shared" si="5"/>
        <v>835000</v>
      </c>
      <c r="P28" s="12"/>
    </row>
    <row r="29" spans="1:16" ht="26.25" thickBot="1" x14ac:dyDescent="0.25">
      <c r="A29" s="91" t="s">
        <v>60</v>
      </c>
      <c r="B29" s="107" t="s">
        <v>61</v>
      </c>
      <c r="C29" s="93">
        <f>950000</f>
        <v>950000</v>
      </c>
      <c r="D29" s="108"/>
      <c r="E29" s="109"/>
      <c r="F29" s="108"/>
      <c r="G29" s="108"/>
      <c r="H29" s="69">
        <f t="shared" si="4"/>
        <v>950000</v>
      </c>
      <c r="I29" s="110"/>
      <c r="J29" s="111"/>
      <c r="K29" s="68">
        <v>359410</v>
      </c>
      <c r="L29" s="108"/>
      <c r="M29" s="108"/>
      <c r="N29" s="108"/>
      <c r="O29" s="112">
        <f t="shared" si="5"/>
        <v>359410</v>
      </c>
      <c r="P29" s="12"/>
    </row>
    <row r="30" spans="1:16" ht="14.25" thickBot="1" x14ac:dyDescent="0.3">
      <c r="A30" s="113" t="s">
        <v>62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P30" s="12"/>
    </row>
    <row r="31" spans="1:16" ht="25.5" x14ac:dyDescent="0.2">
      <c r="A31" s="85" t="s">
        <v>63</v>
      </c>
      <c r="B31" s="116" t="s">
        <v>64</v>
      </c>
      <c r="C31" s="88">
        <f>14717864+35012760+15905400</f>
        <v>65636024</v>
      </c>
      <c r="D31" s="47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17"/>
      <c r="J31" s="88">
        <f>6623900+1043264+5551732+1498968+5162073+813027+22864299+6173361+4020000+1085400+10800000</f>
        <v>65636024</v>
      </c>
      <c r="K31" s="47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1" t="s">
        <v>65</v>
      </c>
      <c r="B32" s="102" t="s">
        <v>66</v>
      </c>
      <c r="C32" s="50"/>
      <c r="D32" s="51"/>
      <c r="E32" s="118"/>
      <c r="F32" s="51"/>
      <c r="G32" s="51"/>
      <c r="H32" s="52">
        <f t="shared" ref="H32:H34" si="8">SUM(C32:G32)</f>
        <v>0</v>
      </c>
      <c r="I32" s="119"/>
      <c r="J32" s="50">
        <f>27068590</f>
        <v>27068590</v>
      </c>
      <c r="K32" s="51">
        <f>4508500</f>
        <v>4508500</v>
      </c>
      <c r="L32" s="51"/>
      <c r="M32" s="51"/>
      <c r="N32" s="51"/>
      <c r="O32" s="52">
        <f t="shared" ref="O32:O34" si="9">SUM(J32:N32)</f>
        <v>31577090</v>
      </c>
      <c r="P32" s="12"/>
    </row>
    <row r="33" spans="1:16" x14ac:dyDescent="0.2">
      <c r="A33" s="89" t="s">
        <v>67</v>
      </c>
      <c r="B33" s="105" t="s">
        <v>68</v>
      </c>
      <c r="C33" s="120"/>
      <c r="D33" s="56"/>
      <c r="E33" s="56"/>
      <c r="F33" s="56"/>
      <c r="G33" s="56"/>
      <c r="H33" s="58">
        <f t="shared" si="8"/>
        <v>0</v>
      </c>
      <c r="I33" s="119"/>
      <c r="J33" s="57">
        <f>16314715</f>
        <v>16314715</v>
      </c>
      <c r="K33" s="56"/>
      <c r="L33" s="56"/>
      <c r="M33" s="56"/>
      <c r="N33" s="56"/>
      <c r="O33" s="52">
        <f t="shared" si="9"/>
        <v>16314715</v>
      </c>
      <c r="P33" s="12"/>
    </row>
    <row r="34" spans="1:16" ht="26.25" thickBot="1" x14ac:dyDescent="0.25">
      <c r="A34" s="91" t="s">
        <v>69</v>
      </c>
      <c r="B34" s="107" t="s">
        <v>70</v>
      </c>
      <c r="C34" s="121">
        <f>7818450+2520375+3020044</f>
        <v>13358869</v>
      </c>
      <c r="D34" s="67">
        <v>145100</v>
      </c>
      <c r="E34" s="68">
        <v>6000000</v>
      </c>
      <c r="F34" s="68"/>
      <c r="G34" s="68"/>
      <c r="H34" s="69">
        <f t="shared" si="8"/>
        <v>19503969</v>
      </c>
      <c r="I34" s="122"/>
      <c r="J34" s="93">
        <f>109346348+580000-861300+861300-5700000-1539000+2145000+375375+2570250+449794+104000</f>
        <v>108331767</v>
      </c>
      <c r="K34" s="68">
        <f>3155001+1539000+5700000+23622047+6377953</f>
        <v>40394001</v>
      </c>
      <c r="L34" s="68"/>
      <c r="M34" s="68"/>
      <c r="N34" s="68"/>
      <c r="O34" s="112">
        <f t="shared" si="9"/>
        <v>148725768</v>
      </c>
      <c r="P34" s="12"/>
    </row>
    <row r="35" spans="1:16" ht="15.75" thickBot="1" x14ac:dyDescent="0.3">
      <c r="A35" s="123" t="s">
        <v>71</v>
      </c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P35" s="12"/>
    </row>
    <row r="36" spans="1:16" x14ac:dyDescent="0.2">
      <c r="A36" s="127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28"/>
      <c r="J36" s="129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27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19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27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57">
        <f>20525292-100000-200000-81000+34884+4400000+340000</f>
        <v>24919176</v>
      </c>
      <c r="K38" s="56">
        <f>300000+46116</f>
        <v>346116</v>
      </c>
      <c r="L38" s="56"/>
      <c r="M38" s="56"/>
      <c r="N38" s="56"/>
      <c r="O38" s="52">
        <f t="shared" si="11"/>
        <v>25265292</v>
      </c>
      <c r="P38" s="12"/>
    </row>
    <row r="39" spans="1:16" ht="26.25" thickBot="1" x14ac:dyDescent="0.25">
      <c r="A39" s="130" t="s">
        <v>78</v>
      </c>
      <c r="B39" s="65" t="s">
        <v>79</v>
      </c>
      <c r="C39" s="131">
        <v>400000</v>
      </c>
      <c r="D39" s="71"/>
      <c r="E39" s="71"/>
      <c r="F39" s="71"/>
      <c r="G39" s="71"/>
      <c r="H39" s="132">
        <f t="shared" si="10"/>
        <v>400000</v>
      </c>
      <c r="I39" s="119"/>
      <c r="J39" s="70">
        <f>345000+54851-54851+85039+65429+31866+78740+38926</f>
        <v>645000</v>
      </c>
      <c r="K39" s="71">
        <f>5000+78740+21260</f>
        <v>105000</v>
      </c>
      <c r="L39" s="71"/>
      <c r="M39" s="71"/>
      <c r="N39" s="71"/>
      <c r="O39" s="52">
        <f t="shared" si="11"/>
        <v>750000</v>
      </c>
      <c r="P39" s="12"/>
    </row>
    <row r="40" spans="1:16" ht="14.25" thickBot="1" x14ac:dyDescent="0.3">
      <c r="A40" s="82" t="s">
        <v>80</v>
      </c>
      <c r="B40" s="8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38" customFormat="1" ht="25.5" x14ac:dyDescent="0.2">
      <c r="A41" s="133" t="s">
        <v>81</v>
      </c>
      <c r="B41" s="134" t="s">
        <v>82</v>
      </c>
      <c r="C41" s="88">
        <v>939800</v>
      </c>
      <c r="D41" s="135"/>
      <c r="E41" s="135"/>
      <c r="F41" s="135"/>
      <c r="G41" s="135"/>
      <c r="H41" s="136">
        <f t="shared" ref="H41:H43" si="12">SUM(C41:G41)</f>
        <v>939800</v>
      </c>
      <c r="I41" s="137"/>
      <c r="J41" s="88">
        <f>100000+610000+191700+38100</f>
        <v>939800</v>
      </c>
      <c r="K41" s="135"/>
      <c r="L41" s="135"/>
      <c r="M41" s="135"/>
      <c r="N41" s="135"/>
      <c r="O41" s="136">
        <f t="shared" ref="O41:O44" si="13">SUM(J41:N41)</f>
        <v>939800</v>
      </c>
    </row>
    <row r="42" spans="1:16" x14ac:dyDescent="0.2">
      <c r="A42" s="139" t="s">
        <v>83</v>
      </c>
      <c r="B42" s="140" t="s">
        <v>84</v>
      </c>
      <c r="C42" s="77">
        <f>635000</f>
        <v>635000</v>
      </c>
      <c r="D42" s="78"/>
      <c r="E42" s="78"/>
      <c r="F42" s="78"/>
      <c r="G42" s="78"/>
      <c r="H42" s="52">
        <f t="shared" ref="H42" si="14">SUM(C42:G42)</f>
        <v>635000</v>
      </c>
      <c r="I42" s="119"/>
      <c r="J42" s="81">
        <f>6732663</f>
        <v>6732663</v>
      </c>
      <c r="K42" s="78"/>
      <c r="L42" s="78"/>
      <c r="M42" s="78"/>
      <c r="N42" s="78"/>
      <c r="O42" s="52">
        <f t="shared" ref="O42" si="15">SUM(J42:N42)</f>
        <v>6732663</v>
      </c>
      <c r="P42" s="12"/>
    </row>
    <row r="43" spans="1:16" s="138" customFormat="1" x14ac:dyDescent="0.2">
      <c r="A43" s="127" t="s">
        <v>85</v>
      </c>
      <c r="B43" s="54" t="s">
        <v>86</v>
      </c>
      <c r="C43" s="131">
        <f>2935064+400000</f>
        <v>3335064</v>
      </c>
      <c r="D43" s="141"/>
      <c r="E43" s="141"/>
      <c r="F43" s="141"/>
      <c r="G43" s="141"/>
      <c r="H43" s="58">
        <f t="shared" si="12"/>
        <v>3335064</v>
      </c>
      <c r="I43" s="137"/>
      <c r="J43" s="70">
        <f>23326783+437750+1236244+101823+9625137+400000</f>
        <v>35127737</v>
      </c>
      <c r="K43" s="71">
        <f>26269106</f>
        <v>26269106</v>
      </c>
      <c r="L43" s="71"/>
      <c r="M43" s="71"/>
      <c r="N43" s="71"/>
      <c r="O43" s="52">
        <f t="shared" si="13"/>
        <v>61396843</v>
      </c>
    </row>
    <row r="44" spans="1:16" s="138" customFormat="1" ht="39" thickBot="1" x14ac:dyDescent="0.25">
      <c r="A44" s="130" t="s">
        <v>87</v>
      </c>
      <c r="B44" s="65" t="s">
        <v>88</v>
      </c>
      <c r="C44" s="131">
        <f>67037993</f>
        <v>67037993</v>
      </c>
      <c r="D44" s="71">
        <f>47949076-2021904</f>
        <v>45927172</v>
      </c>
      <c r="E44" s="141"/>
      <c r="F44" s="141"/>
      <c r="G44" s="141"/>
      <c r="H44" s="132">
        <f>SUM(C44:G44)</f>
        <v>112965165</v>
      </c>
      <c r="I44" s="137"/>
      <c r="J44" s="70">
        <f>84625796</f>
        <v>84625796</v>
      </c>
      <c r="K44" s="71">
        <f>49155576</f>
        <v>49155576</v>
      </c>
      <c r="L44" s="71"/>
      <c r="M44" s="71"/>
      <c r="N44" s="71"/>
      <c r="O44" s="52">
        <f t="shared" si="13"/>
        <v>133781372</v>
      </c>
    </row>
    <row r="45" spans="1:16" ht="14.25" thickBot="1" x14ac:dyDescent="0.3">
      <c r="A45" s="82" t="s">
        <v>89</v>
      </c>
      <c r="B45" s="8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2" t="s">
        <v>90</v>
      </c>
      <c r="B46" s="45" t="s">
        <v>91</v>
      </c>
      <c r="C46" s="77"/>
      <c r="D46" s="78"/>
      <c r="E46" s="78"/>
      <c r="F46" s="78"/>
      <c r="G46" s="78"/>
      <c r="H46" s="52">
        <f t="shared" ref="H46:H52" si="16">SUM(C46:G46)</f>
        <v>0</v>
      </c>
      <c r="I46" s="119"/>
      <c r="J46" s="81">
        <f>300000</f>
        <v>300000</v>
      </c>
      <c r="K46" s="78"/>
      <c r="L46" s="78"/>
      <c r="M46" s="78"/>
      <c r="N46" s="78"/>
      <c r="O46" s="52">
        <f t="shared" ref="O46:O52" si="17">SUM(J46:N46)</f>
        <v>300000</v>
      </c>
      <c r="P46" s="12"/>
    </row>
    <row r="47" spans="1:16" x14ac:dyDescent="0.2">
      <c r="A47" s="127" t="s">
        <v>92</v>
      </c>
      <c r="B47" s="54" t="s">
        <v>93</v>
      </c>
      <c r="C47" s="131"/>
      <c r="D47" s="71"/>
      <c r="E47" s="71"/>
      <c r="F47" s="71"/>
      <c r="G47" s="71"/>
      <c r="H47" s="58">
        <f t="shared" si="16"/>
        <v>0</v>
      </c>
      <c r="I47" s="119"/>
      <c r="J47" s="70">
        <f>49047304</f>
        <v>49047304</v>
      </c>
      <c r="K47" s="71"/>
      <c r="L47" s="71"/>
      <c r="M47" s="71"/>
      <c r="N47" s="71"/>
      <c r="O47" s="52">
        <f t="shared" si="17"/>
        <v>49047304</v>
      </c>
      <c r="P47" s="12"/>
    </row>
    <row r="48" spans="1:16" ht="25.5" x14ac:dyDescent="0.2">
      <c r="A48" s="127" t="s">
        <v>94</v>
      </c>
      <c r="B48" s="54" t="s">
        <v>95</v>
      </c>
      <c r="C48" s="131"/>
      <c r="D48" s="71"/>
      <c r="E48" s="71"/>
      <c r="F48" s="71"/>
      <c r="G48" s="71"/>
      <c r="H48" s="58">
        <f t="shared" si="16"/>
        <v>0</v>
      </c>
      <c r="I48" s="119"/>
      <c r="J48" s="143">
        <f>24250000+67500</f>
        <v>24317500</v>
      </c>
      <c r="K48" s="71"/>
      <c r="L48" s="71"/>
      <c r="M48" s="71"/>
      <c r="N48" s="71"/>
      <c r="O48" s="52">
        <f t="shared" si="17"/>
        <v>24317500</v>
      </c>
      <c r="P48" s="12"/>
    </row>
    <row r="49" spans="1:16" ht="25.5" x14ac:dyDescent="0.2">
      <c r="A49" s="127" t="s">
        <v>96</v>
      </c>
      <c r="B49" s="54" t="s">
        <v>97</v>
      </c>
      <c r="C49" s="131">
        <f>300000</f>
        <v>300000</v>
      </c>
      <c r="D49" s="71"/>
      <c r="E49" s="71"/>
      <c r="F49" s="71"/>
      <c r="G49" s="71"/>
      <c r="H49" s="58">
        <f t="shared" si="16"/>
        <v>300000</v>
      </c>
      <c r="I49" s="119"/>
      <c r="J49" s="70">
        <f>2354100</f>
        <v>2354100</v>
      </c>
      <c r="K49" s="71">
        <f>1905000+787402+212598</f>
        <v>2905000</v>
      </c>
      <c r="L49" s="71"/>
      <c r="M49" s="71"/>
      <c r="N49" s="71"/>
      <c r="O49" s="52">
        <f t="shared" si="17"/>
        <v>5259100</v>
      </c>
      <c r="P49" s="12"/>
    </row>
    <row r="50" spans="1:16" ht="25.5" x14ac:dyDescent="0.2">
      <c r="A50" s="127" t="s">
        <v>98</v>
      </c>
      <c r="B50" s="54" t="s">
        <v>99</v>
      </c>
      <c r="C50" s="131"/>
      <c r="D50" s="71"/>
      <c r="E50" s="71"/>
      <c r="F50" s="71"/>
      <c r="G50" s="71"/>
      <c r="H50" s="58">
        <f t="shared" ref="H50" si="18">SUM(C50:G50)</f>
        <v>0</v>
      </c>
      <c r="I50" s="119"/>
      <c r="J50" s="70">
        <f>5773228+1558772</f>
        <v>7332000</v>
      </c>
      <c r="K50" s="71"/>
      <c r="L50" s="71"/>
      <c r="M50" s="71"/>
      <c r="N50" s="71"/>
      <c r="O50" s="52">
        <f t="shared" ref="O50" si="19">SUM(J50:N50)</f>
        <v>7332000</v>
      </c>
      <c r="P50" s="12"/>
    </row>
    <row r="51" spans="1:16" ht="26.25" thickBot="1" x14ac:dyDescent="0.25">
      <c r="A51" s="130" t="s">
        <v>100</v>
      </c>
      <c r="B51" s="54" t="s">
        <v>101</v>
      </c>
      <c r="C51" s="131">
        <f>700000</f>
        <v>700000</v>
      </c>
      <c r="D51" s="71"/>
      <c r="E51" s="71"/>
      <c r="F51" s="71"/>
      <c r="G51" s="71"/>
      <c r="H51" s="132">
        <f t="shared" ref="H51" si="20">SUM(C51:G51)</f>
        <v>700000</v>
      </c>
      <c r="I51" s="119"/>
      <c r="J51" s="70">
        <f>59455000-7332000</f>
        <v>52123000</v>
      </c>
      <c r="K51" s="71"/>
      <c r="L51" s="71"/>
      <c r="M51" s="71"/>
      <c r="N51" s="71"/>
      <c r="O51" s="52">
        <f t="shared" ref="O51" si="21">SUM(J51:N51)</f>
        <v>52123000</v>
      </c>
      <c r="P51" s="12"/>
    </row>
    <row r="52" spans="1:16" s="138" customFormat="1" ht="26.25" thickBot="1" x14ac:dyDescent="0.25">
      <c r="A52" s="144" t="s">
        <v>102</v>
      </c>
      <c r="B52" s="145" t="s">
        <v>103</v>
      </c>
      <c r="C52" s="131">
        <v>243100</v>
      </c>
      <c r="D52" s="71">
        <f>691900</f>
        <v>691900</v>
      </c>
      <c r="E52" s="72"/>
      <c r="F52" s="72"/>
      <c r="G52" s="72"/>
      <c r="H52" s="132">
        <f t="shared" si="16"/>
        <v>935000</v>
      </c>
      <c r="I52" s="137"/>
      <c r="J52" s="70">
        <f>44173+11927+161555+25445</f>
        <v>243100</v>
      </c>
      <c r="K52" s="71">
        <f>544803+147097</f>
        <v>691900</v>
      </c>
      <c r="L52" s="71"/>
      <c r="M52" s="71"/>
      <c r="N52" s="71"/>
      <c r="O52" s="52">
        <f t="shared" si="17"/>
        <v>935000</v>
      </c>
    </row>
    <row r="53" spans="1:16" ht="14.25" thickBot="1" x14ac:dyDescent="0.3">
      <c r="A53" s="82" t="s">
        <v>104</v>
      </c>
      <c r="B53" s="8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12"/>
    </row>
    <row r="54" spans="1:16" ht="38.25" x14ac:dyDescent="0.2">
      <c r="A54" s="142" t="s">
        <v>105</v>
      </c>
      <c r="B54" s="45" t="s">
        <v>106</v>
      </c>
      <c r="C54" s="146"/>
      <c r="D54" s="78"/>
      <c r="E54" s="78">
        <f>475500000+1000000</f>
        <v>476500000</v>
      </c>
      <c r="F54" s="78"/>
      <c r="G54" s="78"/>
      <c r="H54" s="52">
        <f t="shared" ref="H54:H55" si="22">SUM(C54:G54)</f>
        <v>476500000</v>
      </c>
      <c r="I54" s="119"/>
      <c r="J54" s="81">
        <f>10000</f>
        <v>10000</v>
      </c>
      <c r="K54" s="78"/>
      <c r="L54" s="147"/>
      <c r="M54" s="78"/>
      <c r="N54" s="78"/>
      <c r="O54" s="52">
        <f t="shared" ref="O54:O55" si="23">SUM(J54:N54)</f>
        <v>10000</v>
      </c>
      <c r="P54" s="12"/>
    </row>
    <row r="55" spans="1:16" ht="26.25" thickBot="1" x14ac:dyDescent="0.25">
      <c r="A55" s="130" t="s">
        <v>107</v>
      </c>
      <c r="B55" s="65" t="s">
        <v>108</v>
      </c>
      <c r="C55" s="148"/>
      <c r="D55" s="71"/>
      <c r="E55" s="71"/>
      <c r="F55" s="71">
        <v>169269106</v>
      </c>
      <c r="G55" s="71"/>
      <c r="H55" s="58">
        <f t="shared" si="22"/>
        <v>169269106</v>
      </c>
      <c r="I55" s="119"/>
      <c r="J55" s="70">
        <f>4070204+259082+8850000</f>
        <v>13179286</v>
      </c>
      <c r="K55" s="72"/>
      <c r="L55" s="71"/>
      <c r="M55" s="71">
        <f>100000000+11674500+5278000</f>
        <v>116952500</v>
      </c>
      <c r="N55" s="72">
        <f>46947321+65497460-2253677</f>
        <v>110191104</v>
      </c>
      <c r="O55" s="58">
        <f t="shared" si="23"/>
        <v>240322890</v>
      </c>
      <c r="P55" s="12"/>
    </row>
    <row r="56" spans="1:16" ht="13.5" thickBot="1" x14ac:dyDescent="0.25">
      <c r="A56" s="149" t="s">
        <v>109</v>
      </c>
      <c r="B56" s="150"/>
      <c r="C56" s="151">
        <f t="shared" ref="C56:G56" si="24">SUM(C10:C55)</f>
        <v>1835138244</v>
      </c>
      <c r="D56" s="151">
        <f t="shared" si="24"/>
        <v>1085738550</v>
      </c>
      <c r="E56" s="151">
        <f t="shared" si="24"/>
        <v>482500000</v>
      </c>
      <c r="F56" s="151">
        <f t="shared" si="24"/>
        <v>169269106</v>
      </c>
      <c r="G56" s="151">
        <f t="shared" si="24"/>
        <v>349091822</v>
      </c>
      <c r="H56" s="152">
        <f>SUM(H10:H55)</f>
        <v>3921737722</v>
      </c>
      <c r="I56" s="153" t="e">
        <f>SUM(I9:I13,I15:I28,I34:I36,I38:I47,I48:I55)</f>
        <v>#REF!</v>
      </c>
      <c r="J56" s="151">
        <f t="shared" ref="J56:O56" si="25">SUM(J10:J55)</f>
        <v>832944401</v>
      </c>
      <c r="K56" s="151">
        <f t="shared" si="25"/>
        <v>1366302869</v>
      </c>
      <c r="L56" s="151">
        <f t="shared" si="25"/>
        <v>1495346848</v>
      </c>
      <c r="M56" s="151">
        <f t="shared" si="25"/>
        <v>116952500</v>
      </c>
      <c r="N56" s="151">
        <f t="shared" si="25"/>
        <v>110191104</v>
      </c>
      <c r="O56" s="151">
        <f t="shared" si="25"/>
        <v>3921737722</v>
      </c>
      <c r="P56" s="154">
        <f>O56-H56</f>
        <v>0</v>
      </c>
    </row>
    <row r="57" spans="1:16" ht="13.5" thickBot="1" x14ac:dyDescent="0.25">
      <c r="A57" s="155" t="s">
        <v>110</v>
      </c>
      <c r="B57" s="156"/>
      <c r="C57" s="157"/>
      <c r="D57" s="158"/>
      <c r="E57" s="158"/>
      <c r="F57" s="158"/>
      <c r="G57" s="158"/>
      <c r="H57" s="58"/>
      <c r="I57" s="59"/>
      <c r="J57" s="159"/>
      <c r="K57" s="56"/>
      <c r="L57" s="56">
        <f>SUM(L54:L55,L46:L52,L41:L44,L36:L39,L32:L34,L27:L29,L17,L10:L15)</f>
        <v>1495346848</v>
      </c>
      <c r="M57" s="158"/>
      <c r="N57" s="158"/>
      <c r="O57" s="160">
        <f>SUM(J57:N57)</f>
        <v>1495346848</v>
      </c>
      <c r="P57" s="154"/>
    </row>
    <row r="58" spans="1:16" ht="14.25" customHeight="1" thickBot="1" x14ac:dyDescent="0.25">
      <c r="A58" s="149" t="s">
        <v>111</v>
      </c>
      <c r="B58" s="150"/>
      <c r="C58" s="161">
        <f t="shared" ref="C58:N58" si="26">C56-C57</f>
        <v>1835138244</v>
      </c>
      <c r="D58" s="162">
        <f t="shared" si="26"/>
        <v>1085738550</v>
      </c>
      <c r="E58" s="162">
        <f t="shared" si="26"/>
        <v>482500000</v>
      </c>
      <c r="F58" s="162">
        <f t="shared" si="26"/>
        <v>169269106</v>
      </c>
      <c r="G58" s="162">
        <f t="shared" si="26"/>
        <v>349091822</v>
      </c>
      <c r="H58" s="163">
        <f t="shared" si="26"/>
        <v>3921737722</v>
      </c>
      <c r="I58" s="164" t="e">
        <f t="shared" si="26"/>
        <v>#REF!</v>
      </c>
      <c r="J58" s="161">
        <f t="shared" si="26"/>
        <v>832944401</v>
      </c>
      <c r="K58" s="162">
        <f t="shared" si="26"/>
        <v>1366302869</v>
      </c>
      <c r="L58" s="162">
        <f t="shared" si="26"/>
        <v>0</v>
      </c>
      <c r="M58" s="162">
        <f t="shared" si="26"/>
        <v>116952500</v>
      </c>
      <c r="N58" s="162">
        <f t="shared" si="26"/>
        <v>110191104</v>
      </c>
      <c r="O58" s="165">
        <f>O56-O57</f>
        <v>2426390874</v>
      </c>
      <c r="P58" s="154"/>
    </row>
    <row r="59" spans="1:16" hidden="1" x14ac:dyDescent="0.2">
      <c r="B59" s="166"/>
      <c r="C59" s="87">
        <f>C58-C60</f>
        <v>0</v>
      </c>
      <c r="D59" s="87">
        <f t="shared" ref="D59:J59" si="27">D58-D60</f>
        <v>0</v>
      </c>
      <c r="E59" s="87">
        <f t="shared" si="27"/>
        <v>0</v>
      </c>
      <c r="F59" s="87">
        <f t="shared" si="27"/>
        <v>0</v>
      </c>
      <c r="G59" s="87">
        <f t="shared" si="27"/>
        <v>0</v>
      </c>
      <c r="H59" s="87">
        <f t="shared" si="27"/>
        <v>0</v>
      </c>
      <c r="I59" s="87" t="e">
        <f t="shared" si="27"/>
        <v>#REF!</v>
      </c>
      <c r="J59" s="87">
        <f t="shared" si="27"/>
        <v>0</v>
      </c>
      <c r="K59" s="87">
        <f>K58-K60</f>
        <v>0</v>
      </c>
      <c r="L59" s="87">
        <f t="shared" ref="L59:O59" si="28">L58-L60</f>
        <v>0</v>
      </c>
      <c r="M59" s="87">
        <f t="shared" si="28"/>
        <v>0</v>
      </c>
      <c r="N59" s="87">
        <f t="shared" si="28"/>
        <v>0</v>
      </c>
      <c r="O59" s="87">
        <f t="shared" si="28"/>
        <v>0</v>
      </c>
    </row>
    <row r="60" spans="1:16" hidden="1" x14ac:dyDescent="0.2">
      <c r="B60" s="166"/>
      <c r="C60" s="87">
        <f>'[1]9.1. sz. mell.'!C8+'[1]9.1. sz. mell.'!C15+'[1]9.1. sz. mell.'!C37+'[1]9.1. sz. mell.'!C55</f>
        <v>1835138244</v>
      </c>
      <c r="D60" s="87">
        <f>'[1]9.1. sz. mell.'!C22+'[1]9.1. sz. mell.'!C49+'[1]9.1. sz. mell.'!C60</f>
        <v>1085738550</v>
      </c>
      <c r="E60" s="87">
        <f>'[1]9.1. sz. mell.'!C29</f>
        <v>482500000</v>
      </c>
      <c r="F60" s="87">
        <f>'[1]9.1. sz. mell.'!C66</f>
        <v>169269106</v>
      </c>
      <c r="G60" s="87">
        <f>'[1]9.1. sz. mell.'!C75</f>
        <v>349091822</v>
      </c>
      <c r="H60" s="167">
        <f>SUM(C60:G60)</f>
        <v>3921737722</v>
      </c>
      <c r="I60" s="104"/>
      <c r="J60" s="87">
        <f>'[1]9.1. sz. mell.'!C93-'[1]9.1. sz. mell.'!C111+'[1]9.1. sz. mell.'!C140</f>
        <v>832944401</v>
      </c>
      <c r="K60" s="1">
        <f>'[1]9.1. sz. mell.'!C114</f>
        <v>1366302869</v>
      </c>
      <c r="L60" s="168"/>
      <c r="M60" s="169">
        <f>'[1]9.1. sz. mell.'!C129</f>
        <v>116952500</v>
      </c>
      <c r="N60" s="169">
        <f>'[1]9.1. sz. mell.'!C111</f>
        <v>110191104</v>
      </c>
      <c r="O60" s="104">
        <f>SUM(J60:N60)</f>
        <v>2426390874</v>
      </c>
    </row>
    <row r="61" spans="1:16" x14ac:dyDescent="0.2">
      <c r="B61" s="166"/>
      <c r="C61" s="87"/>
      <c r="D61" s="87"/>
      <c r="E61" s="87"/>
      <c r="F61" s="87"/>
      <c r="G61" s="87"/>
      <c r="H61" s="167"/>
      <c r="I61" s="104"/>
      <c r="J61" s="170"/>
      <c r="K61" s="87"/>
      <c r="L61" s="171"/>
      <c r="M61" s="87"/>
      <c r="N61" s="87"/>
      <c r="O61" s="104"/>
    </row>
    <row r="62" spans="1:16" x14ac:dyDescent="0.2">
      <c r="B62" s="166"/>
      <c r="C62" s="87"/>
      <c r="D62" s="87"/>
      <c r="E62" s="87"/>
      <c r="F62" s="87"/>
      <c r="G62" s="87"/>
      <c r="H62" s="167"/>
      <c r="I62" s="104"/>
      <c r="J62" s="87"/>
      <c r="K62" s="87"/>
      <c r="L62" s="171"/>
      <c r="M62" s="87"/>
      <c r="N62" s="87"/>
      <c r="O62" s="104"/>
    </row>
    <row r="63" spans="1:16" x14ac:dyDescent="0.2">
      <c r="B63" s="166"/>
      <c r="C63" s="87"/>
      <c r="D63" s="87"/>
      <c r="E63" s="87"/>
      <c r="F63" s="87"/>
      <c r="G63" s="87"/>
      <c r="H63" s="167"/>
      <c r="I63" s="104"/>
      <c r="J63" s="87"/>
      <c r="K63" s="87"/>
      <c r="L63" s="171"/>
      <c r="M63" s="87"/>
      <c r="N63" s="87"/>
      <c r="O63" s="104"/>
    </row>
    <row r="64" spans="1:16" x14ac:dyDescent="0.2">
      <c r="B64" s="166"/>
      <c r="C64" s="87"/>
      <c r="D64" s="87"/>
      <c r="E64" s="87"/>
      <c r="F64" s="87"/>
      <c r="G64" s="87"/>
      <c r="H64" s="167"/>
      <c r="I64" s="104"/>
      <c r="J64" s="87"/>
      <c r="K64" s="87"/>
      <c r="L64" s="171"/>
      <c r="M64" s="87"/>
      <c r="N64" s="87"/>
      <c r="O64" s="104"/>
    </row>
    <row r="65" spans="2:15" x14ac:dyDescent="0.2">
      <c r="B65" s="166"/>
      <c r="C65" s="87"/>
      <c r="D65" s="87"/>
      <c r="E65" s="87"/>
      <c r="F65" s="87"/>
      <c r="G65" s="87"/>
      <c r="H65" s="167"/>
      <c r="I65" s="104"/>
      <c r="J65" s="87"/>
      <c r="K65" s="87"/>
      <c r="L65" s="171"/>
      <c r="M65" s="87"/>
      <c r="N65" s="87"/>
      <c r="O65" s="104"/>
    </row>
  </sheetData>
  <mergeCells count="20">
    <mergeCell ref="A40:O40"/>
    <mergeCell ref="A45:O45"/>
    <mergeCell ref="A53:O53"/>
    <mergeCell ref="A56:B56"/>
    <mergeCell ref="A57:B57"/>
    <mergeCell ref="A58:B58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18. számú melléklet a 30/2019.(IX.30.)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táj. feladatos Önk. </vt:lpstr>
      <vt:lpstr>'7.sz.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2019-10-02T08:15:19Z</dcterms:created>
  <dcterms:modified xsi:type="dcterms:W3CDTF">2019-10-02T08:15:20Z</dcterms:modified>
</cp:coreProperties>
</file>