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0640" windowHeight="11610" tabRatio="883"/>
  </bookViews>
  <sheets>
    <sheet name="mérleg1" sheetId="55" r:id="rId1"/>
    <sheet name="feladatalapú tám.2" sheetId="49" r:id="rId2"/>
    <sheet name="bevételek3" sheetId="50" r:id="rId3"/>
    <sheet name="kiadások4" sheetId="52" r:id="rId4"/>
    <sheet name="működési pe átad5" sheetId="45" r:id="rId5"/>
    <sheet name="ellátottak pénzbeli jutt.6" sheetId="33" state="hidden" r:id="rId6"/>
    <sheet name="felhalmozási7" sheetId="43" r:id="rId7"/>
    <sheet name="álláshely8" sheetId="24" state="hidden" r:id="rId8"/>
    <sheet name="kötelezettségek n+3év9" sheetId="26" state="hidden" r:id="rId9"/>
    <sheet name="közvetett támogatás10" sheetId="44" state="hidden" r:id="rId10"/>
    <sheet name="adósságkel.11" sheetId="34" state="hidden" r:id="rId11"/>
    <sheet name="likviditási ütemterv12" sheetId="28" r:id="rId12"/>
    <sheet name="önk" sheetId="19" state="hidden" r:id="rId13"/>
    <sheet name="12.sz.melléklet" sheetId="13" state="hidden" r:id="rId14"/>
    <sheet name="saját bevétel13" sheetId="53" state="hidden" r:id="rId15"/>
    <sheet name="civil szerv tám.14" sheetId="29" state="hidden" r:id="rId16"/>
    <sheet name="Címrend15" sheetId="56" r:id="rId17"/>
  </sheets>
  <definedNames>
    <definedName name="_xlnm.Print_Titles" localSheetId="2">bevételek3!$1:$6</definedName>
    <definedName name="_xlnm.Print_Titles" localSheetId="1">'feladatalapú tám.2'!$1:$7</definedName>
    <definedName name="_xlnm.Print_Titles" localSheetId="3">kiadások4!$1:$6</definedName>
    <definedName name="_xlnm.Print_Titles" localSheetId="8">'kötelezettségek n+3év9'!$6:$8</definedName>
    <definedName name="_xlnm.Print_Area" localSheetId="7">álláshely8!$A$1:$E$26</definedName>
    <definedName name="_xlnm.Print_Area" localSheetId="2">bevételek3!$A$1:$L$147</definedName>
    <definedName name="_xlnm.Print_Area" localSheetId="15">'civil szerv tám.14'!$A$1:$E$20</definedName>
    <definedName name="_xlnm.Print_Area" localSheetId="5">'ellátottak pénzbeli jutt.6'!$A$1:$D$25</definedName>
    <definedName name="_xlnm.Print_Area" localSheetId="3">kiadások4!$A$1:$L$106</definedName>
    <definedName name="_xlnm.Print_Area" localSheetId="9">'közvetett támogatás10'!$A$1:$K$13</definedName>
    <definedName name="_xlnm.Print_Area" localSheetId="4">'működési pe átad5'!$A$1:$F$34</definedName>
    <definedName name="_xlnm.Print_Area" localSheetId="12">önk!$A$1:$I$35</definedName>
  </definedNames>
  <calcPr calcId="125725"/>
  <customWorkbookViews>
    <customWorkbookView name="Forgács Sándorné - Egyéni látvány" guid="{424DBE20-F259-11D5-8EFB-004F4C047473}" mergeInterval="0" personalView="1" maximized="1" windowWidth="796" windowHeight="383" tabRatio="7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43"/>
  <c r="J24" i="52" l="1"/>
  <c r="I24" s="1"/>
  <c r="M24" s="1"/>
  <c r="I40" i="50"/>
  <c r="I77" i="52" l="1"/>
  <c r="P31" i="28" l="1"/>
  <c r="F19"/>
  <c r="P30"/>
  <c r="N30"/>
  <c r="G19"/>
  <c r="H19"/>
  <c r="I19"/>
  <c r="J19"/>
  <c r="K19"/>
  <c r="L19"/>
  <c r="M19"/>
  <c r="N19"/>
  <c r="O19"/>
  <c r="P19"/>
  <c r="Q19"/>
  <c r="K14"/>
  <c r="J11"/>
  <c r="K11"/>
  <c r="M30"/>
  <c r="F12" i="43" l="1"/>
  <c r="F10"/>
  <c r="G13"/>
  <c r="E19" i="45"/>
  <c r="E28" s="1"/>
  <c r="E34" s="1"/>
  <c r="E33"/>
  <c r="F10"/>
  <c r="F11"/>
  <c r="F13"/>
  <c r="F17"/>
  <c r="F18"/>
  <c r="F19"/>
  <c r="F21"/>
  <c r="F22"/>
  <c r="F23"/>
  <c r="F24"/>
  <c r="F25"/>
  <c r="F26"/>
  <c r="F27"/>
  <c r="F29"/>
  <c r="F30"/>
  <c r="F31"/>
  <c r="F32"/>
  <c r="J57" i="52"/>
  <c r="I57" s="1"/>
  <c r="M57" s="1"/>
  <c r="J58"/>
  <c r="M67"/>
  <c r="M68"/>
  <c r="M72"/>
  <c r="M76"/>
  <c r="M78"/>
  <c r="M80"/>
  <c r="M84"/>
  <c r="M59"/>
  <c r="J65"/>
  <c r="I65" s="1"/>
  <c r="H55"/>
  <c r="H60"/>
  <c r="J11"/>
  <c r="J95"/>
  <c r="J96"/>
  <c r="K63"/>
  <c r="J64"/>
  <c r="J63" s="1"/>
  <c r="J56"/>
  <c r="J76"/>
  <c r="J75"/>
  <c r="J79"/>
  <c r="J77"/>
  <c r="J89" s="1"/>
  <c r="J80"/>
  <c r="I11"/>
  <c r="M11" s="1"/>
  <c r="J33"/>
  <c r="I33" s="1"/>
  <c r="I13"/>
  <c r="M13" s="1"/>
  <c r="I14"/>
  <c r="M14" s="1"/>
  <c r="I18"/>
  <c r="M18" s="1"/>
  <c r="I19"/>
  <c r="M19" s="1"/>
  <c r="I20"/>
  <c r="M20" s="1"/>
  <c r="I22"/>
  <c r="M22" s="1"/>
  <c r="I23"/>
  <c r="I26"/>
  <c r="M26" s="1"/>
  <c r="I27"/>
  <c r="M27" s="1"/>
  <c r="I28"/>
  <c r="M28" s="1"/>
  <c r="I31"/>
  <c r="M31" s="1"/>
  <c r="I34"/>
  <c r="I95" s="1"/>
  <c r="I36"/>
  <c r="M36" s="1"/>
  <c r="I37"/>
  <c r="M37" s="1"/>
  <c r="I38"/>
  <c r="M38" s="1"/>
  <c r="I39"/>
  <c r="M39" s="1"/>
  <c r="I40"/>
  <c r="M40" s="1"/>
  <c r="I41"/>
  <c r="M41" s="1"/>
  <c r="I42"/>
  <c r="M42" s="1"/>
  <c r="I43"/>
  <c r="M43" s="1"/>
  <c r="I44"/>
  <c r="M44" s="1"/>
  <c r="I46"/>
  <c r="M46" s="1"/>
  <c r="I47"/>
  <c r="M47" s="1"/>
  <c r="I48"/>
  <c r="M48" s="1"/>
  <c r="I50"/>
  <c r="M50" s="1"/>
  <c r="I51"/>
  <c r="M51" s="1"/>
  <c r="I52"/>
  <c r="M52" s="1"/>
  <c r="I53"/>
  <c r="M53" s="1"/>
  <c r="I54"/>
  <c r="M54" s="1"/>
  <c r="I56"/>
  <c r="M56" s="1"/>
  <c r="I58"/>
  <c r="M58" s="1"/>
  <c r="I61"/>
  <c r="M61" s="1"/>
  <c r="I62"/>
  <c r="M62" s="1"/>
  <c r="I64"/>
  <c r="I66"/>
  <c r="I68"/>
  <c r="I69"/>
  <c r="M69" s="1"/>
  <c r="I71"/>
  <c r="M71" s="1"/>
  <c r="I72"/>
  <c r="I73"/>
  <c r="M73" s="1"/>
  <c r="I75"/>
  <c r="I76"/>
  <c r="I80"/>
  <c r="I81"/>
  <c r="M81" s="1"/>
  <c r="I82"/>
  <c r="M82" s="1"/>
  <c r="I84"/>
  <c r="I85"/>
  <c r="M85" s="1"/>
  <c r="I99"/>
  <c r="M99" s="1"/>
  <c r="D14" i="55"/>
  <c r="J15" i="50"/>
  <c r="I15" s="1"/>
  <c r="J122"/>
  <c r="I122" s="1"/>
  <c r="J104"/>
  <c r="I104" s="1"/>
  <c r="J86"/>
  <c r="F54" i="49"/>
  <c r="F53"/>
  <c r="F61"/>
  <c r="G18"/>
  <c r="G19"/>
  <c r="G34"/>
  <c r="G53"/>
  <c r="G54"/>
  <c r="G56"/>
  <c r="G61"/>
  <c r="G66"/>
  <c r="G68"/>
  <c r="M34" i="50"/>
  <c r="M39"/>
  <c r="M73"/>
  <c r="M93"/>
  <c r="M109"/>
  <c r="M113"/>
  <c r="M117"/>
  <c r="J81"/>
  <c r="I81" s="1"/>
  <c r="M81" s="1"/>
  <c r="J28"/>
  <c r="I11"/>
  <c r="M11" s="1"/>
  <c r="I12"/>
  <c r="M12" s="1"/>
  <c r="I13"/>
  <c r="M13" s="1"/>
  <c r="I14"/>
  <c r="M14" s="1"/>
  <c r="I17"/>
  <c r="M17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34"/>
  <c r="I35"/>
  <c r="M35" s="1"/>
  <c r="I36"/>
  <c r="M36" s="1"/>
  <c r="I38"/>
  <c r="M38" s="1"/>
  <c r="I39"/>
  <c r="I41"/>
  <c r="M41" s="1"/>
  <c r="I44"/>
  <c r="M44" s="1"/>
  <c r="I45"/>
  <c r="M45" s="1"/>
  <c r="I47"/>
  <c r="M47" s="1"/>
  <c r="I48"/>
  <c r="M48" s="1"/>
  <c r="I49"/>
  <c r="M49" s="1"/>
  <c r="I50"/>
  <c r="M50" s="1"/>
  <c r="I51"/>
  <c r="M51" s="1"/>
  <c r="I53"/>
  <c r="M53" s="1"/>
  <c r="I54"/>
  <c r="M54" s="1"/>
  <c r="I55"/>
  <c r="M55" s="1"/>
  <c r="I57"/>
  <c r="M57" s="1"/>
  <c r="I58"/>
  <c r="M58" s="1"/>
  <c r="I60"/>
  <c r="M60" s="1"/>
  <c r="I62"/>
  <c r="M62" s="1"/>
  <c r="I64"/>
  <c r="M64" s="1"/>
  <c r="I65"/>
  <c r="M65" s="1"/>
  <c r="I66"/>
  <c r="M66" s="1"/>
  <c r="I68"/>
  <c r="M68" s="1"/>
  <c r="I69"/>
  <c r="M69" s="1"/>
  <c r="I70"/>
  <c r="M70" s="1"/>
  <c r="I71"/>
  <c r="M71" s="1"/>
  <c r="I72"/>
  <c r="M72" s="1"/>
  <c r="I73"/>
  <c r="I74"/>
  <c r="M74" s="1"/>
  <c r="I75"/>
  <c r="M75" s="1"/>
  <c r="I76"/>
  <c r="M76" s="1"/>
  <c r="I77"/>
  <c r="M77" s="1"/>
  <c r="I79"/>
  <c r="M79" s="1"/>
  <c r="I80"/>
  <c r="M80" s="1"/>
  <c r="I83"/>
  <c r="M83" s="1"/>
  <c r="I84"/>
  <c r="M84" s="1"/>
  <c r="I85"/>
  <c r="M85" s="1"/>
  <c r="I88"/>
  <c r="M88" s="1"/>
  <c r="I90"/>
  <c r="M90" s="1"/>
  <c r="I92"/>
  <c r="M92" s="1"/>
  <c r="I93"/>
  <c r="I94"/>
  <c r="M94" s="1"/>
  <c r="I95"/>
  <c r="M95" s="1"/>
  <c r="I96"/>
  <c r="M96" s="1"/>
  <c r="I97"/>
  <c r="M97" s="1"/>
  <c r="I98"/>
  <c r="M98" s="1"/>
  <c r="I99"/>
  <c r="M99" s="1"/>
  <c r="I101"/>
  <c r="M101" s="1"/>
  <c r="I102"/>
  <c r="M102" s="1"/>
  <c r="I103"/>
  <c r="M103" s="1"/>
  <c r="I106"/>
  <c r="M106" s="1"/>
  <c r="I108"/>
  <c r="M108" s="1"/>
  <c r="I109"/>
  <c r="I110"/>
  <c r="M110" s="1"/>
  <c r="I111"/>
  <c r="M111" s="1"/>
  <c r="I112"/>
  <c r="M112" s="1"/>
  <c r="I113"/>
  <c r="I114"/>
  <c r="M114" s="1"/>
  <c r="I115"/>
  <c r="M115" s="1"/>
  <c r="I116"/>
  <c r="M116" s="1"/>
  <c r="I117"/>
  <c r="I119"/>
  <c r="M119" s="1"/>
  <c r="I120"/>
  <c r="M120" s="1"/>
  <c r="I121"/>
  <c r="M121" s="1"/>
  <c r="I124"/>
  <c r="M124" s="1"/>
  <c r="I137"/>
  <c r="M137" s="1"/>
  <c r="F68" i="49"/>
  <c r="D65"/>
  <c r="E65"/>
  <c r="F64"/>
  <c r="G64" s="1"/>
  <c r="J143" i="50" l="1"/>
  <c r="J29" i="52"/>
  <c r="I29" s="1"/>
  <c r="I105" s="1"/>
  <c r="J74"/>
  <c r="M75"/>
  <c r="I74"/>
  <c r="F15" i="43"/>
  <c r="J94" i="52"/>
  <c r="J55"/>
  <c r="I17" i="55"/>
  <c r="I94" i="52"/>
  <c r="I89"/>
  <c r="E25" i="28" s="1"/>
  <c r="I63" i="52"/>
  <c r="I55"/>
  <c r="I25" i="28" l="1"/>
  <c r="N25"/>
  <c r="F25"/>
  <c r="H25"/>
  <c r="Q25"/>
  <c r="L25"/>
  <c r="J25"/>
  <c r="O25"/>
  <c r="G25"/>
  <c r="K25"/>
  <c r="P25"/>
  <c r="M25"/>
  <c r="I16" i="55"/>
  <c r="J105" i="52"/>
  <c r="I11" i="55"/>
  <c r="E67" i="49"/>
  <c r="F63"/>
  <c r="E60"/>
  <c r="F58"/>
  <c r="G58" s="1"/>
  <c r="F59"/>
  <c r="G59" s="1"/>
  <c r="F57"/>
  <c r="G57" s="1"/>
  <c r="E55"/>
  <c r="F55"/>
  <c r="F51"/>
  <c r="G51" s="1"/>
  <c r="F50"/>
  <c r="G50" s="1"/>
  <c r="E52"/>
  <c r="E49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39"/>
  <c r="G39" s="1"/>
  <c r="F36"/>
  <c r="G36" s="1"/>
  <c r="F35"/>
  <c r="G35" s="1"/>
  <c r="E37"/>
  <c r="F32"/>
  <c r="F31"/>
  <c r="G31" s="1"/>
  <c r="E33"/>
  <c r="E30"/>
  <c r="F29"/>
  <c r="G29" s="1"/>
  <c r="F28"/>
  <c r="G28" s="1"/>
  <c r="E27"/>
  <c r="E38" s="1"/>
  <c r="F25"/>
  <c r="G25" s="1"/>
  <c r="F24"/>
  <c r="G24" s="1"/>
  <c r="F22"/>
  <c r="G22" s="1"/>
  <c r="F21"/>
  <c r="G21" s="1"/>
  <c r="F9"/>
  <c r="G9" s="1"/>
  <c r="F10"/>
  <c r="G10" s="1"/>
  <c r="F11"/>
  <c r="G11" s="1"/>
  <c r="F12"/>
  <c r="F13"/>
  <c r="G13" s="1"/>
  <c r="F14"/>
  <c r="G14" s="1"/>
  <c r="F15"/>
  <c r="G15" s="1"/>
  <c r="F8"/>
  <c r="G8" s="1"/>
  <c r="E16"/>
  <c r="E17"/>
  <c r="E20" s="1"/>
  <c r="I11" i="28"/>
  <c r="F65" i="49" l="1"/>
  <c r="G63"/>
  <c r="F30"/>
  <c r="E62"/>
  <c r="E69" s="1"/>
  <c r="F33"/>
  <c r="G32"/>
  <c r="F16"/>
  <c r="G12"/>
  <c r="F37"/>
  <c r="F60"/>
  <c r="F52"/>
  <c r="H15" i="50"/>
  <c r="M15" s="1"/>
  <c r="H10" i="52"/>
  <c r="J10" s="1"/>
  <c r="H9"/>
  <c r="I10" l="1"/>
  <c r="J88"/>
  <c r="F17" i="49"/>
  <c r="G65"/>
  <c r="F67"/>
  <c r="E15" i="29"/>
  <c r="F20" i="49" l="1"/>
  <c r="M10" i="52"/>
  <c r="I88"/>
  <c r="I14" i="28"/>
  <c r="R31"/>
  <c r="E24" l="1"/>
  <c r="I10" i="55"/>
  <c r="H17" i="26"/>
  <c r="G17"/>
  <c r="F17"/>
  <c r="E17"/>
  <c r="H12"/>
  <c r="G12"/>
  <c r="F12"/>
  <c r="E12"/>
  <c r="H11"/>
  <c r="G11"/>
  <c r="F11"/>
  <c r="E11"/>
  <c r="H10"/>
  <c r="G10"/>
  <c r="F10"/>
  <c r="E10"/>
  <c r="H9"/>
  <c r="H19" s="1"/>
  <c r="G9"/>
  <c r="G19" s="1"/>
  <c r="F9"/>
  <c r="F19" s="1"/>
  <c r="E9"/>
  <c r="E19" s="1"/>
  <c r="I24" i="28" l="1"/>
  <c r="J24"/>
  <c r="H40" i="50"/>
  <c r="M40" s="1"/>
  <c r="H59"/>
  <c r="J59"/>
  <c r="I59" s="1"/>
  <c r="M59" s="1"/>
  <c r="H96" i="52"/>
  <c r="E9" i="43"/>
  <c r="G9" s="1"/>
  <c r="E11"/>
  <c r="G11" s="1"/>
  <c r="J30" i="52"/>
  <c r="I30" s="1"/>
  <c r="M30" s="1"/>
  <c r="H66" l="1"/>
  <c r="M66" s="1"/>
  <c r="J9" l="1"/>
  <c r="J87" l="1"/>
  <c r="I9"/>
  <c r="J15"/>
  <c r="H15"/>
  <c r="D16" i="45"/>
  <c r="F16" s="1"/>
  <c r="D15"/>
  <c r="F15" s="1"/>
  <c r="H91" i="50"/>
  <c r="I15" i="52" l="1"/>
  <c r="M9"/>
  <c r="I87"/>
  <c r="M15"/>
  <c r="H65"/>
  <c r="M65" s="1"/>
  <c r="H64"/>
  <c r="J91" i="50"/>
  <c r="I91" s="1"/>
  <c r="M91" s="1"/>
  <c r="H77" i="52"/>
  <c r="H74" l="1"/>
  <c r="M74" s="1"/>
  <c r="M77"/>
  <c r="I9" i="55"/>
  <c r="E23" i="28"/>
  <c r="H63" i="52"/>
  <c r="M63" s="1"/>
  <c r="M64"/>
  <c r="H20" i="50"/>
  <c r="J20" s="1"/>
  <c r="I20" s="1"/>
  <c r="M20" s="1"/>
  <c r="H19"/>
  <c r="J19" s="1"/>
  <c r="I19" s="1"/>
  <c r="M19" s="1"/>
  <c r="H18"/>
  <c r="J18" s="1"/>
  <c r="I18" s="1"/>
  <c r="M18" s="1"/>
  <c r="J23" i="28" l="1"/>
  <c r="I23"/>
  <c r="D10" i="34"/>
  <c r="E10" s="1"/>
  <c r="F10" s="1"/>
  <c r="E8" i="24"/>
  <c r="E13"/>
  <c r="E14"/>
  <c r="E17"/>
  <c r="E12" i="43"/>
  <c r="D20" i="45"/>
  <c r="F20" s="1"/>
  <c r="D12"/>
  <c r="F12" s="1"/>
  <c r="H33" i="52" l="1"/>
  <c r="H94" s="1"/>
  <c r="G12" i="43"/>
  <c r="R30" i="28"/>
  <c r="G10" i="34"/>
  <c r="D60" i="49"/>
  <c r="G60" s="1"/>
  <c r="D40"/>
  <c r="F40" s="1"/>
  <c r="D16"/>
  <c r="M33" i="52" l="1"/>
  <c r="E30" i="28"/>
  <c r="M94" i="52"/>
  <c r="D17" i="49"/>
  <c r="G17" s="1"/>
  <c r="G16"/>
  <c r="G16" i="55"/>
  <c r="H16" s="1"/>
  <c r="G40" i="49"/>
  <c r="F49"/>
  <c r="D12" i="34"/>
  <c r="R12" i="28"/>
  <c r="F62" i="49" l="1"/>
  <c r="E12" i="34"/>
  <c r="F12" s="1"/>
  <c r="G12" l="1"/>
  <c r="J78" i="50"/>
  <c r="J129" l="1"/>
  <c r="R18" i="28"/>
  <c r="R19"/>
  <c r="K87" i="52"/>
  <c r="K88"/>
  <c r="K89"/>
  <c r="K94"/>
  <c r="K95"/>
  <c r="D9" i="34"/>
  <c r="E9" s="1"/>
  <c r="F9" s="1"/>
  <c r="F21" i="26"/>
  <c r="G21"/>
  <c r="H21"/>
  <c r="R17" i="28" l="1"/>
  <c r="D33" i="45"/>
  <c r="F33" s="1"/>
  <c r="H23" i="52" l="1"/>
  <c r="G33" i="19" l="1"/>
  <c r="M23" i="52"/>
  <c r="D14" i="45"/>
  <c r="F14" s="1"/>
  <c r="D9"/>
  <c r="F9" s="1"/>
  <c r="D28" l="1"/>
  <c r="G32" i="19" s="1"/>
  <c r="I32" s="1"/>
  <c r="I33"/>
  <c r="K12" i="52"/>
  <c r="K90" s="1"/>
  <c r="H21" l="1"/>
  <c r="J21" s="1"/>
  <c r="I21" s="1"/>
  <c r="M21" s="1"/>
  <c r="F28" i="45"/>
  <c r="D34"/>
  <c r="F34" s="1"/>
  <c r="I21" i="19" l="1"/>
  <c r="I22"/>
  <c r="I23"/>
  <c r="I24"/>
  <c r="I25"/>
  <c r="I26"/>
  <c r="I9"/>
  <c r="I10"/>
  <c r="I11"/>
  <c r="I12"/>
  <c r="I13"/>
  <c r="I14"/>
  <c r="I15"/>
  <c r="I16"/>
  <c r="I17"/>
  <c r="I18"/>
  <c r="I19"/>
  <c r="I20"/>
  <c r="I27"/>
  <c r="I28"/>
  <c r="I29"/>
  <c r="I30"/>
  <c r="I8"/>
  <c r="D31"/>
  <c r="D35" s="1"/>
  <c r="E31"/>
  <c r="E35" s="1"/>
  <c r="F31"/>
  <c r="F35" s="1"/>
  <c r="G31"/>
  <c r="G35" s="1"/>
  <c r="H31"/>
  <c r="C31"/>
  <c r="C35" s="1"/>
  <c r="I31" l="1"/>
  <c r="L87" i="52" l="1"/>
  <c r="L88"/>
  <c r="L89"/>
  <c r="L94"/>
  <c r="H89"/>
  <c r="M89" s="1"/>
  <c r="H88"/>
  <c r="M88" s="1"/>
  <c r="H87"/>
  <c r="M87" s="1"/>
  <c r="D8" i="33"/>
  <c r="L105" i="52"/>
  <c r="L95"/>
  <c r="L79"/>
  <c r="K79"/>
  <c r="I79" s="1"/>
  <c r="M79" s="1"/>
  <c r="H79"/>
  <c r="H83" s="1"/>
  <c r="L74"/>
  <c r="L83" s="1"/>
  <c r="L103" s="1"/>
  <c r="K74"/>
  <c r="L63"/>
  <c r="L70" s="1"/>
  <c r="L102" s="1"/>
  <c r="K70"/>
  <c r="K102" s="1"/>
  <c r="J70"/>
  <c r="J102" s="1"/>
  <c r="H70"/>
  <c r="L55"/>
  <c r="L60" s="1"/>
  <c r="L101" s="1"/>
  <c r="K55"/>
  <c r="K60" s="1"/>
  <c r="K101" s="1"/>
  <c r="L45"/>
  <c r="L97" s="1"/>
  <c r="K45"/>
  <c r="K97" s="1"/>
  <c r="J45"/>
  <c r="H45"/>
  <c r="H97" s="1"/>
  <c r="G19" i="55" s="1"/>
  <c r="L35" i="52"/>
  <c r="L96" s="1"/>
  <c r="K35"/>
  <c r="G18" i="55"/>
  <c r="J32" i="52"/>
  <c r="L25"/>
  <c r="L92" s="1"/>
  <c r="L17"/>
  <c r="L91" s="1"/>
  <c r="K17"/>
  <c r="H17"/>
  <c r="H91" s="1"/>
  <c r="L12"/>
  <c r="L90" s="1"/>
  <c r="I45" l="1"/>
  <c r="J97"/>
  <c r="J93" s="1"/>
  <c r="K96"/>
  <c r="K93" s="1"/>
  <c r="I35"/>
  <c r="I70"/>
  <c r="M70" s="1"/>
  <c r="J60"/>
  <c r="J101" s="1"/>
  <c r="M55"/>
  <c r="J83"/>
  <c r="J103" s="1"/>
  <c r="K91"/>
  <c r="L23" i="28"/>
  <c r="P23"/>
  <c r="G23"/>
  <c r="M23"/>
  <c r="Q23"/>
  <c r="F23"/>
  <c r="N23"/>
  <c r="O23"/>
  <c r="H23"/>
  <c r="K23"/>
  <c r="L8" i="52"/>
  <c r="L32"/>
  <c r="L49" s="1"/>
  <c r="L100" s="1"/>
  <c r="L104" s="1"/>
  <c r="L106" s="1"/>
  <c r="K24" i="28"/>
  <c r="O24"/>
  <c r="F24"/>
  <c r="L24"/>
  <c r="P24"/>
  <c r="H24"/>
  <c r="M24"/>
  <c r="Q24"/>
  <c r="G24"/>
  <c r="N24"/>
  <c r="K32" i="52"/>
  <c r="I32" s="1"/>
  <c r="H103"/>
  <c r="H101"/>
  <c r="H102"/>
  <c r="G10" i="55"/>
  <c r="H10" s="1"/>
  <c r="G9"/>
  <c r="H9" s="1"/>
  <c r="G11"/>
  <c r="H11" s="1"/>
  <c r="G13"/>
  <c r="L93" i="52"/>
  <c r="L86"/>
  <c r="D8" i="53"/>
  <c r="D18" s="1"/>
  <c r="D19" s="1"/>
  <c r="K83" i="52"/>
  <c r="K103" s="1"/>
  <c r="L143" i="50"/>
  <c r="K143"/>
  <c r="M35" i="52" l="1"/>
  <c r="I96"/>
  <c r="M45"/>
  <c r="I97"/>
  <c r="I102"/>
  <c r="M102" s="1"/>
  <c r="I60"/>
  <c r="M60" s="1"/>
  <c r="I83"/>
  <c r="M83" s="1"/>
  <c r="R23" i="28"/>
  <c r="R24"/>
  <c r="L98" i="52"/>
  <c r="L78" i="50"/>
  <c r="K78"/>
  <c r="I78" s="1"/>
  <c r="H78"/>
  <c r="I18" i="55" l="1"/>
  <c r="H18" s="1"/>
  <c r="M96" i="52"/>
  <c r="I93"/>
  <c r="M78" i="50"/>
  <c r="I129"/>
  <c r="M97" i="52"/>
  <c r="I19" i="55"/>
  <c r="I103" i="52"/>
  <c r="M103" s="1"/>
  <c r="I101"/>
  <c r="M101" s="1"/>
  <c r="R25" i="28"/>
  <c r="H33" i="50"/>
  <c r="H37"/>
  <c r="K82"/>
  <c r="J67"/>
  <c r="K67"/>
  <c r="H67"/>
  <c r="H86" s="1"/>
  <c r="L118"/>
  <c r="K118"/>
  <c r="L107"/>
  <c r="K107"/>
  <c r="J107"/>
  <c r="H107"/>
  <c r="L100"/>
  <c r="K100"/>
  <c r="L89"/>
  <c r="K89"/>
  <c r="J89"/>
  <c r="I89" s="1"/>
  <c r="M89" s="1"/>
  <c r="H89"/>
  <c r="H104" s="1"/>
  <c r="M104" s="1"/>
  <c r="L82"/>
  <c r="L67"/>
  <c r="L63"/>
  <c r="K63"/>
  <c r="J63"/>
  <c r="I63" s="1"/>
  <c r="H63"/>
  <c r="L56"/>
  <c r="L135" s="1"/>
  <c r="K56"/>
  <c r="K135" s="1"/>
  <c r="J56"/>
  <c r="H56"/>
  <c r="H135" s="1"/>
  <c r="L52"/>
  <c r="L134" s="1"/>
  <c r="K52"/>
  <c r="K134" s="1"/>
  <c r="J52"/>
  <c r="H52"/>
  <c r="H134" s="1"/>
  <c r="L46"/>
  <c r="L133" s="1"/>
  <c r="K46"/>
  <c r="K133" s="1"/>
  <c r="J46"/>
  <c r="H46"/>
  <c r="H133" s="1"/>
  <c r="L43"/>
  <c r="L132" s="1"/>
  <c r="K43"/>
  <c r="K132" s="1"/>
  <c r="K131" s="1"/>
  <c r="J43"/>
  <c r="H43"/>
  <c r="H132" s="1"/>
  <c r="L37"/>
  <c r="K37"/>
  <c r="J37"/>
  <c r="I37" s="1"/>
  <c r="L33"/>
  <c r="L129" s="1"/>
  <c r="K33"/>
  <c r="K129" s="1"/>
  <c r="L21"/>
  <c r="K21"/>
  <c r="J21"/>
  <c r="I21" s="1"/>
  <c r="H21"/>
  <c r="L16"/>
  <c r="L127" s="1"/>
  <c r="K16"/>
  <c r="K127" s="1"/>
  <c r="J16"/>
  <c r="H16"/>
  <c r="H127" s="1"/>
  <c r="L9"/>
  <c r="L126" s="1"/>
  <c r="K9"/>
  <c r="K126" s="1"/>
  <c r="H9"/>
  <c r="D67" i="49"/>
  <c r="G67" s="1"/>
  <c r="D55"/>
  <c r="G55" s="1"/>
  <c r="D52"/>
  <c r="G52" s="1"/>
  <c r="D49"/>
  <c r="D37"/>
  <c r="G37" s="1"/>
  <c r="D33"/>
  <c r="G33" s="1"/>
  <c r="D30"/>
  <c r="G30" s="1"/>
  <c r="D26"/>
  <c r="F26" s="1"/>
  <c r="G26" s="1"/>
  <c r="D23"/>
  <c r="F23" s="1"/>
  <c r="D20"/>
  <c r="G20" s="1"/>
  <c r="H129" i="50" l="1"/>
  <c r="M33"/>
  <c r="J127"/>
  <c r="I127" s="1"/>
  <c r="I16"/>
  <c r="I67"/>
  <c r="M67" s="1"/>
  <c r="M37"/>
  <c r="J132"/>
  <c r="I43"/>
  <c r="M43" s="1"/>
  <c r="J133"/>
  <c r="I133" s="1"/>
  <c r="I46"/>
  <c r="M46" s="1"/>
  <c r="J134"/>
  <c r="I134" s="1"/>
  <c r="I52"/>
  <c r="M52" s="1"/>
  <c r="J135"/>
  <c r="I135" s="1"/>
  <c r="I56"/>
  <c r="M56" s="1"/>
  <c r="M63"/>
  <c r="J118"/>
  <c r="I107"/>
  <c r="M107" s="1"/>
  <c r="D62" i="49"/>
  <c r="G62" s="1"/>
  <c r="G49"/>
  <c r="M21" i="50"/>
  <c r="I20" i="55"/>
  <c r="H19"/>
  <c r="G23" i="49"/>
  <c r="F27"/>
  <c r="E15" i="28"/>
  <c r="E12" i="55"/>
  <c r="I118" i="50"/>
  <c r="J123"/>
  <c r="J141" s="1"/>
  <c r="M129"/>
  <c r="D27" i="49"/>
  <c r="D38" s="1"/>
  <c r="H122" i="50"/>
  <c r="L123"/>
  <c r="L141" s="1"/>
  <c r="K130"/>
  <c r="K125" s="1"/>
  <c r="H100"/>
  <c r="H105" s="1"/>
  <c r="H140" s="1"/>
  <c r="H126"/>
  <c r="C10" i="55"/>
  <c r="C9"/>
  <c r="J128" i="50"/>
  <c r="I128" s="1"/>
  <c r="H131"/>
  <c r="C16" i="55"/>
  <c r="C17"/>
  <c r="C18"/>
  <c r="C19"/>
  <c r="H128" i="50"/>
  <c r="L8"/>
  <c r="K8"/>
  <c r="H8"/>
  <c r="H61" s="1"/>
  <c r="K42"/>
  <c r="H42"/>
  <c r="J42"/>
  <c r="I42" s="1"/>
  <c r="M42" s="1"/>
  <c r="L42"/>
  <c r="K123"/>
  <c r="K141" s="1"/>
  <c r="K87"/>
  <c r="K139" s="1"/>
  <c r="K105"/>
  <c r="L131"/>
  <c r="L87"/>
  <c r="L139" s="1"/>
  <c r="L105"/>
  <c r="L140" s="1"/>
  <c r="M134" l="1"/>
  <c r="E18" i="55"/>
  <c r="D18" s="1"/>
  <c r="D10"/>
  <c r="E10"/>
  <c r="M127" i="50"/>
  <c r="H15" i="28"/>
  <c r="L15"/>
  <c r="P15"/>
  <c r="I15"/>
  <c r="M15"/>
  <c r="Q15"/>
  <c r="J15"/>
  <c r="N15"/>
  <c r="F15"/>
  <c r="G15"/>
  <c r="K15"/>
  <c r="O15"/>
  <c r="E19" i="55"/>
  <c r="D19" s="1"/>
  <c r="M135" i="50"/>
  <c r="E17" i="55"/>
  <c r="M133" i="50"/>
  <c r="D17" i="55"/>
  <c r="J131" i="50"/>
  <c r="I132"/>
  <c r="E13" i="28"/>
  <c r="N13" s="1"/>
  <c r="M16" i="50"/>
  <c r="E14" i="28"/>
  <c r="M128" i="50"/>
  <c r="E11" i="55"/>
  <c r="G27" i="49"/>
  <c r="F38"/>
  <c r="H29" i="52"/>
  <c r="M29" s="1"/>
  <c r="M122" i="50"/>
  <c r="H143"/>
  <c r="I123"/>
  <c r="I141" s="1"/>
  <c r="J82"/>
  <c r="J87" s="1"/>
  <c r="J139" s="1"/>
  <c r="I86"/>
  <c r="H118"/>
  <c r="H123" s="1"/>
  <c r="H141" s="1"/>
  <c r="H82"/>
  <c r="H87" s="1"/>
  <c r="H139" s="1"/>
  <c r="J25" i="52"/>
  <c r="J92" s="1"/>
  <c r="J100" i="50"/>
  <c r="C11" i="55"/>
  <c r="D11" s="1"/>
  <c r="C12"/>
  <c r="D12" s="1"/>
  <c r="C20"/>
  <c r="D69" i="49"/>
  <c r="K136" i="50"/>
  <c r="L61"/>
  <c r="L138" s="1"/>
  <c r="L142" s="1"/>
  <c r="L144" s="1"/>
  <c r="L136"/>
  <c r="K61"/>
  <c r="K138" s="1"/>
  <c r="G38" i="49" l="1"/>
  <c r="F69"/>
  <c r="I131" i="50"/>
  <c r="M131" s="1"/>
  <c r="E16" i="55"/>
  <c r="M132" i="50"/>
  <c r="R15" i="28"/>
  <c r="M86" i="50"/>
  <c r="I143"/>
  <c r="M143" s="1"/>
  <c r="M141"/>
  <c r="H25" i="52"/>
  <c r="H92" s="1"/>
  <c r="H105"/>
  <c r="M105" s="1"/>
  <c r="H34" i="19"/>
  <c r="M118" i="50"/>
  <c r="M123"/>
  <c r="I100"/>
  <c r="J105"/>
  <c r="J140" s="1"/>
  <c r="I82"/>
  <c r="H138"/>
  <c r="H142" s="1"/>
  <c r="H144" s="1"/>
  <c r="H130"/>
  <c r="J130"/>
  <c r="I34" i="19"/>
  <c r="I35" s="1"/>
  <c r="H35"/>
  <c r="F14" i="28"/>
  <c r="G14"/>
  <c r="R13"/>
  <c r="C12" i="43"/>
  <c r="E18" i="24"/>
  <c r="C10" i="43"/>
  <c r="K9" i="44"/>
  <c r="K10"/>
  <c r="E10" i="43"/>
  <c r="G10" s="1"/>
  <c r="C19" i="34"/>
  <c r="G34"/>
  <c r="G33"/>
  <c r="G32"/>
  <c r="G31"/>
  <c r="G30"/>
  <c r="G29"/>
  <c r="G28"/>
  <c r="F27"/>
  <c r="E27"/>
  <c r="D27"/>
  <c r="C27"/>
  <c r="G26"/>
  <c r="G25"/>
  <c r="G24"/>
  <c r="G23"/>
  <c r="G22"/>
  <c r="G21"/>
  <c r="G20"/>
  <c r="F19"/>
  <c r="E19"/>
  <c r="D19"/>
  <c r="G16"/>
  <c r="G15"/>
  <c r="G14"/>
  <c r="D11"/>
  <c r="E11" s="1"/>
  <c r="F11" s="1"/>
  <c r="G11" s="1"/>
  <c r="E25" i="24"/>
  <c r="E23"/>
  <c r="E22"/>
  <c r="C17" i="34"/>
  <c r="C18" s="1"/>
  <c r="D13"/>
  <c r="E13" s="1"/>
  <c r="F13" s="1"/>
  <c r="G13" s="1"/>
  <c r="J10" i="50" l="1"/>
  <c r="G69" i="49"/>
  <c r="G70" s="1"/>
  <c r="E20" i="55"/>
  <c r="D16"/>
  <c r="D20" s="1"/>
  <c r="M100" i="50"/>
  <c r="I105"/>
  <c r="I140" s="1"/>
  <c r="M82"/>
  <c r="I87"/>
  <c r="I130"/>
  <c r="E16" i="28" s="1"/>
  <c r="E15" i="43"/>
  <c r="G15" s="1"/>
  <c r="H34" i="52"/>
  <c r="M34" s="1"/>
  <c r="C13" i="55"/>
  <c r="K105" i="52"/>
  <c r="K25"/>
  <c r="I25" s="1"/>
  <c r="H125" i="50"/>
  <c r="H136" s="1"/>
  <c r="F35" i="34"/>
  <c r="D35"/>
  <c r="R14" i="28"/>
  <c r="G14" i="55"/>
  <c r="E21" i="26"/>
  <c r="E26" i="24"/>
  <c r="E35" i="34"/>
  <c r="G19"/>
  <c r="G27"/>
  <c r="D17"/>
  <c r="D18" s="1"/>
  <c r="G9"/>
  <c r="F17"/>
  <c r="F18" s="1"/>
  <c r="F36" s="1"/>
  <c r="E17"/>
  <c r="E18" s="1"/>
  <c r="C35"/>
  <c r="H16" i="28" l="1"/>
  <c r="L16"/>
  <c r="L20" s="1"/>
  <c r="P16"/>
  <c r="P20" s="1"/>
  <c r="G16"/>
  <c r="O16"/>
  <c r="O20" s="1"/>
  <c r="I16"/>
  <c r="I20" s="1"/>
  <c r="M16"/>
  <c r="M20" s="1"/>
  <c r="Q16"/>
  <c r="Q20" s="1"/>
  <c r="J16"/>
  <c r="J20" s="1"/>
  <c r="N16"/>
  <c r="N20" s="1"/>
  <c r="F16"/>
  <c r="K16"/>
  <c r="K20" s="1"/>
  <c r="M105" i="50"/>
  <c r="I10"/>
  <c r="J9"/>
  <c r="M87"/>
  <c r="I139"/>
  <c r="M139" s="1"/>
  <c r="M25" i="52"/>
  <c r="I92"/>
  <c r="E28" i="28" s="1"/>
  <c r="I28" s="1"/>
  <c r="M130" i="50"/>
  <c r="E13" i="55"/>
  <c r="K142" i="50"/>
  <c r="K144" s="1"/>
  <c r="D36" i="34"/>
  <c r="H95" i="52"/>
  <c r="M95" s="1"/>
  <c r="H32"/>
  <c r="M32" s="1"/>
  <c r="G28" i="28"/>
  <c r="H28"/>
  <c r="L28"/>
  <c r="Q28"/>
  <c r="J28"/>
  <c r="K8" i="52"/>
  <c r="K92"/>
  <c r="E36" i="34"/>
  <c r="G35"/>
  <c r="C36"/>
  <c r="G17"/>
  <c r="G18"/>
  <c r="R16" i="28" l="1"/>
  <c r="F28"/>
  <c r="O28"/>
  <c r="I9" i="50"/>
  <c r="M10"/>
  <c r="J126"/>
  <c r="J8"/>
  <c r="J61" s="1"/>
  <c r="J138" s="1"/>
  <c r="J142" s="1"/>
  <c r="J144" s="1"/>
  <c r="M28" i="28"/>
  <c r="N28"/>
  <c r="P28"/>
  <c r="K28"/>
  <c r="R28" s="1"/>
  <c r="I14" i="55"/>
  <c r="H14" s="1"/>
  <c r="M92" i="52"/>
  <c r="K86"/>
  <c r="K49"/>
  <c r="D13" i="55"/>
  <c r="M140" i="50"/>
  <c r="E31" i="28"/>
  <c r="H93" i="52"/>
  <c r="M93" s="1"/>
  <c r="G17" i="55"/>
  <c r="G36" i="34"/>
  <c r="D11" i="33"/>
  <c r="C15" i="55"/>
  <c r="H16" i="52" l="1"/>
  <c r="J16"/>
  <c r="I126" i="50"/>
  <c r="J125"/>
  <c r="G20" i="55"/>
  <c r="H17"/>
  <c r="H20" s="1"/>
  <c r="M9" i="50"/>
  <c r="E11" i="28"/>
  <c r="I8" i="50"/>
  <c r="K100" i="52"/>
  <c r="K98"/>
  <c r="D25" i="33"/>
  <c r="H12" i="52"/>
  <c r="C21" i="55"/>
  <c r="I16" i="52" l="1"/>
  <c r="J12"/>
  <c r="I12" s="1"/>
  <c r="J136" i="50"/>
  <c r="I125"/>
  <c r="E20" i="28"/>
  <c r="F11"/>
  <c r="G11"/>
  <c r="G20" s="1"/>
  <c r="E9" i="55"/>
  <c r="M126" i="50"/>
  <c r="M8"/>
  <c r="I61"/>
  <c r="M16" i="52"/>
  <c r="I90"/>
  <c r="J90"/>
  <c r="K104"/>
  <c r="H90"/>
  <c r="H8"/>
  <c r="H49" s="1"/>
  <c r="H100" s="1"/>
  <c r="H104" s="1"/>
  <c r="H106" s="1"/>
  <c r="H11" i="28" l="1"/>
  <c r="H20" s="1"/>
  <c r="F20"/>
  <c r="R11"/>
  <c r="R20" s="1"/>
  <c r="M90" i="52"/>
  <c r="E26" i="28"/>
  <c r="D9" i="55"/>
  <c r="D15" s="1"/>
  <c r="D21" s="1"/>
  <c r="E15"/>
  <c r="E21" s="1"/>
  <c r="M125" i="50"/>
  <c r="I136"/>
  <c r="M136" s="1"/>
  <c r="M12" i="52"/>
  <c r="I138" i="50"/>
  <c r="M61"/>
  <c r="I12" i="55"/>
  <c r="K106" i="52"/>
  <c r="G12" i="55"/>
  <c r="G15" s="1"/>
  <c r="G21" s="1"/>
  <c r="H86" i="52"/>
  <c r="H98" s="1"/>
  <c r="I142" i="50" l="1"/>
  <c r="M138"/>
  <c r="H12" i="55"/>
  <c r="G26" i="28"/>
  <c r="K26"/>
  <c r="O26"/>
  <c r="H26"/>
  <c r="L26"/>
  <c r="P26"/>
  <c r="I26"/>
  <c r="M26"/>
  <c r="Q26"/>
  <c r="J26"/>
  <c r="N26"/>
  <c r="F26"/>
  <c r="I144" i="50" l="1"/>
  <c r="M144" s="1"/>
  <c r="M142"/>
  <c r="R26" i="28"/>
  <c r="J17" i="52"/>
  <c r="J91" s="1"/>
  <c r="J86" s="1"/>
  <c r="J98" s="1"/>
  <c r="J8" l="1"/>
  <c r="I8" s="1"/>
  <c r="I17"/>
  <c r="M17" l="1"/>
  <c r="I91"/>
  <c r="M8"/>
  <c r="J49"/>
  <c r="I49" l="1"/>
  <c r="J100"/>
  <c r="J104" s="1"/>
  <c r="J106" s="1"/>
  <c r="E27" i="28"/>
  <c r="M91" i="52"/>
  <c r="I86"/>
  <c r="I13" i="55"/>
  <c r="L27" i="28" l="1"/>
  <c r="L32" s="1"/>
  <c r="G27"/>
  <c r="G32" s="1"/>
  <c r="K27"/>
  <c r="K32" s="1"/>
  <c r="P27"/>
  <c r="P32" s="1"/>
  <c r="M27"/>
  <c r="M32" s="1"/>
  <c r="Q27"/>
  <c r="Q32" s="1"/>
  <c r="E32"/>
  <c r="E33" s="1"/>
  <c r="I27"/>
  <c r="I32" s="1"/>
  <c r="N27"/>
  <c r="N32" s="1"/>
  <c r="F27"/>
  <c r="H27"/>
  <c r="H32" s="1"/>
  <c r="O27"/>
  <c r="O32" s="1"/>
  <c r="J27"/>
  <c r="J32" s="1"/>
  <c r="H13" i="55"/>
  <c r="H15" s="1"/>
  <c r="H21" s="1"/>
  <c r="I15"/>
  <c r="I21" s="1"/>
  <c r="I22" s="1"/>
  <c r="M86" i="52"/>
  <c r="I98"/>
  <c r="M98" s="1"/>
  <c r="M49"/>
  <c r="I100"/>
  <c r="F32" i="28" l="1"/>
  <c r="R27"/>
  <c r="R32" s="1"/>
  <c r="R33" s="1"/>
  <c r="M100" i="52"/>
  <c r="I104"/>
  <c r="I106" l="1"/>
  <c r="M106" s="1"/>
  <c r="M104"/>
  <c r="N104" s="1"/>
</calcChain>
</file>

<file path=xl/sharedStrings.xml><?xml version="1.0" encoding="utf-8"?>
<sst xmlns="http://schemas.openxmlformats.org/spreadsheetml/2006/main" count="860" uniqueCount="523">
  <si>
    <t>Megnevezés</t>
  </si>
  <si>
    <t>Kelemen László Művelődési Ház</t>
  </si>
  <si>
    <t>Összesen</t>
  </si>
  <si>
    <t>Köztemető-fenntartás és működtetés</t>
  </si>
  <si>
    <t>Város- községgazd. m.n.s. szolg.</t>
  </si>
  <si>
    <t>Dologi kiadás</t>
  </si>
  <si>
    <t>Sportlétesítmények működt. és fejl.</t>
  </si>
  <si>
    <t>Múzeumi kiállítási tevékenység</t>
  </si>
  <si>
    <t>Ifjúsági- egészségügyi gondozás</t>
  </si>
  <si>
    <t>Ár- és belvízvéd. összefüggő tev.</t>
  </si>
  <si>
    <t>Közvilágítás</t>
  </si>
  <si>
    <t>Kiemelt állami és önk. rendezvények</t>
  </si>
  <si>
    <t>Lakóingatlan bérbeadása, üzemeltetése</t>
  </si>
  <si>
    <t>Bevételek</t>
  </si>
  <si>
    <t>Működési kiadások</t>
  </si>
  <si>
    <t>összesen</t>
  </si>
  <si>
    <t>vezető</t>
  </si>
  <si>
    <t>pénztáros-ügyintéző</t>
  </si>
  <si>
    <t>kisegítő</t>
  </si>
  <si>
    <t>Kelemen László Művelődési Ház összesen</t>
  </si>
  <si>
    <t>segédkönyvtáros</t>
  </si>
  <si>
    <t>Városi Könyvtár összesen</t>
  </si>
  <si>
    <t>jegyző</t>
  </si>
  <si>
    <t>közalkalmazott</t>
  </si>
  <si>
    <t>Város, községgazdálkodás</t>
  </si>
  <si>
    <t>Személyi juttatások</t>
  </si>
  <si>
    <t>FELHALMOZÁSI CÉLÚ KÖTELEZETTSÉGEK ÖSSZESEN</t>
  </si>
  <si>
    <t>Lejárat éve</t>
  </si>
  <si>
    <t>Kötelezettség vállalás éve</t>
  </si>
  <si>
    <t>Kötelezettség jogcíme</t>
  </si>
  <si>
    <t>Dologi kiadások</t>
  </si>
  <si>
    <t>Kiadások</t>
  </si>
  <si>
    <t>december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</si>
  <si>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</si>
  <si>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</si>
  <si>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</si>
  <si>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</si>
  <si>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</si>
  <si>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</si>
  <si>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</si>
  <si>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</si>
  <si>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</si>
  <si>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</si>
  <si>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Felhalmozási kiadások</t>
  </si>
  <si>
    <t>Társadalmi szerveknek átadott pénzeszközök összesen</t>
  </si>
  <si>
    <t>MEGNEVEZÉS</t>
  </si>
  <si>
    <t>Zöldterület-kezelés</t>
  </si>
  <si>
    <t>Saját bevétel és adósságot keletkeztető ügyletből eredő fizetési kötelezettség összegei</t>
  </si>
  <si>
    <t>Helyi adók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</si>
  <si>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</si>
  <si>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</si>
  <si>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</si>
  <si>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</si>
  <si>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</si>
  <si>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</si>
  <si>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</si>
  <si>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</si>
  <si>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</si>
  <si>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</si>
  <si>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</si>
  <si>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</si>
  <si>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</si>
  <si>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Csanádpalota Város Önkormányzata adósságot keletkeztető ügyleteiből eredő fizetési kötelezettségeinek bemutatása</t>
  </si>
  <si>
    <t>Bölcsődei étkeztetés</t>
  </si>
  <si>
    <t>Kulturális műsorok szervezése (zenekarvezetés)</t>
  </si>
  <si>
    <t>Csanádpalotai Közös Önkormányzati Hivatal</t>
  </si>
  <si>
    <t>MŰKÖDÉSI CÉLÚ KÖTELEZETTSÉGEK ÖSSZESEN</t>
  </si>
  <si>
    <t>Összesen:</t>
  </si>
  <si>
    <t>Beruházás összesen</t>
  </si>
  <si>
    <t>Felújítás összesen</t>
  </si>
  <si>
    <t>Felújítás</t>
  </si>
  <si>
    <t>Összeg</t>
  </si>
  <si>
    <t>Kiadási jogcím</t>
  </si>
  <si>
    <t>egyéb nyújtott kedvezmény , kölcsön elengedés</t>
  </si>
  <si>
    <t>gépjárműadónál biztosított kedvezmény mentesség</t>
  </si>
  <si>
    <t>iparűzési adónál biztosított kedvezmény mentesség</t>
  </si>
  <si>
    <t>lakosság részére lakásépítési, -felújítási kölcsön elengedése</t>
  </si>
  <si>
    <t>ellátottak térítési díjának méltányossági alapon történő elengedése</t>
  </si>
  <si>
    <t>jogcím</t>
  </si>
  <si>
    <t>mérték %</t>
  </si>
  <si>
    <t xml:space="preserve">A támogatás kedvezményezettje </t>
  </si>
  <si>
    <t>Egyéb</t>
  </si>
  <si>
    <t>Adókedvezmény</t>
  </si>
  <si>
    <t>Adóelengedés</t>
  </si>
  <si>
    <t>Bevételi jogcím</t>
  </si>
  <si>
    <t>Közös Önkormányzati Hivatal összesen</t>
  </si>
  <si>
    <t>köztisztviselő Csanádpalota székhely</t>
  </si>
  <si>
    <t>Önkormányzat igazgatási feladat ellátása</t>
  </si>
  <si>
    <t>Csanád-Mikro Térségi Társulásnak átadott hozzájárulás</t>
  </si>
  <si>
    <t>Szociális étkeztetés</t>
  </si>
  <si>
    <t>köztisztviselő Kövegy  kirendeltség</t>
  </si>
  <si>
    <t>köztisztviselő Királyhegyes kirendeltség</t>
  </si>
  <si>
    <t>Csanádpalotai Városi Könyvtár</t>
  </si>
  <si>
    <t>Gyermekétkeztetés üzemeltetési támogatása</t>
  </si>
  <si>
    <t>Csanádpalota Városi Könyvtár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</si>
  <si>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</si>
  <si>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 finanszírozás szempontjából elismert szakmai dolgozók bértámogatása</t>
  </si>
  <si>
    <t xml:space="preserve">  </t>
  </si>
  <si>
    <t>Közfoglalkoztatottak</t>
  </si>
  <si>
    <t xml:space="preserve"> </t>
  </si>
  <si>
    <t>Működési bevételek</t>
  </si>
  <si>
    <t>Saját bevételek</t>
  </si>
  <si>
    <t xml:space="preserve">Civil szervezeteknek átadott </t>
  </si>
  <si>
    <t>polgármester</t>
  </si>
  <si>
    <t>Intézmény neve</t>
  </si>
  <si>
    <t>Kötelezettség</t>
  </si>
  <si>
    <t>Önkormányzat</t>
  </si>
  <si>
    <t>Közös Önkormányzati Hivatal</t>
  </si>
  <si>
    <t>Csanádpalota Városi Önkormányzat összesen</t>
  </si>
  <si>
    <t>I.1.a</t>
  </si>
  <si>
    <t>Önkormányzati hivatal működésének támogatása</t>
  </si>
  <si>
    <t>I.1.ba</t>
  </si>
  <si>
    <t>A zöldterület gazdálkodással kapcsolatos feladatok ellátása</t>
  </si>
  <si>
    <t>I.1.bb</t>
  </si>
  <si>
    <t>Közvilágítás fenntartása</t>
  </si>
  <si>
    <t>I.1.bc</t>
  </si>
  <si>
    <t>Köztemető fenntartása</t>
  </si>
  <si>
    <t>I.1.bd</t>
  </si>
  <si>
    <t>Közutak fenntartása</t>
  </si>
  <si>
    <t>I.1.c</t>
  </si>
  <si>
    <t>Egyéb önkormányzati feladatok</t>
  </si>
  <si>
    <t>I.1.d.</t>
  </si>
  <si>
    <t>Lakott külterülettel kapcsolatos feladatok</t>
  </si>
  <si>
    <t>I.1.b</t>
  </si>
  <si>
    <t>Település-üzemeltetéshez kapcsolódó feladatok</t>
  </si>
  <si>
    <t>I.1.</t>
  </si>
  <si>
    <t>A települési önkormányzatok működésének támogatása</t>
  </si>
  <si>
    <t>I.2.</t>
  </si>
  <si>
    <t>Nem közművel összegyűjtött háztartási szennyvíz</t>
  </si>
  <si>
    <t>I.6.</t>
  </si>
  <si>
    <t>I.</t>
  </si>
  <si>
    <t>II.1.(1)1</t>
  </si>
  <si>
    <t>Óvodapedagógusok 8 havi bértámogatása</t>
  </si>
  <si>
    <t>II.1.(1)2</t>
  </si>
  <si>
    <t>Óvodapedagógusok 4 havi bértámogatása</t>
  </si>
  <si>
    <t>Óvodapedagógusok átlagbérének és közterheinek elismert összege</t>
  </si>
  <si>
    <t>II.1.(2)1</t>
  </si>
  <si>
    <t>Segítők 8 havi bértámogatása</t>
  </si>
  <si>
    <t>II.1.(2)2</t>
  </si>
  <si>
    <t>Segítők 4 havi bértámogatása</t>
  </si>
  <si>
    <t>Óvodapedagógusok nevelő munkáját közvetlenül segítők átlagbérének és közterheinek elismert összege</t>
  </si>
  <si>
    <t>Óvodapedagusok, és az óvodapedagógusok nevelő munkáját közvetlenül segítők bértámogatása</t>
  </si>
  <si>
    <t>II.2.(8)1</t>
  </si>
  <si>
    <t>Óvodaműködtetési támogatás - 8 hónap</t>
  </si>
  <si>
    <t>II.2.(8)2</t>
  </si>
  <si>
    <t>Óvodaműködtetési támogatás - 4 hónap</t>
  </si>
  <si>
    <t>Óvodaműködtetési támogatás</t>
  </si>
  <si>
    <t>II.3.1</t>
  </si>
  <si>
    <t xml:space="preserve">Gyerekek utaztatásának 8 havi támogatása </t>
  </si>
  <si>
    <t>II.3.2</t>
  </si>
  <si>
    <t xml:space="preserve">Gyerekek utaztatásának 4 havi támogatása </t>
  </si>
  <si>
    <t>Társulás által fenntartott óvodákba bejáró gyerekek utaztatásának támogatása</t>
  </si>
  <si>
    <t>A köznevelési intézmények működéséhez kapcsolódó támogatás</t>
  </si>
  <si>
    <t>Kiegészítő támogatás az óvodapedagógusok minősítéséből adódó többletkiadásokhoz</t>
  </si>
  <si>
    <t>II.</t>
  </si>
  <si>
    <t>III.2</t>
  </si>
  <si>
    <t>A Települési önkormányzatok szociális feladatainak egyéb támogatása</t>
  </si>
  <si>
    <t>Szociális és gyermekjóléti alapszolgáltatások általános feladatai</t>
  </si>
  <si>
    <t>III.3.a</t>
  </si>
  <si>
    <t xml:space="preserve"> - ebből:  családsegítés</t>
  </si>
  <si>
    <t>III.3.b</t>
  </si>
  <si>
    <t xml:space="preserve"> - ebből: gyermekjóléti szolgálat</t>
  </si>
  <si>
    <t>III.3.c(1)</t>
  </si>
  <si>
    <t>III.3.c(2)</t>
  </si>
  <si>
    <t>Szociális étkeztetés - társulás által történő feladatellátás</t>
  </si>
  <si>
    <t>III.3.da</t>
  </si>
  <si>
    <t>Házi segítségnyújtás - szociális segítés</t>
  </si>
  <si>
    <t>III.3.db (1)</t>
  </si>
  <si>
    <t>Házi segítségnyújtás - személyi gondozás</t>
  </si>
  <si>
    <t>III.3.db (2)</t>
  </si>
  <si>
    <t>Házi segítségnyújtás - személyi gondozás - társulás által történő feladatellátás</t>
  </si>
  <si>
    <t>III.3.f(2)</t>
  </si>
  <si>
    <t>Időskorúak nappali intézményi ellátása</t>
  </si>
  <si>
    <t>III.3</t>
  </si>
  <si>
    <t>Egyes szociális és gyermekjóléti feladatok támogatása</t>
  </si>
  <si>
    <t>III.4.a</t>
  </si>
  <si>
    <t>III.4.b</t>
  </si>
  <si>
    <t>Intézmény üzemeltetési támogatás</t>
  </si>
  <si>
    <t>III.4</t>
  </si>
  <si>
    <t xml:space="preserve">A települési önkormányzatok által biztosított egyes szociális szakosított ellátások, valamint a gyermekek átmeneti gondozásával kapcsolatos feladatok támogatása </t>
  </si>
  <si>
    <t>III.5.a</t>
  </si>
  <si>
    <t>A finanszírozás szempontjából elismert dolgozók bértámogatása</t>
  </si>
  <si>
    <t>III.5.b</t>
  </si>
  <si>
    <t>III.5</t>
  </si>
  <si>
    <t>Gyermekétkeztetés támogatása</t>
  </si>
  <si>
    <t>III.6.</t>
  </si>
  <si>
    <t>A rászoruló gyermekek intézményen kívüli szünidei étkeztetésének támogatása</t>
  </si>
  <si>
    <t>III.</t>
  </si>
  <si>
    <t>IV.1.d</t>
  </si>
  <si>
    <t>Települési önkormányzatok nyilvános könyvtári és közművelődési feladatainak támogatása</t>
  </si>
  <si>
    <t>IV.1</t>
  </si>
  <si>
    <t>Könyvtári, közművelődési és múzeumi feladatok támogatása</t>
  </si>
  <si>
    <t>IV.2</t>
  </si>
  <si>
    <t>A települési önkormányzatok által fenntartott, illetve támogatott előadó-művészeti szervezetek támogatása</t>
  </si>
  <si>
    <t>IV.</t>
  </si>
  <si>
    <t xml:space="preserve">TÁMOGATÁS    Ö S S Z E S E N </t>
  </si>
  <si>
    <t>Jogcím</t>
  </si>
  <si>
    <t>HELYI ÖNKORMÁNYZATOK MŰKÖDÉSÉNEK ÁLTALÁNOS TÁMOGATÁSA</t>
  </si>
  <si>
    <t>Jogcím megnevezése</t>
  </si>
  <si>
    <t>Támogatás összege</t>
  </si>
  <si>
    <t>adatok Ft-ban</t>
  </si>
  <si>
    <t>ÖSSZESEN</t>
  </si>
  <si>
    <t xml:space="preserve">A TELEPÜLÉSI ÖNKORMÁNYZATOK EGYES KÖZNEVELÉSI FELADATAINAK TÁMOGATÁSA </t>
  </si>
  <si>
    <t>A TELEPÜLÉSI ÖNKORMÁNYZATOK SZOCIÁLIS, GYERMEKJÓLÉTI ÉS GYERMEKÉTKEZTETÉSI FELADATAINAK TÁMOGATÁSA</t>
  </si>
  <si>
    <t xml:space="preserve">A TELEPÜLÉSI ÖNKORMÁNYZATOK KULTURÁLIS FELADATAINAK TÁMOGATÁSA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</si>
  <si>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</si>
  <si>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</si>
  <si>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</si>
  <si>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</si>
  <si>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</si>
  <si>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</si>
  <si>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</si>
  <si>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</si>
  <si>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</si>
  <si>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</si>
  <si>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Előirányzat csoport</t>
  </si>
  <si>
    <t>Kiemelt előirányzat</t>
  </si>
  <si>
    <t>Jogcím csoport</t>
  </si>
  <si>
    <t>Költségvetés</t>
  </si>
  <si>
    <t>Kötelezően ellátott feladatok</t>
  </si>
  <si>
    <t>Önként vállalt feladatok</t>
  </si>
  <si>
    <t>Állami (államigazgatási) feladatok</t>
  </si>
  <si>
    <t>Működési költségvetés</t>
  </si>
  <si>
    <t>Működési célú támogatások államháztartáson belülről</t>
  </si>
  <si>
    <t>Önkormányzatok működési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</si>
  <si>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</si>
  <si>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</si>
  <si>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</si>
  <si>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</si>
  <si>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</si>
  <si>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Közhatalmi bevételek</t>
  </si>
  <si>
    <t xml:space="preserve">Vagyoni típusú adók </t>
  </si>
  <si>
    <t>Gépjármű adó</t>
  </si>
  <si>
    <t>Egyéb közhatalmi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</si>
  <si>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</si>
  <si>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</si>
  <si>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</si>
  <si>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</si>
  <si>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</si>
  <si>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</si>
  <si>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</si>
  <si>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 bevételek</t>
  </si>
  <si>
    <t>Egyéb pénzügyi műveletek bevételei</t>
  </si>
  <si>
    <t>Biztosító által fizetett kártérítés</t>
  </si>
  <si>
    <t>Egyéb működési bevételek</t>
  </si>
  <si>
    <t>Működési célú átvett pénzeszközök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</si>
  <si>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</si>
  <si>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</si>
  <si>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Finanszírozási bevételek</t>
  </si>
  <si>
    <t>Hitel és kölcsön felvétel ÁH-on kívülről</t>
  </si>
  <si>
    <t>Belföldi értékpapírok bevételei</t>
  </si>
  <si>
    <t>Maradvány igénybevétele</t>
  </si>
  <si>
    <t>Központi irányítószervi támogatás</t>
  </si>
  <si>
    <t>Felhalmozási költségvetés</t>
  </si>
  <si>
    <t>Felhalmozási bevételek</t>
  </si>
  <si>
    <t>Ingatlanok értékesítése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</si>
  <si>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</si>
  <si>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</si>
  <si>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</si>
  <si>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</si>
  <si>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</si>
  <si>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</si>
  <si>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</si>
  <si>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</si>
  <si>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</si>
  <si>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</si>
  <si>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</si>
  <si>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Polgármesteri Hivatal</t>
  </si>
  <si>
    <t>Bevételek összesen előirányzat csoportonként és kiemelt előirányzatonként</t>
  </si>
  <si>
    <t>Bevételek összesen:</t>
  </si>
  <si>
    <t>Bevételek összesen intézményenként</t>
  </si>
  <si>
    <t>Intézményi támogatás</t>
  </si>
  <si>
    <t>Bevételek összesen intézményi támogatás nélkül</t>
  </si>
  <si>
    <t>AZ ÖNKORMÁNYZAT ÖSSZES BEVÉTELE KÖLTSÉGVETÉSI SZERVENKÉNT ÉS ÖSSZEVONTAN</t>
  </si>
  <si>
    <t>Értékesítési és forgalmi adó (Helyi iparűzési adó)</t>
  </si>
  <si>
    <t>Munkaadókat terhelő járulékok és szociális hozzájárulási adó</t>
  </si>
  <si>
    <t>Ellátottak pénzbeli juttatásai</t>
  </si>
  <si>
    <t>Betegséggel kapcsolatos ellátások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</si>
  <si>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</si>
  <si>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</si>
  <si>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</si>
  <si>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</si>
  <si>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</si>
  <si>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</si>
  <si>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Műköldési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</si>
  <si>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</si>
  <si>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</si>
  <si>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>Egyéb működési célú támogatások államháztartáson kívülre</t>
  </si>
  <si>
    <t>Működési célú tartalék</t>
  </si>
  <si>
    <t>Finanszírozási kiadások</t>
  </si>
  <si>
    <t>Hitel és kölcsön törlesztés ÁH-on kívülre</t>
  </si>
  <si>
    <t>Belföldi értékpapírok kiadása</t>
  </si>
  <si>
    <t>Központi iránytószervi támogatás viszafizetése</t>
  </si>
  <si>
    <t>Központi, irányítószervi támogatás folyósítása</t>
  </si>
  <si>
    <t>Pénzügyi lízing kiadásai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</si>
  <si>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</si>
  <si>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</si>
  <si>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</si>
  <si>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</si>
  <si>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>Felhalmozási célú visszatérítendő támogatások, kölcsönök nyújtása államháztartások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</si>
  <si>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</si>
  <si>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</si>
  <si>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</si>
  <si>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</si>
  <si>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</si>
  <si>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</si>
  <si>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Felhalmozási célú tartalék</t>
  </si>
  <si>
    <t>Belföldi értékpapírok kiadásai</t>
  </si>
  <si>
    <t>ÖSSZESEN:</t>
  </si>
  <si>
    <t>Foglalkoztatottak átlaglétszáma fő: köztisztviselő</t>
  </si>
  <si>
    <t>Foglalkoztatottak átlaglétszáma fő: közalkalmazott</t>
  </si>
  <si>
    <t>Kiadások összesen előirányzat csoportonként és kiemelt előirányzatonként</t>
  </si>
  <si>
    <t>Kiadások összesen:</t>
  </si>
  <si>
    <t>Kiadások összesen intézményenként</t>
  </si>
  <si>
    <t>Kiadások összesen intézményi támogatás nélkül:</t>
  </si>
  <si>
    <t>egyéb bérrendszer hatálya alá tartozó</t>
  </si>
  <si>
    <t>AZ ÖNKORMÁNYZAT ÖSSZES KIADÁSA KÖLTSÉGVETÉSI SZERVENKÉNT ÉS ÖSSZEVONTAN</t>
  </si>
  <si>
    <t>Egyéb bérrendszer hatálya alá tartozó (Mt.)</t>
  </si>
  <si>
    <t>Díjak, pótlékok bírságok</t>
  </si>
  <si>
    <t>Osztalék, koncessz.díjak, hozambev.</t>
  </si>
  <si>
    <t>Vállalat értékeítéséből, privatizációból származó bevételek</t>
  </si>
  <si>
    <t>Köztemetés</t>
  </si>
  <si>
    <t>BEVÉTELEK ÖSSZESEN</t>
  </si>
  <si>
    <t>KIADÁSOK ÖSSZESEN</t>
  </si>
  <si>
    <t>Saját bevételek 50 %-a</t>
  </si>
  <si>
    <t>Rendszeres települési támogatás</t>
  </si>
  <si>
    <t>Rendkívüli települési támogatás</t>
  </si>
  <si>
    <t>BURSA</t>
  </si>
  <si>
    <t>Munkaadókat terhelő járulékok és SZOCHO</t>
  </si>
  <si>
    <t>Iparűzési adó</t>
  </si>
  <si>
    <t xml:space="preserve">           </t>
  </si>
  <si>
    <t>Gépjárműadó 40%</t>
  </si>
  <si>
    <t>gyógyszertámogatás</t>
  </si>
  <si>
    <t>átmeneti segély</t>
  </si>
  <si>
    <t>temetési segély</t>
  </si>
  <si>
    <t>pénzintézeti tevékenységnek nem minősülő kamatmentes kölcsön</t>
  </si>
  <si>
    <t>tüzifa támogatás</t>
  </si>
  <si>
    <t>tanszertámogatás</t>
  </si>
  <si>
    <t>beiskolázási támogatás</t>
  </si>
  <si>
    <t>gyermeknevelési támogatás</t>
  </si>
  <si>
    <t>újszülöttek támogatása</t>
  </si>
  <si>
    <t>speciális oktatási-nevelési intézménybe járók utazási támogatása</t>
  </si>
  <si>
    <t>időskorúak támogatása</t>
  </si>
  <si>
    <t>70 év feletti együlálló személyek támogatása</t>
  </si>
  <si>
    <t>közfoglalkoztatott</t>
  </si>
  <si>
    <t>Veszélyes hulladék begyűjtése, szállítása, átrakása</t>
  </si>
  <si>
    <t>Nemzetközi szervezetekben való részvétel</t>
  </si>
  <si>
    <t>Munkaadót terhelő járulék és SZOCHO</t>
  </si>
  <si>
    <t xml:space="preserve">Egyéb működési célú kiadások </t>
  </si>
  <si>
    <t>Közfoglalkoztatás</t>
  </si>
  <si>
    <t>COFOG</t>
  </si>
  <si>
    <t>Egyéb szárazföldi személyszállítás</t>
  </si>
  <si>
    <t>Közutak, hidak, alagutak üzemeltetése, fenntartása</t>
  </si>
  <si>
    <t>Vízellátással kapcs. közmű építése, fenntartása</t>
  </si>
  <si>
    <t>Üdülői szálláshely-szolgáltatás és étkezés</t>
  </si>
  <si>
    <t>Átadott pénzeszköz - ÁH-n belülre</t>
  </si>
  <si>
    <t>Átadott pénzeszköz - ÁH-n kívülre</t>
  </si>
  <si>
    <t>Gyermekétkeztetés óvoda, iskola</t>
  </si>
  <si>
    <t>Nem lakóingatlan bérbeadása, üzemeltetése</t>
  </si>
  <si>
    <t>MINDÖSSZESEN</t>
  </si>
  <si>
    <t>igazgató</t>
  </si>
  <si>
    <t>Önkormányzati igazgatási feladat ellátása</t>
  </si>
  <si>
    <t>CSANÁDPALOTA VÁROS ÖNKORMÁNYZATÁNAK ÉS KÖLTSÉGVETÉSI SZERVEINEK TÖBB ÉVES KIHATÁSSAL JÁRÓ KÖTELEZETTSÉGEI</t>
  </si>
  <si>
    <t xml:space="preserve">AZ ÖNKORMÁNYZAT ÉS KÖLTSÉGVETÉSI SZERVEI </t>
  </si>
  <si>
    <t>K</t>
  </si>
  <si>
    <t xml:space="preserve">Csanádpalota Város Önkormányzatának                                                      </t>
  </si>
  <si>
    <t>A települési önkormányzatok köznevelési feladatalapú támogatásának átadása</t>
  </si>
  <si>
    <t>Csanádpalota Térségi Napsugár Óvoda</t>
  </si>
  <si>
    <t>Bölcsődei tagintézmény</t>
  </si>
  <si>
    <t>A települési önkormányzatok szociális és gyermekjóléti feladatalapú támogatásának átadása</t>
  </si>
  <si>
    <t>Családsegítés és gyermekjóléti feladatok működési hozzájárulása</t>
  </si>
  <si>
    <t>Szociális alapszolgáltatási feladatok működési hozzájárulása</t>
  </si>
  <si>
    <t>Család és nővédelmi gondozási feladatok működési hozzájárulása</t>
  </si>
  <si>
    <t xml:space="preserve">Csanádpalota Térségi Alapszolgáltatási Központ és Gyermekjóléti Szolgálat </t>
  </si>
  <si>
    <t>1.sz. melléklet az indokoláshoz</t>
  </si>
  <si>
    <t xml:space="preserve">Csanádpalota Város Önkormányzatának      </t>
  </si>
  <si>
    <t>lakhatási (lakásfenntartási) támogatás</t>
  </si>
  <si>
    <t xml:space="preserve">Csanádpalota Városi Önkormányzat  </t>
  </si>
  <si>
    <t>Bejegyzett  civil szervezetek pályázati alapja</t>
  </si>
  <si>
    <t>Civil szervezetek rendezvényeinek támogatása</t>
  </si>
  <si>
    <t>Csanádpalotai Futball Club</t>
  </si>
  <si>
    <t xml:space="preserve">Jogcím </t>
  </si>
  <si>
    <t>Önkormányzatok rendkívüli támogatása</t>
  </si>
  <si>
    <t>Tisza és Maros Völgye Jövőért Egyesület</t>
  </si>
  <si>
    <t>Köznevelési társulási megállapodás alapján az önkormányzat által átadott pénzeszköz</t>
  </si>
  <si>
    <t>Szociális társulási megállapodás alapján az önkormányzat által átadott pénzeszköz</t>
  </si>
  <si>
    <t>Naplemente Idősek Gondozóháza szakosított ellátások feladatának működési hozzájárulása</t>
  </si>
  <si>
    <t>Makói Kistérségi Többcélú Társulása</t>
  </si>
  <si>
    <t>MŰKÖDÉSI CÉLÚ PÉNZESZKÖZ ÁTADÁS ÁH-ON KÍVÜLRE</t>
  </si>
  <si>
    <t>MŰKÖDÉSI CÉLÚ PÉNZESZKÖZ ÁTADÁS ÁH-ON BELÜLRE</t>
  </si>
  <si>
    <t>MŰKÖDÉSI CÉLÚ PÉNZESZKÖZ ÁTADÁS ÁH-ON BELÜLRE ÖSSZESEN</t>
  </si>
  <si>
    <t>MŰKÖDÉSI CÉLÚ PÉNZESZKÖZ ÁTADÁS ÁH-ON KÍVÜLRE ÖSSZESEN</t>
  </si>
  <si>
    <t xml:space="preserve">CSANÁDPALOTA VÁROS ÖNKORMÁNYZATA </t>
  </si>
  <si>
    <t>Beruházás</t>
  </si>
  <si>
    <t>Felhalmozási bevételek összesen</t>
  </si>
  <si>
    <t xml:space="preserve">Ingatlanok értékesítése </t>
  </si>
  <si>
    <t>tárgyi eszközök értékesítése</t>
  </si>
  <si>
    <t>Felhalmozási célú támogatások összesen</t>
  </si>
  <si>
    <t>Felhalmozási célú átvett pénzeszközök összesen</t>
  </si>
  <si>
    <t>Egyéb felhalmozási célú kiadások összesen</t>
  </si>
  <si>
    <t>Költségvetési szerv megnevezése</t>
  </si>
  <si>
    <t>Engedélyezett álláshely</t>
  </si>
  <si>
    <t>Álláshely megnevezése</t>
  </si>
  <si>
    <t>Létszám</t>
  </si>
  <si>
    <t xml:space="preserve">CSANÁDPALOTA VÁROS ÖNKORMÁNYZATA ÉS KÖLTSÉGVETÉSI SZERVEI                                             </t>
  </si>
  <si>
    <t>összeg</t>
  </si>
  <si>
    <t xml:space="preserve">A </t>
  </si>
  <si>
    <t>házi-, fogorvosi tevékenység</t>
  </si>
  <si>
    <t xml:space="preserve">ÖSSZESEN
</t>
  </si>
  <si>
    <t>Saját bevételek (02+… .+08)</t>
  </si>
  <si>
    <t xml:space="preserve">Saját bevételek  (09. sor)  50%-a </t>
  </si>
  <si>
    <t>Előző év(ek)ben keletkezett tárgyévi fizetési kötelezettség (12+…..+18)</t>
  </si>
  <si>
    <t>Tárgyévben keletkezett, illetve keletkező, tárgyévet terhelő fizetési kötelezettség (20+…..+26)</t>
  </si>
  <si>
    <t>Fizetési kötelezettség összesen (11+19)</t>
  </si>
  <si>
    <t>Fizetési kötelezettséggel csökkentett saját bevétel (10-27)</t>
  </si>
  <si>
    <t xml:space="preserve">Összeg </t>
  </si>
  <si>
    <t>L</t>
  </si>
  <si>
    <t>M</t>
  </si>
  <si>
    <t>N</t>
  </si>
  <si>
    <t>O</t>
  </si>
  <si>
    <t xml:space="preserve">CSANÁDPALOTA VÁROSI ÖNKORMÁNYZAT ÉS KÖLTSÉGVETÉSI SZERVEI </t>
  </si>
  <si>
    <t>Működési célú támogatások ÁH-on belülről</t>
  </si>
  <si>
    <t>BEVÉTELEK</t>
  </si>
  <si>
    <t>KIADÁSOK</t>
  </si>
  <si>
    <t>november</t>
  </si>
  <si>
    <t>P</t>
  </si>
  <si>
    <t>Q</t>
  </si>
  <si>
    <t>Kiemelt előirányzatok</t>
  </si>
  <si>
    <t>I.1.e.</t>
  </si>
  <si>
    <t>Üdülőhelyi feladatok támogatása</t>
  </si>
  <si>
    <t>Polgármesteri Illetmény támogatása</t>
  </si>
  <si>
    <t>Alapfokú végzettségű mesterpedagógus kategóriába sorolt óvodapedagógusok kiegészítő támogatása - akik a minősítést 2016. december 31-éig szerezték meg</t>
  </si>
  <si>
    <t>II.4.a(2)</t>
  </si>
  <si>
    <t>Alapfokú végzettségű pedagógusok II. kategóriába sorolt óvodapedagógusok kiegészítő támogatása - akik a minősítést 2016. december 31-éig szerezték meg</t>
  </si>
  <si>
    <t>II.4.a(1)</t>
  </si>
  <si>
    <t>III.7.a(1)</t>
  </si>
  <si>
    <t>III.7.</t>
  </si>
  <si>
    <t>III.7.a(2)</t>
  </si>
  <si>
    <t>III.7.b</t>
  </si>
  <si>
    <t>A finanszírozás szempontjából elismert szakmai dolgozók bértámogatása: felsőfokú végzettségű</t>
  </si>
  <si>
    <t>A finanszírozás szempontjából elismert szakmai dolgozók bértámogatása: bölcsődei dajkák, középfokú végzettségű</t>
  </si>
  <si>
    <t>Bölcsődei üzemeltetési támogatás</t>
  </si>
  <si>
    <t>Bölcsőde, mini bölcsőde támogatása</t>
  </si>
  <si>
    <t xml:space="preserve">AZ ÖNKORMÁNYZAT 2018. ÉVI MÜKÖDÉSÉNEK ÁLTALÁNOS TÁMOGATÁSA </t>
  </si>
  <si>
    <t>2018. évi működési célú pénzeszköz átadásai</t>
  </si>
  <si>
    <t>Munkaszervezeti hozzájárulás</t>
  </si>
  <si>
    <t xml:space="preserve"> 2018. évi ellátottak pénzbeli juttatásai            </t>
  </si>
  <si>
    <t>2018. ÉVI FELHALMOZÁSI KÖLTSÉGVETÉSE</t>
  </si>
  <si>
    <t>csoportvezetők</t>
  </si>
  <si>
    <t>gazdasági,műszaki,igazgatási szakalkalmazott</t>
  </si>
  <si>
    <t>2018. ÉVI ENGEDÉLYEZETT ÁLLÁSHELYEINEK MEGHATÁROZÁSA</t>
  </si>
  <si>
    <t>CSANÁDPALOTA VÁROS ÖNKORMÁNYZATA ÁLTAL NYÚJTOTT 2018. ÉVI KÖZVETETT TÁMOGATÁSOK</t>
  </si>
  <si>
    <t>CSANÁDPALOTA VÁROSI ÖNKORMÁNYZAT 2018. ÉVI KIADÁSAI FELADATONKÉNT</t>
  </si>
  <si>
    <t>AZ ÖNKORMÁNYZAT 2018. ÉVI SAJÁT BEVÉTELEI</t>
  </si>
  <si>
    <t>Gépjárműadó</t>
  </si>
  <si>
    <t xml:space="preserve">2018. évi társadalmi szerveknek nyújtott támogatások felosztása </t>
  </si>
  <si>
    <t>2018. ÉVI BEVÉTELEINEK ÉS KIADÁSAINAK MÉRLEGSZERŰ KIMUTATÁSA</t>
  </si>
  <si>
    <t>2018. évi előirányzat</t>
  </si>
  <si>
    <t>Talajterhelési díj</t>
  </si>
  <si>
    <t>Csanádpalotai Polgárőr Egyesület</t>
  </si>
  <si>
    <t>Normatíva megelőlegezés</t>
  </si>
  <si>
    <t>Orvosoknak átadott OEP finanszírozás</t>
  </si>
  <si>
    <t>Csanádpalota Város Önkormányzata</t>
  </si>
  <si>
    <t>Határozatlan</t>
  </si>
  <si>
    <t>Humán Mezőhegyes Bt-Környezet-, munka- és tűzvédelem</t>
  </si>
  <si>
    <t>Globál Védelem Kft. Tűzjelző karbantartás-Tornaterem (Kálmány L. utca 1)</t>
  </si>
  <si>
    <t>Globál Védelem Kft. Tornacsarnok- tűzveszély elleni védekezés</t>
  </si>
  <si>
    <t>Allinaz Hungária Zrt. - IDA CASCO</t>
  </si>
  <si>
    <t>Allinaz Hungária Zrt. - LNZ CASCO</t>
  </si>
  <si>
    <t>Allianz Hungária Zrt. (XPX-Kgfb)</t>
  </si>
  <si>
    <t>Allinaz Hungária Zrt. (MO21321-Kgfb)</t>
  </si>
  <si>
    <t>Allianz Hungária Zrt. (YMC543-Kgfb)</t>
  </si>
  <si>
    <t>Groupama Biztosító Zrt-Hivatal épületének vagyonbiztosítása</t>
  </si>
  <si>
    <t>Lift-Tech Kft.-Lift karbantartás</t>
  </si>
  <si>
    <t>6. melléklet a(z) ….../2018. (……...) Csanádpalota Város Önkormányzat Képviselő-testületének önkormányzati rendeletéhez</t>
  </si>
  <si>
    <t>8. melléklet a(z) ….../2018. (……...) Csanádpalota Város Önkormányzat Képviselő-testületének önkormányzati rendeletéhez</t>
  </si>
  <si>
    <t>9. melléklet a(z) ….../2018. (……...) Csanádpalota Város Önkormányzat Képviselő-testületének önkormányzati rendeletéhez</t>
  </si>
  <si>
    <t>10. melléklet a(z) ….../2018. (……...) Csanádpalota Város Önkormányzat Képviselő-testületének önkormányzati rendeletéhez</t>
  </si>
  <si>
    <t>11. melléklet a(z) ….../2018. (……...) Csanádpalota Város Önkormányzat Képviselő-testületének önkormányzati rendeletéhez</t>
  </si>
  <si>
    <t>13. melléklet a(z) ….../2018. (……...) Csanádpalota Város Önkormányzat Képviselő-testületének önkormányzati rendeletéhez</t>
  </si>
  <si>
    <t>14. melléklet a(z) ….../2018. (……...) Csanádpalota Város Önkormányzat Képviselő-testületének önkormányzati rendeletéhez</t>
  </si>
  <si>
    <t>Csanádpalota Város Önkormányzatának címrendje</t>
  </si>
  <si>
    <t>Cím</t>
  </si>
  <si>
    <t>Alcím</t>
  </si>
  <si>
    <t>Költségvetési szerv neve</t>
  </si>
  <si>
    <t>1.</t>
  </si>
  <si>
    <t>1.1</t>
  </si>
  <si>
    <t>1. Csanádpalota Városi Önkormányzat</t>
  </si>
  <si>
    <t>2. Csanádpalotai Közös Önkormányzati Hivatal</t>
  </si>
  <si>
    <t>3. Kelemen László Művelődési Ház</t>
  </si>
  <si>
    <t>4. Csanádpalotai Városi Könyvtár</t>
  </si>
  <si>
    <t>1.2</t>
  </si>
  <si>
    <t>1.3</t>
  </si>
  <si>
    <t>1.4</t>
  </si>
  <si>
    <t xml:space="preserve">2018. ÉVI  ÖSSZESÍTETT ELŐIRÁNYZAT FELHASZNÁLÁSI ÜTEMTERVE </t>
  </si>
  <si>
    <t>Csanádpalota Városi Önkormányzat</t>
  </si>
  <si>
    <t>C/I 2018.07.31.</t>
  </si>
  <si>
    <t>módosítás</t>
  </si>
  <si>
    <t>Módosított előirányzat</t>
  </si>
  <si>
    <t>Kulturális pótlék</t>
  </si>
  <si>
    <t>2018.07.31 Módosított előirányzat</t>
  </si>
  <si>
    <t>Szociális ágazató pótlék</t>
  </si>
  <si>
    <t>V.</t>
  </si>
  <si>
    <t>Működési célú egyéb támogatás</t>
  </si>
  <si>
    <t>Egyéb működési célú átvett pénzeszközök EU-s támogatások</t>
  </si>
  <si>
    <t>Módosított előirányzat 2018.07.31.</t>
  </si>
  <si>
    <t>Egyéb működési célú átvett pénzeszközök ÁH-n belülről</t>
  </si>
  <si>
    <t>Módosítás</t>
  </si>
  <si>
    <t>Elvonások</t>
  </si>
  <si>
    <t>Módosítás összege</t>
  </si>
  <si>
    <t>Csanádpalota Térségi Alapszolgáltatási Központ és Gyermekjóléti Szolgálat szociális ágazati összevont pótlék és bérkompe nzáció</t>
  </si>
  <si>
    <t>Szociális ágazati összevont pótlék és bérkompenzáció</t>
  </si>
  <si>
    <t>módosított előirányzat</t>
  </si>
  <si>
    <t>Felhalmozási maradvány</t>
  </si>
  <si>
    <t>Módosított ei. 2018.07.31.</t>
  </si>
  <si>
    <t>1. melléklet a(z) 19/2018. (IX.27.) Csanádpalota Város Önkormányzat Képviselő-testületének önkormányzati rendeletének módosításához</t>
  </si>
  <si>
    <t>2. melléklet a(z) 19/2018. (IX.27.) Csanádpalota Város Önkormányzat Képviselő-testületének önkormányzati rendeletének módosításához</t>
  </si>
  <si>
    <t>3. melléklet a(z) 19/2018. (IX.27.) Csanádpalota Város Önkormányzat Képviselő-testületének önkormányzati rendeletének módosításához</t>
  </si>
  <si>
    <t>4. melléklet a(z) 19/2018. (IX.27.) Csanádpalota Város Önkormányzat Képviselő-testületének önkormányzati rendeletének módosításához</t>
  </si>
  <si>
    <t>5. melléklet a(z) 19/2018. (IX.27.) Csanádpalota Város Önkormányzat Képviselő-testületének önkormányzati rendeletének módosításához</t>
  </si>
  <si>
    <t>6. melléklet a(z) 19/2018. (IX.27.) Csanádpalota Város Önkormányzat Képviselő-testületének önkormányzati rendeletének módosításához</t>
  </si>
  <si>
    <t>7. melléklet a(z) 19/2018. (IX.27.) Csanádpalota Város Önkormányzat Képviselő-testületének önkormányzati rendeletének módosításához</t>
  </si>
  <si>
    <t>8. melléklet a(z) 19/2018. (IX.27.) Csanádpalota Város Önkormányzat Képviselő-testületének önkormányzati rendeletéhez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</si>
</sst>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  <numFmt numFmtId="166" formatCode="#000000"/>
  </numFmts>
  <fonts count="12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4"/>
      <name val="Times New Roman"/>
      <family val="1"/>
      <charset val="238"/>
    </font>
    <font>
      <sz val="8"/>
      <color theme="1"/>
      <name val="Arial CE"/>
      <charset val="238"/>
    </font>
    <font>
      <b/>
      <i/>
      <sz val="8"/>
      <color theme="1"/>
      <name val="Arial CE"/>
      <charset val="238"/>
    </font>
    <font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  <charset val="238"/>
    </font>
    <font>
      <sz val="13"/>
      <name val="Arial CE"/>
      <family val="2"/>
      <charset val="238"/>
    </font>
    <font>
      <sz val="13"/>
      <color indexed="17"/>
      <name val="Arial"/>
      <family val="2"/>
      <charset val="238"/>
    </font>
    <font>
      <b/>
      <sz val="13"/>
      <color indexed="10"/>
      <name val="Arial CE"/>
      <family val="2"/>
      <charset val="238"/>
    </font>
    <font>
      <b/>
      <sz val="13"/>
      <color indexed="10"/>
      <name val="Arial"/>
      <family val="2"/>
      <charset val="238"/>
    </font>
    <font>
      <sz val="13"/>
      <color indexed="10"/>
      <name val="Arial"/>
      <family val="2"/>
      <charset val="238"/>
    </font>
    <font>
      <b/>
      <sz val="13"/>
      <color indexed="18"/>
      <name val="Arial CE"/>
      <charset val="238"/>
    </font>
    <font>
      <b/>
      <sz val="13"/>
      <color indexed="18"/>
      <name val="Arial CE"/>
      <family val="2"/>
      <charset val="238"/>
    </font>
    <font>
      <sz val="13"/>
      <color indexed="10"/>
      <name val="Arial CE"/>
      <family val="2"/>
      <charset val="238"/>
    </font>
    <font>
      <b/>
      <sz val="13"/>
      <color indexed="10"/>
      <name val="Arial CE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3"/>
      <color indexed="17"/>
      <name val="Arial CE"/>
      <family val="2"/>
      <charset val="238"/>
    </font>
    <font>
      <b/>
      <sz val="13"/>
      <color indexed="17"/>
      <name val="Arial"/>
      <family val="2"/>
      <charset val="238"/>
    </font>
    <font>
      <b/>
      <sz val="13"/>
      <color indexed="8"/>
      <name val="Arial CE"/>
      <family val="2"/>
      <charset val="238"/>
    </font>
    <font>
      <sz val="13"/>
      <color indexed="10"/>
      <name val="Arial CE"/>
      <charset val="238"/>
    </font>
    <font>
      <b/>
      <sz val="13"/>
      <name val="Arial CE"/>
      <charset val="238"/>
    </font>
    <font>
      <b/>
      <sz val="13"/>
      <color indexed="57"/>
      <name val="Arial CE"/>
      <family val="2"/>
      <charset val="238"/>
    </font>
    <font>
      <b/>
      <sz val="13"/>
      <color indexed="14"/>
      <name val="Arial CE"/>
      <charset val="238"/>
    </font>
    <font>
      <b/>
      <sz val="14"/>
      <color indexed="17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4"/>
      <color indexed="18"/>
      <name val="Arial CE"/>
      <family val="2"/>
      <charset val="238"/>
    </font>
    <font>
      <b/>
      <sz val="14"/>
      <color indexed="18"/>
      <name val="Arial CE"/>
      <charset val="238"/>
    </font>
    <font>
      <sz val="13"/>
      <color indexed="8"/>
      <name val="Arial"/>
      <family val="2"/>
      <charset val="238"/>
    </font>
    <font>
      <b/>
      <sz val="13"/>
      <color indexed="12"/>
      <name val="Arial CE"/>
      <charset val="238"/>
    </font>
    <font>
      <b/>
      <sz val="14"/>
      <color indexed="10"/>
      <name val="Arial CE"/>
      <family val="2"/>
      <charset val="238"/>
    </font>
    <font>
      <b/>
      <sz val="14"/>
      <color indexed="10"/>
      <name val="Arial CE"/>
      <charset val="238"/>
    </font>
    <font>
      <b/>
      <sz val="13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3"/>
      <color indexed="48"/>
      <name val="Arial CE"/>
      <family val="2"/>
      <charset val="238"/>
    </font>
    <font>
      <b/>
      <sz val="14"/>
      <color indexed="53"/>
      <name val="Arial CE"/>
      <charset val="238"/>
    </font>
    <font>
      <b/>
      <sz val="14"/>
      <color indexed="53"/>
      <name val="Arial CE"/>
      <family val="2"/>
      <charset val="238"/>
    </font>
    <font>
      <sz val="14"/>
      <color indexed="17"/>
      <name val="Arial CE"/>
      <charset val="238"/>
    </font>
    <font>
      <b/>
      <sz val="13"/>
      <color indexed="53"/>
      <name val="Arial CE"/>
      <family val="2"/>
      <charset val="238"/>
    </font>
    <font>
      <sz val="10"/>
      <color indexed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1"/>
      <color rgb="FF000000"/>
      <name val="Calibri"/>
      <family val="2"/>
      <charset val="238"/>
    </font>
    <font>
      <i/>
      <sz val="12"/>
      <name val="Arial CE"/>
      <charset val="238"/>
    </font>
    <font>
      <sz val="10"/>
      <name val="Times New Roman"/>
      <family val="1"/>
      <charset val="238"/>
    </font>
    <font>
      <sz val="8"/>
      <color rgb="FFFF000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color indexed="17"/>
      <name val="Times New Roman"/>
      <family val="1"/>
      <charset val="238"/>
    </font>
    <font>
      <b/>
      <sz val="13"/>
      <color indexed="10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sz val="11"/>
      <name val="Times New Roman"/>
      <family val="1"/>
      <charset val="238"/>
    </font>
    <font>
      <sz val="13"/>
      <color indexed="10"/>
      <name val="Times New Roman"/>
      <family val="1"/>
      <charset val="238"/>
    </font>
    <font>
      <sz val="13"/>
      <color indexed="1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8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color indexed="17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3"/>
      <color indexed="56"/>
      <name val="Times New Roman"/>
      <family val="1"/>
      <charset val="238"/>
    </font>
    <font>
      <b/>
      <sz val="13"/>
      <color rgb="FF000080"/>
      <name val="Times New Roman"/>
      <family val="1"/>
      <charset val="238"/>
    </font>
    <font>
      <b/>
      <sz val="13"/>
      <color indexed="53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b/>
      <i/>
      <sz val="12"/>
      <color indexed="48"/>
      <name val="Times New Roman"/>
      <family val="1"/>
      <charset val="238"/>
    </font>
    <font>
      <b/>
      <i/>
      <sz val="12"/>
      <color indexed="18"/>
      <name val="Times New Roman"/>
      <family val="1"/>
      <charset val="238"/>
    </font>
    <font>
      <sz val="12"/>
      <color indexed="18"/>
      <name val="Times New Roman"/>
      <family val="1"/>
      <charset val="238"/>
    </font>
    <font>
      <b/>
      <sz val="12"/>
      <color indexed="4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indexed="4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b/>
      <i/>
      <sz val="13"/>
      <color indexed="4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color rgb="FF008000"/>
      <name val="Times New Roman"/>
      <family val="1"/>
      <charset val="238"/>
    </font>
    <font>
      <b/>
      <i/>
      <sz val="13"/>
      <color indexed="18"/>
      <name val="Times New Roman"/>
      <family val="1"/>
      <charset val="238"/>
    </font>
    <font>
      <b/>
      <i/>
      <sz val="14"/>
      <color indexed="18"/>
      <name val="Times New Roman"/>
      <family val="1"/>
      <charset val="238"/>
    </font>
    <font>
      <sz val="14"/>
      <color indexed="17"/>
      <name val="Times New Roman"/>
      <family val="1"/>
      <charset val="238"/>
    </font>
    <font>
      <b/>
      <i/>
      <sz val="14"/>
      <color indexed="48"/>
      <name val="Times New Roman"/>
      <family val="1"/>
      <charset val="238"/>
    </font>
    <font>
      <b/>
      <sz val="13"/>
      <color rgb="FF008000"/>
      <name val="Times New Roman"/>
      <family val="1"/>
      <charset val="238"/>
    </font>
    <font>
      <b/>
      <sz val="13"/>
      <color indexed="57"/>
      <name val="Times New Roman"/>
      <family val="1"/>
      <charset val="238"/>
    </font>
    <font>
      <b/>
      <sz val="14"/>
      <color indexed="57"/>
      <name val="Times New Roman"/>
      <family val="1"/>
      <charset val="238"/>
    </font>
    <font>
      <b/>
      <sz val="14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8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" fillId="0" borderId="0"/>
    <xf numFmtId="0" fontId="64" fillId="0" borderId="0"/>
  </cellStyleXfs>
  <cellXfs count="1124">
    <xf numFmtId="0" fontId="0" fillId="0" borderId="0" xfId="0"/>
    <xf numFmtId="0" fontId="0" fillId="0" borderId="0" xfId="0" applyBorder="1"/>
    <xf numFmtId="0" fontId="10" fillId="0" borderId="0" xfId="0" applyFont="1"/>
    <xf numFmtId="0" fontId="7" fillId="0" borderId="0" xfId="0" applyFont="1"/>
    <xf numFmtId="0" fontId="8" fillId="0" borderId="0" xfId="8"/>
    <xf numFmtId="0" fontId="13" fillId="0" borderId="0" xfId="8" applyFont="1" applyAlignment="1">
      <alignment horizontal="center"/>
    </xf>
    <xf numFmtId="0" fontId="14" fillId="0" borderId="0" xfId="8" applyFont="1" applyAlignment="1"/>
    <xf numFmtId="0" fontId="3" fillId="0" borderId="0" xfId="0" applyFont="1" applyAlignment="1">
      <alignment wrapText="1"/>
    </xf>
    <xf numFmtId="3" fontId="0" fillId="0" borderId="0" xfId="0" applyNumberFormat="1"/>
    <xf numFmtId="3" fontId="20" fillId="0" borderId="2" xfId="2" applyNumberFormat="1" applyFont="1" applyBorder="1" applyAlignment="1">
      <alignment horizontal="right" vertical="center"/>
    </xf>
    <xf numFmtId="3" fontId="20" fillId="0" borderId="2" xfId="2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vertical="center"/>
    </xf>
    <xf numFmtId="3" fontId="20" fillId="0" borderId="14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8" applyAlignment="1">
      <alignment vertical="center"/>
    </xf>
    <xf numFmtId="0" fontId="8" fillId="0" borderId="0" xfId="7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/>
    <xf numFmtId="0" fontId="26" fillId="0" borderId="0" xfId="0" applyFont="1"/>
    <xf numFmtId="0" fontId="29" fillId="0" borderId="0" xfId="0" applyFont="1"/>
    <xf numFmtId="0" fontId="26" fillId="0" borderId="0" xfId="0" applyFont="1" applyBorder="1"/>
    <xf numFmtId="0" fontId="25" fillId="0" borderId="0" xfId="0" applyFont="1" applyBorder="1"/>
    <xf numFmtId="3" fontId="22" fillId="0" borderId="0" xfId="0" applyNumberFormat="1" applyFont="1" applyBorder="1"/>
    <xf numFmtId="0" fontId="22" fillId="0" borderId="0" xfId="0" applyFont="1" applyBorder="1"/>
    <xf numFmtId="0" fontId="39" fillId="0" borderId="0" xfId="0" applyFont="1" applyBorder="1"/>
    <xf numFmtId="3" fontId="39" fillId="0" borderId="0" xfId="0" applyNumberFormat="1" applyFont="1" applyBorder="1"/>
    <xf numFmtId="0" fontId="25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3" fontId="24" fillId="0" borderId="0" xfId="0" applyNumberFormat="1" applyFont="1" applyBorder="1"/>
    <xf numFmtId="0" fontId="23" fillId="0" borderId="0" xfId="0" applyFont="1" applyBorder="1"/>
    <xf numFmtId="0" fontId="27" fillId="0" borderId="0" xfId="0" applyFont="1" applyBorder="1"/>
    <xf numFmtId="3" fontId="28" fillId="0" borderId="0" xfId="0" applyNumberFormat="1" applyFont="1" applyBorder="1"/>
    <xf numFmtId="0" fontId="22" fillId="0" borderId="0" xfId="0" applyFont="1" applyFill="1"/>
    <xf numFmtId="0" fontId="37" fillId="0" borderId="0" xfId="0" applyFont="1" applyBorder="1"/>
    <xf numFmtId="0" fontId="32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33" fillId="0" borderId="0" xfId="0" applyFont="1" applyBorder="1"/>
    <xf numFmtId="3" fontId="38" fillId="0" borderId="0" xfId="0" applyNumberFormat="1" applyFont="1" applyBorder="1"/>
    <xf numFmtId="0" fontId="42" fillId="0" borderId="0" xfId="0" applyFont="1" applyBorder="1"/>
    <xf numFmtId="3" fontId="27" fillId="0" borderId="0" xfId="0" applyNumberFormat="1" applyFont="1" applyBorder="1"/>
    <xf numFmtId="0" fontId="24" fillId="0" borderId="0" xfId="0" applyFont="1" applyBorder="1"/>
    <xf numFmtId="0" fontId="40" fillId="0" borderId="0" xfId="0" applyFont="1" applyBorder="1"/>
    <xf numFmtId="0" fontId="29" fillId="0" borderId="0" xfId="0" applyFont="1" applyBorder="1"/>
    <xf numFmtId="0" fontId="43" fillId="0" borderId="0" xfId="0" applyFont="1" applyBorder="1"/>
    <xf numFmtId="3" fontId="25" fillId="0" borderId="0" xfId="0" applyNumberFormat="1" applyFont="1" applyBorder="1"/>
    <xf numFmtId="3" fontId="2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45" fillId="0" borderId="0" xfId="0" applyFont="1" applyBorder="1"/>
    <xf numFmtId="0" fontId="46" fillId="0" borderId="0" xfId="0" applyFont="1" applyFill="1" applyBorder="1"/>
    <xf numFmtId="0" fontId="49" fillId="0" borderId="0" xfId="0" applyFont="1" applyBorder="1"/>
    <xf numFmtId="0" fontId="51" fillId="0" borderId="0" xfId="0" applyFont="1" applyFill="1" applyBorder="1"/>
    <xf numFmtId="0" fontId="48" fillId="0" borderId="0" xfId="0" applyFont="1" applyFill="1" applyBorder="1"/>
    <xf numFmtId="0" fontId="25" fillId="0" borderId="0" xfId="0" applyFont="1" applyFill="1" applyBorder="1"/>
    <xf numFmtId="0" fontId="17" fillId="0" borderId="0" xfId="0" applyFont="1" applyFill="1" applyBorder="1"/>
    <xf numFmtId="0" fontId="52" fillId="0" borderId="0" xfId="0" applyFont="1" applyFill="1" applyBorder="1" applyAlignment="1"/>
    <xf numFmtId="0" fontId="23" fillId="0" borderId="0" xfId="0" applyFont="1" applyFill="1" applyBorder="1"/>
    <xf numFmtId="0" fontId="18" fillId="0" borderId="0" xfId="0" applyFont="1" applyFill="1" applyBorder="1"/>
    <xf numFmtId="0" fontId="55" fillId="0" borderId="0" xfId="0" applyFont="1" applyFill="1" applyBorder="1"/>
    <xf numFmtId="0" fontId="31" fillId="0" borderId="0" xfId="0" applyFont="1" applyFill="1" applyBorder="1"/>
    <xf numFmtId="0" fontId="53" fillId="0" borderId="0" xfId="0" applyFont="1" applyFill="1" applyBorder="1"/>
    <xf numFmtId="0" fontId="47" fillId="0" borderId="0" xfId="0" applyFont="1" applyFill="1" applyBorder="1"/>
    <xf numFmtId="0" fontId="54" fillId="0" borderId="0" xfId="0" applyFont="1" applyFill="1" applyBorder="1"/>
    <xf numFmtId="0" fontId="32" fillId="0" borderId="0" xfId="0" applyFont="1" applyFill="1" applyBorder="1"/>
    <xf numFmtId="0" fontId="44" fillId="0" borderId="0" xfId="0" applyFont="1" applyFill="1" applyBorder="1" applyAlignment="1"/>
    <xf numFmtId="0" fontId="50" fillId="0" borderId="0" xfId="0" applyFont="1" applyFill="1" applyBorder="1"/>
    <xf numFmtId="0" fontId="23" fillId="0" borderId="0" xfId="0" applyFont="1" applyFill="1" applyBorder="1" applyAlignment="1"/>
    <xf numFmtId="0" fontId="56" fillId="0" borderId="0" xfId="0" applyFont="1" applyFill="1" applyBorder="1"/>
    <xf numFmtId="0" fontId="57" fillId="0" borderId="0" xfId="0" applyFont="1" applyFill="1" applyBorder="1"/>
    <xf numFmtId="0" fontId="52" fillId="0" borderId="0" xfId="0" applyFont="1" applyFill="1" applyBorder="1"/>
    <xf numFmtId="0" fontId="44" fillId="0" borderId="0" xfId="0" applyFont="1" applyFill="1" applyBorder="1"/>
    <xf numFmtId="0" fontId="58" fillId="0" borderId="0" xfId="0" applyFont="1" applyFill="1" applyBorder="1"/>
    <xf numFmtId="0" fontId="59" fillId="0" borderId="0" xfId="0" applyFont="1" applyFill="1" applyBorder="1"/>
    <xf numFmtId="0" fontId="30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Fill="1" applyBorder="1"/>
    <xf numFmtId="0" fontId="41" fillId="0" borderId="0" xfId="0" applyFont="1" applyFill="1" applyBorder="1"/>
    <xf numFmtId="0" fontId="22" fillId="0" borderId="2" xfId="0" applyFont="1" applyBorder="1" applyAlignment="1">
      <alignment horizontal="center" vertical="center"/>
    </xf>
    <xf numFmtId="0" fontId="12" fillId="0" borderId="0" xfId="3"/>
    <xf numFmtId="0" fontId="16" fillId="0" borderId="0" xfId="3" applyFont="1" applyBorder="1" applyAlignment="1"/>
    <xf numFmtId="0" fontId="12" fillId="0" borderId="0" xfId="3" applyFont="1" applyBorder="1" applyAlignment="1"/>
    <xf numFmtId="0" fontId="60" fillId="0" borderId="0" xfId="3" applyFont="1"/>
    <xf numFmtId="0" fontId="34" fillId="0" borderId="0" xfId="3" applyFont="1" applyBorder="1"/>
    <xf numFmtId="0" fontId="34" fillId="0" borderId="0" xfId="3" applyFont="1" applyFill="1" applyBorder="1"/>
    <xf numFmtId="3" fontId="34" fillId="0" borderId="0" xfId="3" applyNumberFormat="1" applyFont="1" applyBorder="1"/>
    <xf numFmtId="0" fontId="12" fillId="0" borderId="0" xfId="3" applyBorder="1"/>
    <xf numFmtId="0" fontId="12" fillId="0" borderId="0" xfId="3" applyAlignment="1"/>
    <xf numFmtId="0" fontId="12" fillId="0" borderId="0" xfId="3" applyAlignment="1">
      <alignment horizontal="center"/>
    </xf>
    <xf numFmtId="0" fontId="35" fillId="0" borderId="0" xfId="3" applyFont="1" applyBorder="1"/>
    <xf numFmtId="3" fontId="35" fillId="0" borderId="0" xfId="3" applyNumberFormat="1" applyFont="1" applyBorder="1"/>
    <xf numFmtId="0" fontId="35" fillId="0" borderId="0" xfId="3" applyFont="1" applyBorder="1" applyAlignment="1">
      <alignment shrinkToFit="1"/>
    </xf>
    <xf numFmtId="0" fontId="7" fillId="0" borderId="0" xfId="3" applyFont="1" applyBorder="1" applyAlignment="1">
      <alignment shrinkToFit="1"/>
    </xf>
    <xf numFmtId="0" fontId="35" fillId="0" borderId="0" xfId="3" applyFont="1" applyFill="1" applyBorder="1" applyAlignment="1">
      <alignment shrinkToFit="1"/>
    </xf>
    <xf numFmtId="0" fontId="36" fillId="0" borderId="0" xfId="3" applyFont="1" applyBorder="1"/>
    <xf numFmtId="0" fontId="62" fillId="0" borderId="0" xfId="3" applyFont="1" applyFill="1" applyBorder="1"/>
    <xf numFmtId="3" fontId="4" fillId="0" borderId="0" xfId="3" applyNumberFormat="1" applyFont="1" applyFill="1" applyBorder="1"/>
    <xf numFmtId="0" fontId="63" fillId="0" borderId="0" xfId="3" applyFont="1" applyFill="1" applyBorder="1"/>
    <xf numFmtId="3" fontId="4" fillId="0" borderId="0" xfId="3" applyNumberFormat="1" applyFont="1" applyFill="1" applyBorder="1" applyAlignment="1">
      <alignment horizontal="right"/>
    </xf>
    <xf numFmtId="0" fontId="35" fillId="0" borderId="0" xfId="3" applyFont="1" applyFill="1" applyBorder="1"/>
    <xf numFmtId="3" fontId="35" fillId="0" borderId="0" xfId="3" applyNumberFormat="1" applyFont="1" applyFill="1" applyBorder="1"/>
    <xf numFmtId="0" fontId="35" fillId="0" borderId="0" xfId="3" applyFont="1" applyFill="1" applyBorder="1" applyAlignment="1">
      <alignment wrapText="1"/>
    </xf>
    <xf numFmtId="3" fontId="34" fillId="0" borderId="0" xfId="3" applyNumberFormat="1" applyFont="1" applyFill="1" applyBorder="1"/>
    <xf numFmtId="0" fontId="7" fillId="0" borderId="0" xfId="3" applyFont="1" applyFill="1" applyBorder="1" applyAlignment="1">
      <alignment horizontal="left" wrapText="1"/>
    </xf>
    <xf numFmtId="0" fontId="35" fillId="0" borderId="0" xfId="3" applyFont="1" applyFill="1" applyBorder="1" applyAlignment="1">
      <alignment horizontal="left" wrapText="1"/>
    </xf>
    <xf numFmtId="0" fontId="34" fillId="0" borderId="0" xfId="3" applyFont="1" applyFill="1" applyBorder="1" applyAlignment="1">
      <alignment wrapText="1"/>
    </xf>
    <xf numFmtId="0" fontId="12" fillId="0" borderId="0" xfId="3" applyFont="1" applyFill="1" applyBorder="1" applyAlignment="1">
      <alignment wrapText="1"/>
    </xf>
    <xf numFmtId="0" fontId="34" fillId="0" borderId="0" xfId="3" applyFont="1" applyFill="1" applyBorder="1" applyAlignment="1">
      <alignment horizontal="left" wrapText="1"/>
    </xf>
    <xf numFmtId="0" fontId="25" fillId="0" borderId="0" xfId="3" applyFont="1" applyFill="1" applyBorder="1" applyAlignment="1">
      <alignment wrapText="1"/>
    </xf>
    <xf numFmtId="0" fontId="35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center" vertical="center" wrapText="1"/>
    </xf>
    <xf numFmtId="3" fontId="35" fillId="0" borderId="0" xfId="3" applyNumberFormat="1" applyFont="1" applyFill="1" applyBorder="1" applyAlignment="1">
      <alignment horizontal="right"/>
    </xf>
    <xf numFmtId="0" fontId="35" fillId="0" borderId="0" xfId="3" applyFont="1" applyFill="1" applyBorder="1" applyAlignment="1">
      <alignment horizontal="left" shrinkToFit="1"/>
    </xf>
    <xf numFmtId="0" fontId="35" fillId="0" borderId="0" xfId="3" quotePrefix="1" applyFont="1" applyFill="1" applyBorder="1" applyAlignment="1">
      <alignment horizontal="left" indent="1"/>
    </xf>
    <xf numFmtId="0" fontId="34" fillId="0" borderId="0" xfId="3" applyFont="1" applyFill="1" applyBorder="1" applyAlignment="1">
      <alignment shrinkToFit="1"/>
    </xf>
    <xf numFmtId="0" fontId="7" fillId="0" borderId="0" xfId="0" applyFont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vertical="center" wrapText="1"/>
    </xf>
    <xf numFmtId="3" fontId="20" fillId="0" borderId="14" xfId="2" applyNumberFormat="1" applyFont="1" applyFill="1" applyBorder="1" applyAlignment="1">
      <alignment horizontal="right" vertical="center"/>
    </xf>
    <xf numFmtId="0" fontId="0" fillId="0" borderId="2" xfId="0" applyBorder="1"/>
    <xf numFmtId="3" fontId="0" fillId="0" borderId="2" xfId="0" applyNumberFormat="1" applyBorder="1"/>
    <xf numFmtId="3" fontId="21" fillId="0" borderId="2" xfId="2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vertical="center"/>
    </xf>
    <xf numFmtId="166" fontId="9" fillId="3" borderId="2" xfId="0" applyNumberFormat="1" applyFont="1" applyFill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3" fontId="21" fillId="3" borderId="14" xfId="2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vertical="center" wrapText="1"/>
    </xf>
    <xf numFmtId="3" fontId="21" fillId="3" borderId="2" xfId="2" applyNumberFormat="1" applyFont="1" applyFill="1" applyBorder="1" applyAlignment="1">
      <alignment horizontal="right" vertical="center"/>
    </xf>
    <xf numFmtId="0" fontId="7" fillId="0" borderId="0" xfId="8" applyFont="1"/>
    <xf numFmtId="0" fontId="14" fillId="0" borderId="0" xfId="8" applyFont="1"/>
    <xf numFmtId="0" fontId="7" fillId="0" borderId="0" xfId="8" applyFont="1" applyBorder="1"/>
    <xf numFmtId="0" fontId="14" fillId="0" borderId="0" xfId="8" applyFont="1" applyBorder="1"/>
    <xf numFmtId="0" fontId="14" fillId="0" borderId="0" xfId="8" applyFont="1" applyAlignment="1">
      <alignment horizontal="right"/>
    </xf>
    <xf numFmtId="0" fontId="19" fillId="0" borderId="0" xfId="8" applyFont="1" applyBorder="1" applyAlignment="1">
      <alignment horizontal="center" wrapText="1"/>
    </xf>
    <xf numFmtId="0" fontId="7" fillId="0" borderId="0" xfId="8" applyFont="1" applyAlignment="1">
      <alignment vertical="center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7" fillId="0" borderId="0" xfId="5" applyFont="1"/>
    <xf numFmtId="0" fontId="6" fillId="0" borderId="0" xfId="5" applyFont="1" applyAlignment="1">
      <alignment horizontal="center" wrapText="1"/>
    </xf>
    <xf numFmtId="0" fontId="62" fillId="0" borderId="0" xfId="5" applyFont="1"/>
    <xf numFmtId="0" fontId="65" fillId="0" borderId="0" xfId="5" applyFont="1"/>
    <xf numFmtId="0" fontId="6" fillId="0" borderId="0" xfId="5" applyFont="1"/>
    <xf numFmtId="0" fontId="6" fillId="0" borderId="0" xfId="5" applyFont="1" applyAlignment="1">
      <alignment vertical="top" wrapText="1"/>
    </xf>
    <xf numFmtId="164" fontId="7" fillId="0" borderId="0" xfId="1" applyNumberFormat="1" applyFont="1" applyBorder="1" applyAlignment="1">
      <alignment shrinkToFit="1"/>
    </xf>
    <xf numFmtId="0" fontId="6" fillId="0" borderId="0" xfId="0" applyFont="1" applyAlignment="1">
      <alignment vertical="center"/>
    </xf>
    <xf numFmtId="0" fontId="8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0" fontId="13" fillId="4" borderId="20" xfId="8" applyFont="1" applyFill="1" applyBorder="1" applyAlignment="1">
      <alignment horizontal="center" vertical="center"/>
    </xf>
    <xf numFmtId="0" fontId="14" fillId="0" borderId="20" xfId="8" applyFont="1" applyFill="1" applyBorder="1" applyAlignment="1">
      <alignment horizontal="center"/>
    </xf>
    <xf numFmtId="0" fontId="66" fillId="0" borderId="12" xfId="8" applyFont="1" applyFill="1" applyBorder="1" applyAlignment="1">
      <alignment horizontal="center" vertical="center"/>
    </xf>
    <xf numFmtId="0" fontId="66" fillId="0" borderId="24" xfId="8" applyFont="1" applyBorder="1" applyAlignment="1">
      <alignment horizontal="center" vertical="center"/>
    </xf>
    <xf numFmtId="0" fontId="7" fillId="0" borderId="0" xfId="8" applyFont="1" applyFill="1"/>
    <xf numFmtId="0" fontId="7" fillId="0" borderId="0" xfId="8" applyFont="1" applyFill="1" applyAlignment="1">
      <alignment horizontal="center"/>
    </xf>
    <xf numFmtId="0" fontId="35" fillId="0" borderId="0" xfId="8" applyFont="1" applyFill="1" applyAlignment="1">
      <alignment vertical="center"/>
    </xf>
    <xf numFmtId="3" fontId="7" fillId="0" borderId="0" xfId="8" applyNumberFormat="1" applyFont="1" applyFill="1"/>
    <xf numFmtId="0" fontId="7" fillId="0" borderId="0" xfId="8" applyFont="1" applyFill="1" applyAlignment="1">
      <alignment vertical="center"/>
    </xf>
    <xf numFmtId="1" fontId="7" fillId="0" borderId="0" xfId="8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67" fillId="0" borderId="0" xfId="0" applyFont="1" applyBorder="1" applyAlignment="1">
      <alignment horizontal="left" vertical="center"/>
    </xf>
    <xf numFmtId="0" fontId="65" fillId="0" borderId="0" xfId="3" quotePrefix="1" applyFont="1" applyBorder="1" applyAlignment="1">
      <alignment vertical="center"/>
    </xf>
    <xf numFmtId="3" fontId="12" fillId="0" borderId="0" xfId="3" applyNumberFormat="1"/>
    <xf numFmtId="0" fontId="19" fillId="0" borderId="0" xfId="8" applyFont="1" applyBorder="1" applyAlignment="1">
      <alignment horizont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right" vertical="center"/>
    </xf>
    <xf numFmtId="0" fontId="66" fillId="0" borderId="47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 wrapText="1"/>
    </xf>
    <xf numFmtId="0" fontId="68" fillId="0" borderId="5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6" fillId="0" borderId="50" xfId="0" applyFont="1" applyBorder="1" applyAlignment="1">
      <alignment horizontal="center" vertical="center"/>
    </xf>
    <xf numFmtId="0" fontId="69" fillId="4" borderId="51" xfId="0" applyFont="1" applyFill="1" applyBorder="1" applyAlignment="1">
      <alignment horizontal="left" vertical="center" wrapText="1"/>
    </xf>
    <xf numFmtId="0" fontId="66" fillId="4" borderId="42" xfId="0" applyFont="1" applyFill="1" applyBorder="1" applyAlignment="1">
      <alignment horizontal="left" vertical="center" wrapText="1"/>
    </xf>
    <xf numFmtId="0" fontId="66" fillId="0" borderId="56" xfId="0" applyFont="1" applyBorder="1" applyAlignment="1">
      <alignment horizontal="center" vertical="center"/>
    </xf>
    <xf numFmtId="0" fontId="69" fillId="0" borderId="25" xfId="0" applyFont="1" applyFill="1" applyBorder="1" applyAlignment="1">
      <alignment horizontal="left" vertical="center" wrapText="1"/>
    </xf>
    <xf numFmtId="0" fontId="66" fillId="0" borderId="5" xfId="0" applyFont="1" applyFill="1" applyBorder="1" applyAlignment="1">
      <alignment horizontal="left" vertical="center" wrapText="1"/>
    </xf>
    <xf numFmtId="0" fontId="69" fillId="0" borderId="11" xfId="0" applyFont="1" applyFill="1" applyBorder="1" applyAlignment="1">
      <alignment horizontal="left" vertical="center" wrapText="1"/>
    </xf>
    <xf numFmtId="0" fontId="66" fillId="0" borderId="27" xfId="0" applyFont="1" applyFill="1" applyBorder="1" applyAlignment="1">
      <alignment horizontal="left" vertical="center" wrapText="1"/>
    </xf>
    <xf numFmtId="0" fontId="69" fillId="4" borderId="11" xfId="0" applyFont="1" applyFill="1" applyBorder="1" applyAlignment="1">
      <alignment horizontal="left" vertical="center" wrapText="1"/>
    </xf>
    <xf numFmtId="0" fontId="66" fillId="4" borderId="27" xfId="0" applyFont="1" applyFill="1" applyBorder="1" applyAlignment="1">
      <alignment horizontal="left" vertical="center" wrapText="1"/>
    </xf>
    <xf numFmtId="0" fontId="69" fillId="5" borderId="11" xfId="0" applyFont="1" applyFill="1" applyBorder="1" applyAlignment="1">
      <alignment horizontal="left" vertical="center" wrapText="1"/>
    </xf>
    <xf numFmtId="0" fontId="66" fillId="5" borderId="27" xfId="0" applyFont="1" applyFill="1" applyBorder="1" applyAlignment="1">
      <alignment horizontal="left" vertical="center" wrapText="1"/>
    </xf>
    <xf numFmtId="0" fontId="71" fillId="6" borderId="11" xfId="0" applyFont="1" applyFill="1" applyBorder="1" applyAlignment="1">
      <alignment horizontal="left" vertical="center" wrapText="1"/>
    </xf>
    <xf numFmtId="0" fontId="72" fillId="6" borderId="27" xfId="0" applyFont="1" applyFill="1" applyBorder="1" applyAlignment="1">
      <alignment horizontal="left" vertical="center" wrapText="1"/>
    </xf>
    <xf numFmtId="0" fontId="66" fillId="0" borderId="11" xfId="0" applyFont="1" applyFill="1" applyBorder="1" applyAlignment="1">
      <alignment horizontal="left" vertical="center" wrapText="1"/>
    </xf>
    <xf numFmtId="0" fontId="73" fillId="0" borderId="11" xfId="0" applyFont="1" applyFill="1" applyBorder="1" applyAlignment="1">
      <alignment horizontal="left" vertical="center" wrapText="1"/>
    </xf>
    <xf numFmtId="0" fontId="73" fillId="0" borderId="27" xfId="0" applyFont="1" applyFill="1" applyBorder="1" applyAlignment="1">
      <alignment horizontal="left" vertical="center" wrapText="1"/>
    </xf>
    <xf numFmtId="0" fontId="68" fillId="0" borderId="11" xfId="0" applyFont="1" applyFill="1" applyBorder="1" applyAlignment="1">
      <alignment horizontal="left" vertical="center" wrapText="1"/>
    </xf>
    <xf numFmtId="0" fontId="68" fillId="4" borderId="11" xfId="0" applyFont="1" applyFill="1" applyBorder="1" applyAlignment="1">
      <alignment horizontal="left" vertical="center" wrapText="1"/>
    </xf>
    <xf numFmtId="0" fontId="73" fillId="4" borderId="27" xfId="0" applyFont="1" applyFill="1" applyBorder="1" applyAlignment="1">
      <alignment horizontal="left" vertical="center" wrapText="1"/>
    </xf>
    <xf numFmtId="0" fontId="68" fillId="5" borderId="11" xfId="0" applyFont="1" applyFill="1" applyBorder="1" applyAlignment="1">
      <alignment horizontal="left" vertical="center" wrapText="1"/>
    </xf>
    <xf numFmtId="0" fontId="73" fillId="5" borderId="27" xfId="0" applyFont="1" applyFill="1" applyBorder="1" applyAlignment="1">
      <alignment horizontal="left" vertical="center" wrapText="1"/>
    </xf>
    <xf numFmtId="0" fontId="73" fillId="5" borderId="11" xfId="0" applyFont="1" applyFill="1" applyBorder="1" applyAlignment="1">
      <alignment horizontal="left" vertical="center" wrapText="1"/>
    </xf>
    <xf numFmtId="0" fontId="75" fillId="0" borderId="27" xfId="0" applyFont="1" applyFill="1" applyBorder="1" applyAlignment="1">
      <alignment horizontal="left" vertical="center" wrapText="1"/>
    </xf>
    <xf numFmtId="0" fontId="72" fillId="6" borderId="16" xfId="0" applyFont="1" applyFill="1" applyBorder="1" applyAlignment="1">
      <alignment horizontal="left" vertical="center" wrapText="1"/>
    </xf>
    <xf numFmtId="0" fontId="72" fillId="6" borderId="52" xfId="0" applyFont="1" applyFill="1" applyBorder="1" applyAlignment="1">
      <alignment horizontal="left" vertical="center" wrapText="1"/>
    </xf>
    <xf numFmtId="0" fontId="71" fillId="8" borderId="9" xfId="0" applyFont="1" applyFill="1" applyBorder="1" applyAlignment="1">
      <alignment horizontal="left" vertical="center" wrapText="1"/>
    </xf>
    <xf numFmtId="0" fontId="71" fillId="8" borderId="39" xfId="0" applyFont="1" applyFill="1" applyBorder="1" applyAlignment="1">
      <alignment horizontal="left" vertical="center" wrapText="1"/>
    </xf>
    <xf numFmtId="0" fontId="66" fillId="0" borderId="0" xfId="0" applyFont="1" applyAlignment="1">
      <alignment horizontal="center"/>
    </xf>
    <xf numFmtId="0" fontId="66" fillId="0" borderId="0" xfId="0" applyFont="1"/>
    <xf numFmtId="0" fontId="66" fillId="0" borderId="0" xfId="0" applyFont="1" applyAlignment="1">
      <alignment wrapText="1"/>
    </xf>
    <xf numFmtId="164" fontId="66" fillId="0" borderId="0" xfId="0" applyNumberFormat="1" applyFont="1"/>
    <xf numFmtId="0" fontId="6" fillId="0" borderId="0" xfId="8" applyFont="1"/>
    <xf numFmtId="0" fontId="14" fillId="0" borderId="0" xfId="8" applyFont="1" applyAlignment="1">
      <alignment wrapText="1"/>
    </xf>
    <xf numFmtId="0" fontId="13" fillId="0" borderId="0" xfId="8" applyFont="1" applyAlignment="1">
      <alignment horizontal="center" wrapText="1"/>
    </xf>
    <xf numFmtId="0" fontId="14" fillId="0" borderId="20" xfId="8" applyFont="1" applyFill="1" applyBorder="1" applyAlignment="1">
      <alignment horizontal="center" wrapText="1"/>
    </xf>
    <xf numFmtId="0" fontId="14" fillId="0" borderId="0" xfId="8" applyFont="1" applyAlignment="1">
      <alignment horizontal="center" wrapText="1"/>
    </xf>
    <xf numFmtId="0" fontId="7" fillId="0" borderId="0" xfId="8" applyFont="1" applyAlignment="1">
      <alignment wrapText="1"/>
    </xf>
    <xf numFmtId="0" fontId="76" fillId="0" borderId="63" xfId="8" applyFont="1" applyFill="1" applyBorder="1" applyAlignment="1">
      <alignment horizontal="center" vertical="center"/>
    </xf>
    <xf numFmtId="0" fontId="66" fillId="0" borderId="63" xfId="8" applyFont="1" applyFill="1" applyBorder="1" applyAlignment="1">
      <alignment horizontal="center" vertical="center"/>
    </xf>
    <xf numFmtId="0" fontId="66" fillId="0" borderId="50" xfId="8" applyFont="1" applyFill="1" applyBorder="1" applyAlignment="1">
      <alignment vertical="center"/>
    </xf>
    <xf numFmtId="2" fontId="13" fillId="0" borderId="2" xfId="8" applyNumberFormat="1" applyFont="1" applyBorder="1" applyAlignment="1">
      <alignment vertical="center" wrapText="1"/>
    </xf>
    <xf numFmtId="2" fontId="13" fillId="0" borderId="2" xfId="8" applyNumberFormat="1" applyFont="1" applyBorder="1" applyAlignment="1">
      <alignment vertical="center"/>
    </xf>
    <xf numFmtId="2" fontId="13" fillId="0" borderId="2" xfId="1" applyNumberFormat="1" applyFont="1" applyBorder="1" applyAlignment="1">
      <alignment vertical="center"/>
    </xf>
    <xf numFmtId="2" fontId="13" fillId="10" borderId="2" xfId="8" applyNumberFormat="1" applyFont="1" applyFill="1" applyBorder="1" applyAlignment="1">
      <alignment vertical="center"/>
    </xf>
    <xf numFmtId="2" fontId="13" fillId="2" borderId="2" xfId="8" applyNumberFormat="1" applyFont="1" applyFill="1" applyBorder="1" applyAlignment="1">
      <alignment horizontal="right" vertical="center"/>
    </xf>
    <xf numFmtId="3" fontId="13" fillId="0" borderId="2" xfId="8" applyNumberFormat="1" applyFont="1" applyFill="1" applyBorder="1" applyAlignment="1">
      <alignment horizontal="right" vertical="center"/>
    </xf>
    <xf numFmtId="3" fontId="13" fillId="0" borderId="2" xfId="1" applyNumberFormat="1" applyFont="1" applyBorder="1" applyAlignment="1">
      <alignment horizontal="right" vertical="center"/>
    </xf>
    <xf numFmtId="3" fontId="13" fillId="10" borderId="2" xfId="8" applyNumberFormat="1" applyFont="1" applyFill="1" applyBorder="1" applyAlignment="1">
      <alignment vertical="center"/>
    </xf>
    <xf numFmtId="2" fontId="14" fillId="9" borderId="3" xfId="8" applyNumberFormat="1" applyFont="1" applyFill="1" applyBorder="1" applyAlignment="1">
      <alignment horizontal="left" vertical="center" wrapText="1"/>
    </xf>
    <xf numFmtId="3" fontId="14" fillId="9" borderId="3" xfId="8" applyNumberFormat="1" applyFont="1" applyFill="1" applyBorder="1" applyAlignment="1">
      <alignment horizontal="right" vertical="center" wrapText="1"/>
    </xf>
    <xf numFmtId="3" fontId="14" fillId="9" borderId="3" xfId="8" applyNumberFormat="1" applyFont="1" applyFill="1" applyBorder="1" applyAlignment="1">
      <alignment horizontal="right" vertical="center"/>
    </xf>
    <xf numFmtId="2" fontId="14" fillId="9" borderId="2" xfId="8" applyNumberFormat="1" applyFont="1" applyFill="1" applyBorder="1" applyAlignment="1">
      <alignment horizontal="left" vertical="center" wrapText="1"/>
    </xf>
    <xf numFmtId="3" fontId="14" fillId="9" borderId="2" xfId="8" applyNumberFormat="1" applyFont="1" applyFill="1" applyBorder="1" applyAlignment="1">
      <alignment horizontal="right" vertical="center" wrapText="1"/>
    </xf>
    <xf numFmtId="3" fontId="14" fillId="9" borderId="2" xfId="8" applyNumberFormat="1" applyFont="1" applyFill="1" applyBorder="1" applyAlignment="1">
      <alignment horizontal="right" vertical="center"/>
    </xf>
    <xf numFmtId="3" fontId="4" fillId="0" borderId="0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3" fontId="47" fillId="0" borderId="0" xfId="0" applyNumberFormat="1" applyFont="1" applyFill="1" applyBorder="1"/>
    <xf numFmtId="3" fontId="46" fillId="0" borderId="0" xfId="0" applyNumberFormat="1" applyFont="1" applyFill="1" applyBorder="1"/>
    <xf numFmtId="3" fontId="54" fillId="0" borderId="0" xfId="0" applyNumberFormat="1" applyFont="1" applyFill="1" applyBorder="1"/>
    <xf numFmtId="3" fontId="51" fillId="0" borderId="0" xfId="0" applyNumberFormat="1" applyFont="1" applyFill="1" applyBorder="1"/>
    <xf numFmtId="3" fontId="45" fillId="0" borderId="0" xfId="0" applyNumberFormat="1" applyFont="1" applyBorder="1"/>
    <xf numFmtId="3" fontId="44" fillId="0" borderId="0" xfId="0" applyNumberFormat="1" applyFont="1" applyFill="1" applyBorder="1" applyAlignment="1"/>
    <xf numFmtId="3" fontId="52" fillId="0" borderId="0" xfId="0" applyNumberFormat="1" applyFont="1" applyFill="1" applyBorder="1" applyAlignment="1"/>
    <xf numFmtId="3" fontId="23" fillId="0" borderId="0" xfId="0" applyNumberFormat="1" applyFont="1" applyFill="1" applyBorder="1" applyAlignment="1"/>
    <xf numFmtId="3" fontId="56" fillId="0" borderId="0" xfId="0" applyNumberFormat="1" applyFont="1" applyFill="1" applyBorder="1"/>
    <xf numFmtId="3" fontId="57" fillId="0" borderId="0" xfId="0" applyNumberFormat="1" applyFont="1" applyFill="1" applyBorder="1"/>
    <xf numFmtId="3" fontId="48" fillId="0" borderId="0" xfId="0" applyNumberFormat="1" applyFont="1" applyFill="1" applyBorder="1"/>
    <xf numFmtId="3" fontId="52" fillId="0" borderId="0" xfId="0" applyNumberFormat="1" applyFont="1" applyFill="1" applyBorder="1"/>
    <xf numFmtId="3" fontId="58" fillId="0" borderId="0" xfId="0" applyNumberFormat="1" applyFont="1" applyFill="1" applyBorder="1"/>
    <xf numFmtId="3" fontId="17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18" fillId="0" borderId="0" xfId="0" applyNumberFormat="1" applyFont="1" applyFill="1" applyBorder="1"/>
    <xf numFmtId="3" fontId="22" fillId="0" borderId="0" xfId="0" applyNumberFormat="1" applyFont="1" applyFill="1"/>
    <xf numFmtId="0" fontId="0" fillId="0" borderId="0" xfId="0" applyFont="1"/>
    <xf numFmtId="0" fontId="0" fillId="0" borderId="0" xfId="0" applyNumberFormat="1"/>
    <xf numFmtId="0" fontId="5" fillId="0" borderId="0" xfId="0" applyFont="1"/>
    <xf numFmtId="0" fontId="17" fillId="0" borderId="0" xfId="0" applyFont="1"/>
    <xf numFmtId="0" fontId="13" fillId="4" borderId="20" xfId="8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3" fontId="14" fillId="0" borderId="0" xfId="3" applyNumberFormat="1" applyFont="1" applyBorder="1" applyAlignment="1">
      <alignment horizontal="left" vertical="center"/>
    </xf>
    <xf numFmtId="0" fontId="14" fillId="0" borderId="0" xfId="3" applyFont="1" applyBorder="1"/>
    <xf numFmtId="3" fontId="14" fillId="0" borderId="0" xfId="3" applyNumberFormat="1" applyFont="1" applyBorder="1"/>
    <xf numFmtId="0" fontId="14" fillId="0" borderId="0" xfId="3" applyFont="1" applyBorder="1" applyAlignment="1">
      <alignment shrinkToFit="1"/>
    </xf>
    <xf numFmtId="3" fontId="14" fillId="0" borderId="0" xfId="3" applyNumberFormat="1" applyFont="1" applyBorder="1" applyAlignment="1">
      <alignment horizontal="right"/>
    </xf>
    <xf numFmtId="0" fontId="13" fillId="0" borderId="20" xfId="3" applyFont="1" applyBorder="1" applyAlignment="1">
      <alignment horizontal="center" vertical="center"/>
    </xf>
    <xf numFmtId="3" fontId="13" fillId="0" borderId="9" xfId="3" applyNumberFormat="1" applyFont="1" applyBorder="1" applyAlignment="1">
      <alignment horizontal="center" vertical="center"/>
    </xf>
    <xf numFmtId="0" fontId="13" fillId="0" borderId="20" xfId="3" applyFont="1" applyBorder="1" applyAlignment="1">
      <alignment horizontal="right" vertical="center"/>
    </xf>
    <xf numFmtId="0" fontId="13" fillId="4" borderId="20" xfId="3" applyFont="1" applyFill="1" applyBorder="1" applyAlignment="1">
      <alignment horizontal="center" vertical="center"/>
    </xf>
    <xf numFmtId="0" fontId="14" fillId="0" borderId="51" xfId="3" applyFont="1" applyBorder="1"/>
    <xf numFmtId="0" fontId="14" fillId="0" borderId="50" xfId="3" applyFont="1" applyBorder="1" applyAlignment="1">
      <alignment vertical="center"/>
    </xf>
    <xf numFmtId="0" fontId="14" fillId="0" borderId="5" xfId="3" applyFont="1" applyBorder="1" applyAlignment="1">
      <alignment vertical="center" shrinkToFit="1"/>
    </xf>
    <xf numFmtId="3" fontId="14" fillId="0" borderId="51" xfId="3" applyNumberFormat="1" applyFont="1" applyBorder="1" applyAlignment="1">
      <alignment horizontal="right" vertical="center"/>
    </xf>
    <xf numFmtId="0" fontId="14" fillId="0" borderId="25" xfId="3" applyFont="1" applyBorder="1"/>
    <xf numFmtId="0" fontId="14" fillId="0" borderId="56" xfId="3" applyFont="1" applyBorder="1" applyAlignment="1">
      <alignment horizontal="left" vertical="center"/>
    </xf>
    <xf numFmtId="3" fontId="14" fillId="0" borderId="11" xfId="3" applyNumberFormat="1" applyFont="1" applyBorder="1" applyAlignment="1">
      <alignment vertical="center"/>
    </xf>
    <xf numFmtId="0" fontId="14" fillId="0" borderId="27" xfId="3" applyFont="1" applyBorder="1" applyAlignment="1">
      <alignment horizontal="left" vertical="center" shrinkToFit="1"/>
    </xf>
    <xf numFmtId="3" fontId="14" fillId="0" borderId="11" xfId="3" applyNumberFormat="1" applyFont="1" applyFill="1" applyBorder="1" applyAlignment="1">
      <alignment vertical="center"/>
    </xf>
    <xf numFmtId="0" fontId="14" fillId="0" borderId="27" xfId="3" applyFont="1" applyBorder="1" applyAlignment="1">
      <alignment vertical="center" shrinkToFit="1"/>
    </xf>
    <xf numFmtId="0" fontId="14" fillId="0" borderId="63" xfId="3" applyFont="1" applyBorder="1" applyAlignment="1">
      <alignment horizontal="left" vertical="center"/>
    </xf>
    <xf numFmtId="0" fontId="14" fillId="0" borderId="0" xfId="3" applyFont="1" applyBorder="1" applyAlignment="1">
      <alignment vertical="center" shrinkToFit="1"/>
    </xf>
    <xf numFmtId="3" fontId="14" fillId="0" borderId="16" xfId="3" applyNumberFormat="1" applyFont="1" applyBorder="1" applyAlignment="1">
      <alignment vertical="center"/>
    </xf>
    <xf numFmtId="0" fontId="77" fillId="4" borderId="20" xfId="3" applyFont="1" applyFill="1" applyBorder="1" applyAlignment="1">
      <alignment vertical="center"/>
    </xf>
    <xf numFmtId="3" fontId="13" fillId="4" borderId="20" xfId="3" applyNumberFormat="1" applyFont="1" applyFill="1" applyBorder="1" applyAlignment="1">
      <alignment vertical="center"/>
    </xf>
    <xf numFmtId="3" fontId="13" fillId="4" borderId="20" xfId="3" applyNumberFormat="1" applyFont="1" applyFill="1" applyBorder="1" applyAlignment="1">
      <alignment horizontal="right" vertical="center"/>
    </xf>
    <xf numFmtId="0" fontId="14" fillId="0" borderId="25" xfId="3" applyFont="1" applyFill="1" applyBorder="1" applyAlignment="1">
      <alignment vertical="center"/>
    </xf>
    <xf numFmtId="3" fontId="14" fillId="0" borderId="25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 wrapText="1"/>
    </xf>
    <xf numFmtId="3" fontId="14" fillId="0" borderId="25" xfId="3" applyNumberFormat="1" applyFont="1" applyBorder="1" applyAlignment="1">
      <alignment vertical="center"/>
    </xf>
    <xf numFmtId="0" fontId="14" fillId="0" borderId="25" xfId="3" applyFont="1" applyFill="1" applyBorder="1" applyAlignment="1">
      <alignment horizontal="left" vertical="center" wrapText="1"/>
    </xf>
    <xf numFmtId="0" fontId="14" fillId="0" borderId="27" xfId="3" applyFont="1" applyFill="1" applyBorder="1" applyAlignment="1">
      <alignment horizontal="left" vertical="center" wrapText="1"/>
    </xf>
    <xf numFmtId="0" fontId="14" fillId="0" borderId="11" xfId="3" applyFont="1" applyFill="1" applyBorder="1" applyAlignment="1">
      <alignment vertical="center" shrinkToFit="1"/>
    </xf>
    <xf numFmtId="0" fontId="14" fillId="0" borderId="5" xfId="3" applyFont="1" applyFill="1" applyBorder="1" applyAlignment="1">
      <alignment horizontal="left" vertical="center" wrapText="1"/>
    </xf>
    <xf numFmtId="0" fontId="14" fillId="0" borderId="16" xfId="3" applyFont="1" applyBorder="1" applyAlignment="1">
      <alignment vertical="center" wrapText="1"/>
    </xf>
    <xf numFmtId="3" fontId="14" fillId="0" borderId="40" xfId="3" applyNumberFormat="1" applyFont="1" applyBorder="1" applyAlignment="1">
      <alignment vertical="center"/>
    </xf>
    <xf numFmtId="0" fontId="14" fillId="0" borderId="52" xfId="3" applyFont="1" applyBorder="1" applyAlignment="1">
      <alignment vertical="center" wrapText="1"/>
    </xf>
    <xf numFmtId="0" fontId="77" fillId="4" borderId="20" xfId="3" applyFont="1" applyFill="1" applyBorder="1"/>
    <xf numFmtId="3" fontId="13" fillId="4" borderId="20" xfId="3" applyNumberFormat="1" applyFont="1" applyFill="1" applyBorder="1"/>
    <xf numFmtId="3" fontId="13" fillId="4" borderId="20" xfId="3" applyNumberFormat="1" applyFont="1" applyFill="1" applyBorder="1" applyAlignment="1">
      <alignment horizontal="right"/>
    </xf>
    <xf numFmtId="0" fontId="14" fillId="0" borderId="49" xfId="3" applyFont="1" applyBorder="1"/>
    <xf numFmtId="0" fontId="13" fillId="4" borderId="20" xfId="3" applyFont="1" applyFill="1" applyBorder="1" applyAlignment="1">
      <alignment horizontal="left"/>
    </xf>
    <xf numFmtId="0" fontId="13" fillId="0" borderId="0" xfId="3" applyFont="1" applyBorder="1" applyAlignment="1">
      <alignment horizontal="center" vertical="top"/>
    </xf>
    <xf numFmtId="3" fontId="13" fillId="0" borderId="0" xfId="3" applyNumberFormat="1" applyFont="1" applyBorder="1" applyAlignment="1">
      <alignment horizontal="center" vertical="top"/>
    </xf>
    <xf numFmtId="0" fontId="13" fillId="4" borderId="20" xfId="3" applyFont="1" applyFill="1" applyBorder="1" applyAlignment="1">
      <alignment horizontal="center" vertical="center" wrapText="1"/>
    </xf>
    <xf numFmtId="3" fontId="13" fillId="4" borderId="20" xfId="3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6" fillId="0" borderId="0" xfId="0" applyFont="1" applyAlignment="1"/>
    <xf numFmtId="0" fontId="78" fillId="0" borderId="0" xfId="0" applyFont="1"/>
    <xf numFmtId="0" fontId="78" fillId="0" borderId="0" xfId="0" applyFont="1" applyAlignment="1">
      <alignment horizontal="right"/>
    </xf>
    <xf numFmtId="0" fontId="79" fillId="0" borderId="47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39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 wrapText="1"/>
    </xf>
    <xf numFmtId="0" fontId="79" fillId="0" borderId="39" xfId="0" applyFont="1" applyBorder="1" applyAlignment="1">
      <alignment horizontal="center" vertical="center" wrapText="1"/>
    </xf>
    <xf numFmtId="0" fontId="79" fillId="4" borderId="20" xfId="0" applyFont="1" applyFill="1" applyBorder="1" applyAlignment="1">
      <alignment horizontal="center" vertical="center" shrinkToFit="1"/>
    </xf>
    <xf numFmtId="0" fontId="79" fillId="4" borderId="20" xfId="0" applyFont="1" applyFill="1" applyBorder="1" applyAlignment="1">
      <alignment horizontal="center" vertical="center" wrapText="1"/>
    </xf>
    <xf numFmtId="0" fontId="79" fillId="4" borderId="26" xfId="0" applyFont="1" applyFill="1" applyBorder="1" applyAlignment="1">
      <alignment horizontal="center" vertical="center"/>
    </xf>
    <xf numFmtId="0" fontId="79" fillId="4" borderId="20" xfId="0" applyFont="1" applyFill="1" applyBorder="1" applyAlignment="1">
      <alignment horizontal="left" vertical="center"/>
    </xf>
    <xf numFmtId="0" fontId="79" fillId="4" borderId="0" xfId="0" applyFont="1" applyFill="1" applyBorder="1" applyAlignment="1">
      <alignment horizontal="center"/>
    </xf>
    <xf numFmtId="0" fontId="78" fillId="0" borderId="51" xfId="0" applyFont="1" applyBorder="1" applyAlignment="1">
      <alignment horizontal="center" vertical="center" wrapText="1"/>
    </xf>
    <xf numFmtId="0" fontId="80" fillId="0" borderId="50" xfId="0" applyFont="1" applyBorder="1"/>
    <xf numFmtId="0" fontId="80" fillId="0" borderId="42" xfId="0" applyFont="1" applyBorder="1"/>
    <xf numFmtId="0" fontId="80" fillId="0" borderId="8" xfId="0" applyFont="1" applyBorder="1"/>
    <xf numFmtId="0" fontId="80" fillId="0" borderId="43" xfId="0" applyFont="1" applyBorder="1"/>
    <xf numFmtId="0" fontId="78" fillId="0" borderId="51" xfId="0" applyFont="1" applyBorder="1" applyAlignment="1">
      <alignment horizontal="center"/>
    </xf>
    <xf numFmtId="0" fontId="78" fillId="0" borderId="42" xfId="0" applyFont="1" applyBorder="1" applyAlignment="1">
      <alignment horizontal="center"/>
    </xf>
    <xf numFmtId="0" fontId="78" fillId="0" borderId="25" xfId="0" applyFont="1" applyBorder="1" applyAlignment="1">
      <alignment horizontal="center" vertical="center" wrapText="1"/>
    </xf>
    <xf numFmtId="0" fontId="81" fillId="0" borderId="10" xfId="0" applyFont="1" applyBorder="1"/>
    <xf numFmtId="0" fontId="81" fillId="0" borderId="1" xfId="0" applyFont="1" applyBorder="1"/>
    <xf numFmtId="0" fontId="81" fillId="0" borderId="2" xfId="0" applyFont="1" applyBorder="1"/>
    <xf numFmtId="0" fontId="81" fillId="0" borderId="28" xfId="0" applyFont="1" applyBorder="1"/>
    <xf numFmtId="3" fontId="81" fillId="0" borderId="25" xfId="0" applyNumberFormat="1" applyFont="1" applyBorder="1"/>
    <xf numFmtId="3" fontId="81" fillId="0" borderId="5" xfId="0" applyNumberFormat="1" applyFont="1" applyBorder="1"/>
    <xf numFmtId="0" fontId="78" fillId="0" borderId="10" xfId="0" applyFont="1" applyBorder="1"/>
    <xf numFmtId="0" fontId="82" fillId="0" borderId="1" xfId="0" applyFont="1" applyBorder="1"/>
    <xf numFmtId="0" fontId="82" fillId="0" borderId="2" xfId="0" applyFont="1" applyBorder="1"/>
    <xf numFmtId="0" fontId="82" fillId="0" borderId="28" xfId="0" applyFont="1" applyBorder="1"/>
    <xf numFmtId="3" fontId="82" fillId="0" borderId="11" xfId="0" applyNumberFormat="1" applyFont="1" applyBorder="1"/>
    <xf numFmtId="3" fontId="82" fillId="0" borderId="27" xfId="0" applyNumberFormat="1" applyFont="1" applyBorder="1"/>
    <xf numFmtId="0" fontId="78" fillId="0" borderId="1" xfId="0" applyFont="1" applyBorder="1"/>
    <xf numFmtId="0" fontId="78" fillId="0" borderId="2" xfId="0" applyFont="1" applyBorder="1"/>
    <xf numFmtId="0" fontId="78" fillId="0" borderId="28" xfId="0" applyFont="1" applyBorder="1"/>
    <xf numFmtId="3" fontId="78" fillId="0" borderId="11" xfId="0" applyNumberFormat="1" applyFont="1" applyBorder="1"/>
    <xf numFmtId="3" fontId="78" fillId="0" borderId="27" xfId="0" applyNumberFormat="1" applyFont="1" applyBorder="1"/>
    <xf numFmtId="0" fontId="83" fillId="0" borderId="28" xfId="0" applyFont="1" applyBorder="1"/>
    <xf numFmtId="0" fontId="84" fillId="0" borderId="10" xfId="0" applyFont="1" applyBorder="1"/>
    <xf numFmtId="0" fontId="84" fillId="0" borderId="2" xfId="0" applyFont="1" applyBorder="1"/>
    <xf numFmtId="0" fontId="85" fillId="0" borderId="2" xfId="0" applyFont="1" applyBorder="1"/>
    <xf numFmtId="0" fontId="81" fillId="0" borderId="2" xfId="0" applyFont="1" applyBorder="1" applyAlignment="1">
      <alignment shrinkToFit="1"/>
    </xf>
    <xf numFmtId="0" fontId="78" fillId="0" borderId="28" xfId="0" applyFont="1" applyBorder="1" applyAlignment="1">
      <alignment shrinkToFit="1"/>
    </xf>
    <xf numFmtId="0" fontId="82" fillId="0" borderId="10" xfId="0" applyFont="1" applyBorder="1"/>
    <xf numFmtId="0" fontId="78" fillId="0" borderId="25" xfId="0" applyFont="1" applyFill="1" applyBorder="1" applyAlignment="1">
      <alignment horizontal="center" vertical="center" wrapText="1"/>
    </xf>
    <xf numFmtId="0" fontId="78" fillId="0" borderId="10" xfId="0" applyFont="1" applyFill="1" applyBorder="1"/>
    <xf numFmtId="0" fontId="78" fillId="0" borderId="1" xfId="0" applyFont="1" applyFill="1" applyBorder="1"/>
    <xf numFmtId="0" fontId="78" fillId="0" borderId="2" xfId="0" applyFont="1" applyFill="1" applyBorder="1"/>
    <xf numFmtId="0" fontId="78" fillId="0" borderId="28" xfId="0" applyFont="1" applyFill="1" applyBorder="1" applyAlignment="1">
      <alignment shrinkToFit="1"/>
    </xf>
    <xf numFmtId="3" fontId="78" fillId="0" borderId="11" xfId="0" applyNumberFormat="1" applyFont="1" applyFill="1" applyBorder="1"/>
    <xf numFmtId="0" fontId="86" fillId="0" borderId="2" xfId="0" applyFont="1" applyBorder="1"/>
    <xf numFmtId="0" fontId="87" fillId="0" borderId="2" xfId="0" applyFont="1" applyBorder="1" applyAlignment="1">
      <alignment horizontal="left"/>
    </xf>
    <xf numFmtId="0" fontId="78" fillId="0" borderId="28" xfId="0" applyFont="1" applyBorder="1" applyAlignment="1">
      <alignment horizontal="left"/>
    </xf>
    <xf numFmtId="0" fontId="87" fillId="0" borderId="12" xfId="0" applyFont="1" applyBorder="1" applyAlignment="1">
      <alignment horizontal="left"/>
    </xf>
    <xf numFmtId="0" fontId="78" fillId="0" borderId="12" xfId="0" applyFont="1" applyBorder="1"/>
    <xf numFmtId="0" fontId="14" fillId="0" borderId="28" xfId="0" applyFont="1" applyBorder="1" applyAlignment="1">
      <alignment wrapText="1"/>
    </xf>
    <xf numFmtId="0" fontId="82" fillId="0" borderId="12" xfId="0" applyFont="1" applyBorder="1"/>
    <xf numFmtId="0" fontId="88" fillId="0" borderId="28" xfId="0" applyFont="1" applyBorder="1" applyAlignment="1">
      <alignment wrapText="1"/>
    </xf>
    <xf numFmtId="0" fontId="89" fillId="0" borderId="28" xfId="0" applyFont="1" applyFill="1" applyBorder="1" applyAlignment="1">
      <alignment wrapText="1"/>
    </xf>
    <xf numFmtId="0" fontId="78" fillId="0" borderId="28" xfId="0" applyFont="1" applyBorder="1" applyAlignment="1">
      <alignment horizontal="left" shrinkToFit="1"/>
    </xf>
    <xf numFmtId="0" fontId="83" fillId="0" borderId="2" xfId="0" applyFont="1" applyBorder="1"/>
    <xf numFmtId="0" fontId="14" fillId="0" borderId="28" xfId="0" applyFont="1" applyBorder="1"/>
    <xf numFmtId="3" fontId="78" fillId="0" borderId="11" xfId="0" applyNumberFormat="1" applyFont="1" applyBorder="1" applyAlignment="1">
      <alignment horizontal="right"/>
    </xf>
    <xf numFmtId="3" fontId="78" fillId="0" borderId="27" xfId="0" applyNumberFormat="1" applyFont="1" applyBorder="1" applyAlignment="1">
      <alignment horizontal="right"/>
    </xf>
    <xf numFmtId="3" fontId="81" fillId="0" borderId="11" xfId="0" applyNumberFormat="1" applyFont="1" applyBorder="1"/>
    <xf numFmtId="3" fontId="81" fillId="0" borderId="27" xfId="0" applyNumberFormat="1" applyFont="1" applyBorder="1"/>
    <xf numFmtId="0" fontId="89" fillId="0" borderId="28" xfId="0" applyFont="1" applyBorder="1"/>
    <xf numFmtId="0" fontId="89" fillId="0" borderId="1" xfId="0" applyFont="1" applyBorder="1"/>
    <xf numFmtId="0" fontId="89" fillId="0" borderId="2" xfId="0" applyFont="1" applyBorder="1"/>
    <xf numFmtId="0" fontId="90" fillId="0" borderId="10" xfId="0" applyFont="1" applyBorder="1"/>
    <xf numFmtId="0" fontId="90" fillId="0" borderId="1" xfId="0" applyFont="1" applyBorder="1"/>
    <xf numFmtId="0" fontId="78" fillId="0" borderId="28" xfId="0" applyFont="1" applyFill="1" applyBorder="1"/>
    <xf numFmtId="0" fontId="91" fillId="0" borderId="28" xfId="0" applyFont="1" applyBorder="1"/>
    <xf numFmtId="0" fontId="92" fillId="0" borderId="28" xfId="0" applyFont="1" applyBorder="1"/>
    <xf numFmtId="0" fontId="93" fillId="0" borderId="2" xfId="0" applyFont="1" applyBorder="1"/>
    <xf numFmtId="3" fontId="93" fillId="0" borderId="11" xfId="0" applyNumberFormat="1" applyFont="1" applyBorder="1"/>
    <xf numFmtId="3" fontId="93" fillId="0" borderId="27" xfId="0" applyNumberFormat="1" applyFont="1" applyBorder="1"/>
    <xf numFmtId="3" fontId="78" fillId="0" borderId="16" xfId="0" applyNumberFormat="1" applyFont="1" applyBorder="1"/>
    <xf numFmtId="3" fontId="78" fillId="0" borderId="52" xfId="0" applyNumberFormat="1" applyFont="1" applyBorder="1"/>
    <xf numFmtId="3" fontId="82" fillId="0" borderId="25" xfId="0" applyNumberFormat="1" applyFont="1" applyBorder="1"/>
    <xf numFmtId="3" fontId="82" fillId="0" borderId="5" xfId="0" applyNumberFormat="1" applyFont="1" applyBorder="1"/>
    <xf numFmtId="0" fontId="90" fillId="0" borderId="2" xfId="0" applyFont="1" applyBorder="1"/>
    <xf numFmtId="0" fontId="90" fillId="0" borderId="28" xfId="0" applyFont="1" applyBorder="1"/>
    <xf numFmtId="0" fontId="78" fillId="0" borderId="11" xfId="0" applyFont="1" applyBorder="1"/>
    <xf numFmtId="0" fontId="78" fillId="0" borderId="27" xfId="0" applyFont="1" applyBorder="1"/>
    <xf numFmtId="0" fontId="79" fillId="0" borderId="10" xfId="0" applyFont="1" applyBorder="1"/>
    <xf numFmtId="0" fontId="79" fillId="0" borderId="1" xfId="0" applyFont="1" applyBorder="1"/>
    <xf numFmtId="0" fontId="79" fillId="0" borderId="2" xfId="0" applyFont="1" applyBorder="1"/>
    <xf numFmtId="0" fontId="79" fillId="0" borderId="28" xfId="0" applyFont="1" applyBorder="1"/>
    <xf numFmtId="0" fontId="78" fillId="0" borderId="16" xfId="0" applyFont="1" applyBorder="1"/>
    <xf numFmtId="0" fontId="78" fillId="0" borderId="52" xfId="0" applyFont="1" applyBorder="1"/>
    <xf numFmtId="0" fontId="90" fillId="0" borderId="13" xfId="0" applyFont="1" applyBorder="1"/>
    <xf numFmtId="0" fontId="82" fillId="0" borderId="14" xfId="0" applyFont="1" applyBorder="1"/>
    <xf numFmtId="0" fontId="82" fillId="0" borderId="15" xfId="0" applyFont="1" applyBorder="1"/>
    <xf numFmtId="0" fontId="88" fillId="0" borderId="44" xfId="0" applyFont="1" applyBorder="1" applyAlignment="1">
      <alignment wrapText="1"/>
    </xf>
    <xf numFmtId="3" fontId="82" fillId="0" borderId="16" xfId="0" applyNumberFormat="1" applyFont="1" applyBorder="1"/>
    <xf numFmtId="3" fontId="82" fillId="0" borderId="52" xfId="0" applyNumberFormat="1" applyFont="1" applyBorder="1"/>
    <xf numFmtId="0" fontId="90" fillId="0" borderId="10" xfId="0" applyFont="1" applyBorder="1" applyAlignment="1"/>
    <xf numFmtId="0" fontId="78" fillId="0" borderId="13" xfId="0" applyFont="1" applyBorder="1"/>
    <xf numFmtId="0" fontId="94" fillId="0" borderId="2" xfId="0" applyFont="1" applyBorder="1"/>
    <xf numFmtId="3" fontId="79" fillId="0" borderId="11" xfId="0" applyNumberFormat="1" applyFont="1" applyBorder="1"/>
    <xf numFmtId="3" fontId="79" fillId="0" borderId="27" xfId="0" applyNumberFormat="1" applyFont="1" applyBorder="1"/>
    <xf numFmtId="0" fontId="78" fillId="0" borderId="29" xfId="0" applyFont="1" applyBorder="1"/>
    <xf numFmtId="0" fontId="78" fillId="0" borderId="31" xfId="0" applyFont="1" applyBorder="1"/>
    <xf numFmtId="0" fontId="81" fillId="0" borderId="31" xfId="0" applyFont="1" applyBorder="1"/>
    <xf numFmtId="0" fontId="81" fillId="0" borderId="30" xfId="0" applyFont="1" applyBorder="1"/>
    <xf numFmtId="3" fontId="81" fillId="0" borderId="49" xfId="0" applyNumberFormat="1" applyFont="1" applyBorder="1"/>
    <xf numFmtId="3" fontId="81" fillId="0" borderId="60" xfId="0" applyNumberFormat="1" applyFont="1" applyBorder="1"/>
    <xf numFmtId="3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3" fillId="0" borderId="20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/>
    <xf numFmtId="0" fontId="13" fillId="4" borderId="20" xfId="0" applyFont="1" applyFill="1" applyBorder="1" applyAlignment="1">
      <alignment vertical="center" wrapText="1"/>
    </xf>
    <xf numFmtId="3" fontId="13" fillId="4" borderId="20" xfId="0" applyNumberFormat="1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4" fillId="0" borderId="65" xfId="0" applyFont="1" applyBorder="1" applyAlignment="1">
      <alignment horizontal="center" vertical="center"/>
    </xf>
    <xf numFmtId="3" fontId="96" fillId="0" borderId="51" xfId="0" applyNumberFormat="1" applyFont="1" applyFill="1" applyBorder="1" applyAlignment="1">
      <alignment horizontal="left"/>
    </xf>
    <xf numFmtId="3" fontId="96" fillId="0" borderId="61" xfId="0" applyNumberFormat="1" applyFont="1" applyFill="1" applyBorder="1" applyAlignment="1">
      <alignment horizontal="left"/>
    </xf>
    <xf numFmtId="0" fontId="14" fillId="0" borderId="56" xfId="0" applyFont="1" applyBorder="1" applyAlignment="1">
      <alignment horizontal="center" vertical="center"/>
    </xf>
    <xf numFmtId="0" fontId="97" fillId="0" borderId="10" xfId="0" applyFont="1" applyFill="1" applyBorder="1"/>
    <xf numFmtId="0" fontId="97" fillId="0" borderId="1" xfId="0" applyFont="1" applyFill="1" applyBorder="1"/>
    <xf numFmtId="0" fontId="97" fillId="0" borderId="2" xfId="0" applyFont="1" applyFill="1" applyBorder="1"/>
    <xf numFmtId="3" fontId="97" fillId="0" borderId="11" xfId="0" applyNumberFormat="1" applyFont="1" applyFill="1" applyBorder="1" applyAlignment="1">
      <alignment horizontal="right"/>
    </xf>
    <xf numFmtId="3" fontId="97" fillId="0" borderId="45" xfId="0" applyNumberFormat="1" applyFont="1" applyFill="1" applyBorder="1" applyAlignment="1">
      <alignment horizontal="right"/>
    </xf>
    <xf numFmtId="0" fontId="98" fillId="0" borderId="10" xfId="0" applyFont="1" applyFill="1" applyBorder="1"/>
    <xf numFmtId="0" fontId="99" fillId="0" borderId="1" xfId="0" applyFont="1" applyFill="1" applyBorder="1"/>
    <xf numFmtId="0" fontId="99" fillId="0" borderId="2" xfId="0" applyFont="1" applyFill="1" applyBorder="1"/>
    <xf numFmtId="3" fontId="99" fillId="0" borderId="11" xfId="0" applyNumberFormat="1" applyFont="1" applyFill="1" applyBorder="1" applyAlignment="1">
      <alignment horizontal="right"/>
    </xf>
    <xf numFmtId="3" fontId="99" fillId="0" borderId="45" xfId="0" applyNumberFormat="1" applyFont="1" applyFill="1" applyBorder="1" applyAlignment="1">
      <alignment horizontal="right"/>
    </xf>
    <xf numFmtId="0" fontId="14" fillId="0" borderId="2" xfId="0" applyFont="1" applyFill="1" applyBorder="1"/>
    <xf numFmtId="0" fontId="99" fillId="0" borderId="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3" fontId="100" fillId="0" borderId="11" xfId="0" applyNumberFormat="1" applyFont="1" applyFill="1" applyBorder="1" applyAlignment="1">
      <alignment horizontal="right"/>
    </xf>
    <xf numFmtId="3" fontId="100" fillId="0" borderId="45" xfId="0" applyNumberFormat="1" applyFont="1" applyFill="1" applyBorder="1" applyAlignment="1">
      <alignment horizontal="right"/>
    </xf>
    <xf numFmtId="0" fontId="14" fillId="0" borderId="10" xfId="0" applyFont="1" applyFill="1" applyBorder="1"/>
    <xf numFmtId="0" fontId="14" fillId="0" borderId="1" xfId="0" applyFont="1" applyFill="1" applyBorder="1"/>
    <xf numFmtId="0" fontId="14" fillId="0" borderId="12" xfId="0" applyFont="1" applyFill="1" applyBorder="1"/>
    <xf numFmtId="3" fontId="14" fillId="0" borderId="11" xfId="0" applyNumberFormat="1" applyFont="1" applyFill="1" applyBorder="1" applyAlignment="1">
      <alignment horizontal="right"/>
    </xf>
    <xf numFmtId="3" fontId="14" fillId="0" borderId="45" xfId="0" applyNumberFormat="1" applyFont="1" applyFill="1" applyBorder="1" applyAlignment="1">
      <alignment horizontal="right"/>
    </xf>
    <xf numFmtId="0" fontId="14" fillId="0" borderId="56" xfId="0" applyFont="1" applyFill="1" applyBorder="1" applyAlignment="1">
      <alignment horizontal="center" vertical="center"/>
    </xf>
    <xf numFmtId="0" fontId="101" fillId="0" borderId="1" xfId="0" applyFont="1" applyFill="1" applyBorder="1"/>
    <xf numFmtId="3" fontId="14" fillId="0" borderId="16" xfId="0" applyNumberFormat="1" applyFont="1" applyFill="1" applyBorder="1" applyAlignment="1">
      <alignment horizontal="right"/>
    </xf>
    <xf numFmtId="3" fontId="14" fillId="0" borderId="67" xfId="0" applyNumberFormat="1" applyFont="1" applyFill="1" applyBorder="1" applyAlignment="1">
      <alignment horizontal="right"/>
    </xf>
    <xf numFmtId="0" fontId="77" fillId="0" borderId="0" xfId="0" applyFont="1" applyAlignment="1">
      <alignment horizontal="center" wrapText="1"/>
    </xf>
    <xf numFmtId="165" fontId="14" fillId="0" borderId="0" xfId="0" applyNumberFormat="1" applyFont="1" applyAlignment="1">
      <alignment horizontal="right"/>
    </xf>
    <xf numFmtId="0" fontId="77" fillId="9" borderId="20" xfId="0" applyFont="1" applyFill="1" applyBorder="1" applyAlignment="1">
      <alignment horizontal="center" wrapText="1"/>
    </xf>
    <xf numFmtId="0" fontId="13" fillId="9" borderId="20" xfId="0" applyFont="1" applyFill="1" applyBorder="1" applyAlignment="1">
      <alignment horizontal="center" wrapText="1"/>
    </xf>
    <xf numFmtId="165" fontId="13" fillId="9" borderId="20" xfId="0" applyNumberFormat="1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vertical="center"/>
    </xf>
    <xf numFmtId="3" fontId="14" fillId="0" borderId="45" xfId="0" applyNumberFormat="1" applyFont="1" applyFill="1" applyBorder="1" applyAlignment="1">
      <alignment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vertical="center"/>
    </xf>
    <xf numFmtId="0" fontId="14" fillId="0" borderId="28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3" fillId="0" borderId="29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vertical="center"/>
    </xf>
    <xf numFmtId="0" fontId="13" fillId="4" borderId="17" xfId="0" applyFont="1" applyFill="1" applyBorder="1" applyAlignment="1">
      <alignment horizontal="left" vertical="center"/>
    </xf>
    <xf numFmtId="0" fontId="14" fillId="4" borderId="41" xfId="0" applyFont="1" applyFill="1" applyBorder="1" applyAlignment="1">
      <alignment vertical="center"/>
    </xf>
    <xf numFmtId="0" fontId="13" fillId="0" borderId="0" xfId="3" applyFont="1" applyBorder="1"/>
    <xf numFmtId="0" fontId="14" fillId="0" borderId="2" xfId="5" applyFont="1" applyFill="1" applyBorder="1" applyAlignment="1">
      <alignment vertical="center" wrapText="1"/>
    </xf>
    <xf numFmtId="0" fontId="14" fillId="0" borderId="0" xfId="3" applyFont="1"/>
    <xf numFmtId="0" fontId="78" fillId="0" borderId="0" xfId="5" applyFont="1" applyFill="1" applyAlignment="1">
      <alignment wrapText="1"/>
    </xf>
    <xf numFmtId="0" fontId="78" fillId="0" borderId="0" xfId="5" applyFont="1" applyFill="1"/>
    <xf numFmtId="0" fontId="78" fillId="0" borderId="0" xfId="5" applyFont="1" applyFill="1" applyAlignment="1">
      <alignment horizontal="left"/>
    </xf>
    <xf numFmtId="0" fontId="79" fillId="0" borderId="0" xfId="5" applyFont="1" applyFill="1" applyAlignment="1"/>
    <xf numFmtId="0" fontId="78" fillId="0" borderId="0" xfId="5" applyFont="1" applyFill="1" applyAlignment="1">
      <alignment vertical="center"/>
    </xf>
    <xf numFmtId="0" fontId="79" fillId="0" borderId="0" xfId="5" applyFont="1" applyFill="1" applyBorder="1" applyAlignment="1">
      <alignment horizontal="center" wrapText="1"/>
    </xf>
    <xf numFmtId="0" fontId="79" fillId="0" borderId="0" xfId="5" applyFont="1" applyFill="1" applyAlignment="1">
      <alignment horizontal="right"/>
    </xf>
    <xf numFmtId="0" fontId="78" fillId="9" borderId="47" xfId="3" applyFont="1" applyFill="1" applyBorder="1"/>
    <xf numFmtId="0" fontId="79" fillId="9" borderId="18" xfId="3" applyFont="1" applyFill="1" applyBorder="1" applyAlignment="1">
      <alignment horizontal="center"/>
    </xf>
    <xf numFmtId="0" fontId="79" fillId="9" borderId="19" xfId="3" applyFont="1" applyFill="1" applyBorder="1" applyAlignment="1">
      <alignment horizontal="center"/>
    </xf>
    <xf numFmtId="0" fontId="79" fillId="9" borderId="41" xfId="3" applyFont="1" applyFill="1" applyBorder="1" applyAlignment="1">
      <alignment horizontal="center"/>
    </xf>
    <xf numFmtId="0" fontId="79" fillId="0" borderId="0" xfId="3" applyFont="1" applyBorder="1"/>
    <xf numFmtId="0" fontId="78" fillId="0" borderId="0" xfId="3" applyFont="1"/>
    <xf numFmtId="0" fontId="78" fillId="9" borderId="17" xfId="3" applyFont="1" applyFill="1" applyBorder="1" applyAlignment="1">
      <alignment horizontal="center" vertical="center"/>
    </xf>
    <xf numFmtId="0" fontId="79" fillId="4" borderId="18" xfId="3" applyFont="1" applyFill="1" applyBorder="1" applyAlignment="1">
      <alignment vertical="center"/>
    </xf>
    <xf numFmtId="0" fontId="79" fillId="4" borderId="41" xfId="3" applyFont="1" applyFill="1" applyBorder="1" applyAlignment="1">
      <alignment horizontal="center" vertical="center"/>
    </xf>
    <xf numFmtId="0" fontId="78" fillId="0" borderId="0" xfId="3" applyFont="1" applyBorder="1" applyAlignment="1">
      <alignment vertical="center"/>
    </xf>
    <xf numFmtId="0" fontId="78" fillId="0" borderId="0" xfId="3" applyFont="1" applyAlignment="1">
      <alignment vertical="center"/>
    </xf>
    <xf numFmtId="0" fontId="78" fillId="0" borderId="6" xfId="5" applyFont="1" applyFill="1" applyBorder="1" applyAlignment="1">
      <alignment horizontal="center" vertical="center"/>
    </xf>
    <xf numFmtId="0" fontId="79" fillId="0" borderId="7" xfId="5" applyFont="1" applyFill="1" applyBorder="1" applyAlignment="1">
      <alignment vertical="center"/>
    </xf>
    <xf numFmtId="164" fontId="102" fillId="0" borderId="43" xfId="1" applyNumberFormat="1" applyFont="1" applyFill="1" applyBorder="1" applyAlignment="1">
      <alignment vertical="center"/>
    </xf>
    <xf numFmtId="0" fontId="78" fillId="0" borderId="10" xfId="5" applyFont="1" applyFill="1" applyBorder="1" applyAlignment="1">
      <alignment horizontal="center" vertical="center"/>
    </xf>
    <xf numFmtId="0" fontId="78" fillId="0" borderId="2" xfId="5" applyFont="1" applyFill="1" applyBorder="1" applyAlignment="1">
      <alignment vertical="center"/>
    </xf>
    <xf numFmtId="164" fontId="103" fillId="0" borderId="28" xfId="1" applyNumberFormat="1" applyFont="1" applyFill="1" applyBorder="1" applyAlignment="1">
      <alignment vertical="center"/>
    </xf>
    <xf numFmtId="0" fontId="79" fillId="0" borderId="2" xfId="5" applyFont="1" applyFill="1" applyBorder="1" applyAlignment="1">
      <alignment vertical="center"/>
    </xf>
    <xf numFmtId="164" fontId="102" fillId="0" borderId="28" xfId="1" applyNumberFormat="1" applyFont="1" applyFill="1" applyBorder="1" applyAlignment="1">
      <alignment vertical="center"/>
    </xf>
    <xf numFmtId="0" fontId="78" fillId="0" borderId="2" xfId="5" applyFont="1" applyFill="1" applyBorder="1" applyAlignment="1">
      <alignment vertical="center" wrapText="1"/>
    </xf>
    <xf numFmtId="0" fontId="78" fillId="0" borderId="29" xfId="5" applyFont="1" applyFill="1" applyBorder="1" applyAlignment="1">
      <alignment horizontal="center" vertical="center"/>
    </xf>
    <xf numFmtId="164" fontId="102" fillId="0" borderId="30" xfId="1" applyNumberFormat="1" applyFont="1" applyFill="1" applyBorder="1" applyAlignment="1">
      <alignment vertical="center"/>
    </xf>
    <xf numFmtId="0" fontId="79" fillId="0" borderId="0" xfId="5" applyFont="1" applyFill="1" applyAlignment="1">
      <alignment vertical="center"/>
    </xf>
    <xf numFmtId="0" fontId="78" fillId="9" borderId="17" xfId="5" applyFont="1" applyFill="1" applyBorder="1" applyAlignment="1">
      <alignment horizontal="center" vertical="center"/>
    </xf>
    <xf numFmtId="164" fontId="102" fillId="4" borderId="41" xfId="1" applyNumberFormat="1" applyFont="1" applyFill="1" applyBorder="1" applyAlignment="1">
      <alignment vertical="center"/>
    </xf>
    <xf numFmtId="0" fontId="79" fillId="0" borderId="0" xfId="5" applyFont="1" applyFill="1"/>
    <xf numFmtId="0" fontId="13" fillId="4" borderId="20" xfId="0" applyFont="1" applyFill="1" applyBorder="1"/>
    <xf numFmtId="0" fontId="13" fillId="4" borderId="39" xfId="0" applyFont="1" applyFill="1" applyBorder="1" applyAlignment="1">
      <alignment horizontal="center"/>
    </xf>
    <xf numFmtId="0" fontId="14" fillId="0" borderId="51" xfId="0" applyFont="1" applyBorder="1" applyAlignment="1">
      <alignment vertical="center"/>
    </xf>
    <xf numFmtId="3" fontId="14" fillId="0" borderId="51" xfId="0" applyNumberFormat="1" applyFont="1" applyBorder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3" fontId="14" fillId="0" borderId="11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4" borderId="49" xfId="0" applyFont="1" applyFill="1" applyBorder="1" applyAlignment="1">
      <alignment vertical="center"/>
    </xf>
    <xf numFmtId="3" fontId="13" fillId="4" borderId="49" xfId="0" applyNumberFormat="1" applyFont="1" applyFill="1" applyBorder="1" applyAlignment="1">
      <alignment vertical="center"/>
    </xf>
    <xf numFmtId="0" fontId="13" fillId="4" borderId="49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wrapText="1"/>
    </xf>
    <xf numFmtId="0" fontId="14" fillId="0" borderId="5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3" fillId="0" borderId="0" xfId="7" applyFont="1" applyAlignment="1">
      <alignment vertical="center"/>
    </xf>
    <xf numFmtId="0" fontId="14" fillId="0" borderId="20" xfId="7" applyFont="1" applyFill="1" applyBorder="1" applyAlignment="1">
      <alignment vertical="center"/>
    </xf>
    <xf numFmtId="0" fontId="13" fillId="0" borderId="20" xfId="7" applyFont="1" applyFill="1" applyBorder="1" applyAlignment="1">
      <alignment horizontal="center" vertical="center" wrapText="1"/>
    </xf>
    <xf numFmtId="0" fontId="13" fillId="0" borderId="55" xfId="7" applyFont="1" applyFill="1" applyBorder="1" applyAlignment="1">
      <alignment horizontal="center" vertical="center" wrapText="1"/>
    </xf>
    <xf numFmtId="0" fontId="13" fillId="0" borderId="53" xfId="7" applyFont="1" applyFill="1" applyBorder="1" applyAlignment="1">
      <alignment horizontal="center" vertical="center" wrapText="1"/>
    </xf>
    <xf numFmtId="0" fontId="13" fillId="4" borderId="9" xfId="7" applyFont="1" applyFill="1" applyBorder="1" applyAlignment="1">
      <alignment horizontal="center" vertical="center"/>
    </xf>
    <xf numFmtId="0" fontId="13" fillId="4" borderId="9" xfId="7" applyFont="1" applyFill="1" applyBorder="1" applyAlignment="1">
      <alignment horizontal="center" vertical="center" wrapText="1"/>
    </xf>
    <xf numFmtId="0" fontId="13" fillId="4" borderId="28" xfId="7" applyFont="1" applyFill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14" fillId="0" borderId="0" xfId="7" applyFont="1" applyAlignment="1">
      <alignment horizontal="center" vertical="top"/>
    </xf>
    <xf numFmtId="0" fontId="14" fillId="0" borderId="63" xfId="7" applyFont="1" applyFill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4" fillId="0" borderId="7" xfId="7" applyFont="1" applyBorder="1" applyAlignment="1">
      <alignment vertical="center"/>
    </xf>
    <xf numFmtId="0" fontId="14" fillId="0" borderId="10" xfId="7" applyFont="1" applyBorder="1" applyAlignment="1">
      <alignment horizontal="center" vertical="center"/>
    </xf>
    <xf numFmtId="0" fontId="14" fillId="0" borderId="2" xfId="7" applyFont="1" applyBorder="1" applyAlignment="1">
      <alignment vertical="center"/>
    </xf>
    <xf numFmtId="0" fontId="14" fillId="0" borderId="2" xfId="7" applyFont="1" applyBorder="1" applyAlignment="1">
      <alignment vertical="center" wrapText="1"/>
    </xf>
    <xf numFmtId="0" fontId="13" fillId="4" borderId="44" xfId="7" applyFont="1" applyFill="1" applyBorder="1" applyAlignment="1">
      <alignment horizontal="center" vertical="center"/>
    </xf>
    <xf numFmtId="0" fontId="13" fillId="4" borderId="41" xfId="7" applyFont="1" applyFill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top"/>
    </xf>
    <xf numFmtId="0" fontId="13" fillId="4" borderId="54" xfId="0" applyFont="1" applyFill="1" applyBorder="1" applyAlignment="1">
      <alignment horizontal="center" vertical="top"/>
    </xf>
    <xf numFmtId="0" fontId="14" fillId="0" borderId="51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3" fontId="14" fillId="0" borderId="28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4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4" fillId="4" borderId="20" xfId="8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4" fillId="0" borderId="65" xfId="8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0" fontId="14" fillId="0" borderId="59" xfId="8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61" fillId="0" borderId="47" xfId="0" applyFont="1" applyBorder="1" applyAlignment="1">
      <alignment vertical="center"/>
    </xf>
    <xf numFmtId="0" fontId="104" fillId="4" borderId="20" xfId="0" applyFont="1" applyFill="1" applyBorder="1" applyAlignment="1">
      <alignment horizontal="center" vertical="center" wrapText="1"/>
    </xf>
    <xf numFmtId="0" fontId="61" fillId="0" borderId="51" xfId="0" applyFont="1" applyBorder="1" applyAlignment="1">
      <alignment horizontal="left" vertical="center" wrapText="1"/>
    </xf>
    <xf numFmtId="3" fontId="61" fillId="0" borderId="6" xfId="1" applyNumberFormat="1" applyFont="1" applyBorder="1" applyAlignment="1" applyProtection="1">
      <alignment horizontal="right" vertical="center" wrapText="1"/>
      <protection locked="0"/>
    </xf>
    <xf numFmtId="3" fontId="61" fillId="0" borderId="7" xfId="1" applyNumberFormat="1" applyFont="1" applyBorder="1" applyAlignment="1" applyProtection="1">
      <alignment horizontal="right" vertical="center" wrapText="1"/>
      <protection locked="0"/>
    </xf>
    <xf numFmtId="3" fontId="61" fillId="0" borderId="43" xfId="1" applyNumberFormat="1" applyFont="1" applyBorder="1" applyAlignment="1" applyProtection="1">
      <alignment horizontal="right" vertical="center" wrapText="1"/>
      <protection locked="0"/>
    </xf>
    <xf numFmtId="3" fontId="61" fillId="0" borderId="51" xfId="1" applyNumberFormat="1" applyFont="1" applyBorder="1" applyAlignment="1">
      <alignment horizontal="right" vertical="center" wrapText="1"/>
    </xf>
    <xf numFmtId="0" fontId="61" fillId="0" borderId="25" xfId="0" applyFont="1" applyBorder="1" applyAlignment="1">
      <alignment horizontal="left" vertical="center" wrapText="1"/>
    </xf>
    <xf numFmtId="3" fontId="61" fillId="0" borderId="0" xfId="0" applyNumberFormat="1" applyFont="1" applyAlignment="1">
      <alignment vertical="center"/>
    </xf>
    <xf numFmtId="0" fontId="61" fillId="0" borderId="11" xfId="0" applyFont="1" applyBorder="1" applyAlignment="1">
      <alignment horizontal="left" vertical="center" wrapText="1"/>
    </xf>
    <xf numFmtId="3" fontId="104" fillId="0" borderId="10" xfId="1" applyNumberFormat="1" applyFont="1" applyBorder="1" applyAlignment="1" applyProtection="1">
      <alignment horizontal="right" vertical="center" wrapText="1"/>
      <protection locked="0"/>
    </xf>
    <xf numFmtId="3" fontId="104" fillId="0" borderId="2" xfId="1" applyNumberFormat="1" applyFont="1" applyBorder="1" applyAlignment="1" applyProtection="1">
      <alignment horizontal="right" vertical="center" wrapText="1"/>
      <protection locked="0"/>
    </xf>
    <xf numFmtId="3" fontId="104" fillId="0" borderId="28" xfId="1" applyNumberFormat="1" applyFont="1" applyBorder="1" applyAlignment="1" applyProtection="1">
      <alignment horizontal="right" vertical="center" wrapText="1"/>
      <protection locked="0"/>
    </xf>
    <xf numFmtId="3" fontId="104" fillId="0" borderId="11" xfId="1" applyNumberFormat="1" applyFont="1" applyBorder="1" applyAlignment="1">
      <alignment horizontal="right" vertical="center" wrapText="1"/>
    </xf>
    <xf numFmtId="3" fontId="61" fillId="0" borderId="10" xfId="1" applyNumberFormat="1" applyFont="1" applyBorder="1" applyAlignment="1" applyProtection="1">
      <alignment horizontal="right" vertical="center" wrapText="1"/>
      <protection locked="0"/>
    </xf>
    <xf numFmtId="3" fontId="61" fillId="0" borderId="2" xfId="1" applyNumberFormat="1" applyFont="1" applyBorder="1" applyAlignment="1" applyProtection="1">
      <alignment horizontal="right" vertical="center" wrapText="1"/>
      <protection locked="0"/>
    </xf>
    <xf numFmtId="3" fontId="61" fillId="0" borderId="28" xfId="1" applyNumberFormat="1" applyFont="1" applyBorder="1" applyAlignment="1" applyProtection="1">
      <alignment horizontal="right" vertical="center" wrapText="1"/>
      <protection locked="0"/>
    </xf>
    <xf numFmtId="3" fontId="61" fillId="0" borderId="11" xfId="1" applyNumberFormat="1" applyFont="1" applyBorder="1" applyAlignment="1">
      <alignment horizontal="right" vertical="center" wrapText="1"/>
    </xf>
    <xf numFmtId="164" fontId="61" fillId="0" borderId="0" xfId="0" applyNumberFormat="1" applyFont="1" applyAlignment="1">
      <alignment vertical="center"/>
    </xf>
    <xf numFmtId="164" fontId="104" fillId="0" borderId="10" xfId="1" applyNumberFormat="1" applyFont="1" applyBorder="1" applyAlignment="1" applyProtection="1">
      <alignment horizontal="right" vertical="center" wrapText="1"/>
      <protection locked="0"/>
    </xf>
    <xf numFmtId="164" fontId="104" fillId="0" borderId="2" xfId="1" applyNumberFormat="1" applyFont="1" applyBorder="1" applyAlignment="1" applyProtection="1">
      <alignment horizontal="right" vertical="center" wrapText="1"/>
      <protection locked="0"/>
    </xf>
    <xf numFmtId="164" fontId="104" fillId="0" borderId="28" xfId="1" applyNumberFormat="1" applyFont="1" applyBorder="1" applyAlignment="1" applyProtection="1">
      <alignment horizontal="right" vertical="center" wrapText="1"/>
      <protection locked="0"/>
    </xf>
    <xf numFmtId="164" fontId="104" fillId="0" borderId="11" xfId="1" applyNumberFormat="1" applyFont="1" applyBorder="1" applyAlignment="1">
      <alignment horizontal="right" vertical="center" wrapText="1"/>
    </xf>
    <xf numFmtId="0" fontId="61" fillId="0" borderId="16" xfId="0" applyFont="1" applyBorder="1" applyAlignment="1">
      <alignment horizontal="left" vertical="center" wrapText="1"/>
    </xf>
    <xf numFmtId="164" fontId="104" fillId="0" borderId="13" xfId="1" applyNumberFormat="1" applyFont="1" applyBorder="1" applyAlignment="1" applyProtection="1">
      <alignment horizontal="right" vertical="center" wrapText="1"/>
      <protection locked="0"/>
    </xf>
    <xf numFmtId="164" fontId="104" fillId="0" borderId="14" xfId="1" applyNumberFormat="1" applyFont="1" applyBorder="1" applyAlignment="1" applyProtection="1">
      <alignment horizontal="right" vertical="center" wrapText="1"/>
      <protection locked="0"/>
    </xf>
    <xf numFmtId="164" fontId="104" fillId="0" borderId="44" xfId="1" applyNumberFormat="1" applyFont="1" applyBorder="1" applyAlignment="1" applyProtection="1">
      <alignment horizontal="right" vertical="center" wrapText="1"/>
      <protection locked="0"/>
    </xf>
    <xf numFmtId="164" fontId="104" fillId="0" borderId="16" xfId="1" applyNumberFormat="1" applyFont="1" applyBorder="1" applyAlignment="1">
      <alignment horizontal="right" vertical="center" wrapText="1"/>
    </xf>
    <xf numFmtId="0" fontId="104" fillId="0" borderId="20" xfId="0" applyFont="1" applyBorder="1" applyAlignment="1">
      <alignment horizontal="left" vertical="center" wrapText="1"/>
    </xf>
    <xf numFmtId="164" fontId="104" fillId="0" borderId="17" xfId="1" applyNumberFormat="1" applyFont="1" applyBorder="1" applyAlignment="1">
      <alignment horizontal="right" vertical="center" wrapText="1"/>
    </xf>
    <xf numFmtId="164" fontId="104" fillId="0" borderId="18" xfId="1" applyNumberFormat="1" applyFont="1" applyBorder="1" applyAlignment="1">
      <alignment horizontal="right" vertical="center" wrapText="1"/>
    </xf>
    <xf numFmtId="164" fontId="104" fillId="0" borderId="41" xfId="1" applyNumberFormat="1" applyFont="1" applyBorder="1" applyAlignment="1">
      <alignment horizontal="right" vertical="center" wrapText="1"/>
    </xf>
    <xf numFmtId="164" fontId="104" fillId="0" borderId="20" xfId="1" applyNumberFormat="1" applyFont="1" applyBorder="1" applyAlignment="1">
      <alignment horizontal="right" vertical="center" wrapText="1"/>
    </xf>
    <xf numFmtId="0" fontId="104" fillId="0" borderId="26" xfId="0" applyFont="1" applyBorder="1" applyAlignment="1">
      <alignment horizontal="left" vertical="center" wrapText="1"/>
    </xf>
    <xf numFmtId="164" fontId="104" fillId="0" borderId="21" xfId="1" applyNumberFormat="1" applyFont="1" applyBorder="1" applyAlignment="1">
      <alignment horizontal="right" vertical="center" wrapText="1"/>
    </xf>
    <xf numFmtId="164" fontId="104" fillId="0" borderId="22" xfId="1" applyNumberFormat="1" applyFont="1" applyBorder="1" applyAlignment="1">
      <alignment horizontal="right" vertical="center" wrapText="1"/>
    </xf>
    <xf numFmtId="164" fontId="104" fillId="0" borderId="66" xfId="1" applyNumberFormat="1" applyFont="1" applyBorder="1" applyAlignment="1">
      <alignment horizontal="right" vertical="center" wrapText="1"/>
    </xf>
    <xf numFmtId="164" fontId="104" fillId="0" borderId="23" xfId="1" applyNumberFormat="1" applyFont="1" applyBorder="1" applyAlignment="1" applyProtection="1">
      <alignment horizontal="right" vertical="center" wrapText="1"/>
      <protection locked="0"/>
    </xf>
    <xf numFmtId="164" fontId="104" fillId="0" borderId="3" xfId="1" applyNumberFormat="1" applyFont="1" applyBorder="1" applyAlignment="1" applyProtection="1">
      <alignment horizontal="right" vertical="center" wrapText="1"/>
      <protection locked="0"/>
    </xf>
    <xf numFmtId="164" fontId="104" fillId="0" borderId="32" xfId="1" applyNumberFormat="1" applyFont="1" applyBorder="1" applyAlignment="1" applyProtection="1">
      <alignment horizontal="right" vertical="center" wrapText="1"/>
      <protection locked="0"/>
    </xf>
    <xf numFmtId="164" fontId="104" fillId="0" borderId="25" xfId="1" applyNumberFormat="1" applyFont="1" applyBorder="1" applyAlignment="1">
      <alignment horizontal="right" vertical="center" wrapText="1"/>
    </xf>
    <xf numFmtId="0" fontId="104" fillId="0" borderId="9" xfId="0" applyFont="1" applyBorder="1" applyAlignment="1">
      <alignment horizontal="left" vertical="center" wrapText="1"/>
    </xf>
    <xf numFmtId="164" fontId="104" fillId="0" borderId="37" xfId="1" applyNumberFormat="1" applyFont="1" applyBorder="1" applyAlignment="1">
      <alignment horizontal="right" vertical="center" wrapText="1"/>
    </xf>
    <xf numFmtId="164" fontId="104" fillId="0" borderId="36" xfId="1" applyNumberFormat="1" applyFont="1" applyBorder="1" applyAlignment="1">
      <alignment horizontal="right" vertical="center" wrapText="1"/>
    </xf>
    <xf numFmtId="164" fontId="104" fillId="0" borderId="34" xfId="1" applyNumberFormat="1" applyFont="1" applyBorder="1" applyAlignment="1">
      <alignment horizontal="right" vertical="center" wrapText="1"/>
    </xf>
    <xf numFmtId="164" fontId="104" fillId="0" borderId="9" xfId="1" applyNumberFormat="1" applyFont="1" applyBorder="1" applyAlignment="1">
      <alignment horizontal="right" vertical="center" wrapText="1"/>
    </xf>
    <xf numFmtId="0" fontId="104" fillId="4" borderId="20" xfId="0" applyFont="1" applyFill="1" applyBorder="1" applyAlignment="1">
      <alignment horizontal="left" vertical="center" wrapText="1"/>
    </xf>
    <xf numFmtId="164" fontId="104" fillId="4" borderId="17" xfId="1" applyNumberFormat="1" applyFont="1" applyFill="1" applyBorder="1" applyAlignment="1">
      <alignment horizontal="right" vertical="center" wrapText="1"/>
    </xf>
    <xf numFmtId="164" fontId="104" fillId="4" borderId="18" xfId="1" applyNumberFormat="1" applyFont="1" applyFill="1" applyBorder="1" applyAlignment="1">
      <alignment horizontal="right" vertical="center" wrapText="1"/>
    </xf>
    <xf numFmtId="164" fontId="104" fillId="4" borderId="41" xfId="1" applyNumberFormat="1" applyFont="1" applyFill="1" applyBorder="1" applyAlignment="1">
      <alignment horizontal="right" vertical="center" wrapText="1"/>
    </xf>
    <xf numFmtId="164" fontId="104" fillId="4" borderId="20" xfId="1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1" fillId="0" borderId="0" xfId="0" applyFont="1" applyAlignment="1">
      <alignment horizontal="right" vertical="center"/>
    </xf>
    <xf numFmtId="0" fontId="61" fillId="0" borderId="20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1" fillId="0" borderId="50" xfId="0" applyFont="1" applyBorder="1" applyAlignment="1">
      <alignment horizontal="center" vertical="center"/>
    </xf>
    <xf numFmtId="0" fontId="61" fillId="0" borderId="65" xfId="0" applyFont="1" applyBorder="1" applyAlignment="1">
      <alignment horizontal="center" vertical="center"/>
    </xf>
    <xf numFmtId="0" fontId="61" fillId="0" borderId="56" xfId="0" applyFont="1" applyBorder="1" applyAlignment="1">
      <alignment horizontal="center" vertical="center"/>
    </xf>
    <xf numFmtId="0" fontId="61" fillId="0" borderId="57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14" fillId="0" borderId="0" xfId="0" applyFont="1" applyFill="1"/>
    <xf numFmtId="0" fontId="14" fillId="0" borderId="0" xfId="8" applyFont="1" applyFill="1"/>
    <xf numFmtId="0" fontId="14" fillId="0" borderId="0" xfId="8" applyFont="1" applyFill="1" applyAlignment="1">
      <alignment horizontal="center"/>
    </xf>
    <xf numFmtId="0" fontId="13" fillId="0" borderId="0" xfId="8" applyFont="1" applyFill="1" applyAlignment="1">
      <alignment horizontal="center"/>
    </xf>
    <xf numFmtId="0" fontId="13" fillId="0" borderId="0" xfId="0" applyFont="1" applyFill="1" applyBorder="1" applyAlignment="1">
      <alignment wrapText="1"/>
    </xf>
    <xf numFmtId="0" fontId="14" fillId="0" borderId="0" xfId="8" applyFont="1" applyFill="1" applyAlignment="1">
      <alignment horizontal="right"/>
    </xf>
    <xf numFmtId="0" fontId="13" fillId="0" borderId="20" xfId="0" applyFont="1" applyFill="1" applyBorder="1" applyAlignment="1">
      <alignment horizontal="center" wrapText="1"/>
    </xf>
    <xf numFmtId="0" fontId="14" fillId="0" borderId="55" xfId="8" applyFont="1" applyFill="1" applyBorder="1" applyAlignment="1">
      <alignment horizontal="center"/>
    </xf>
    <xf numFmtId="0" fontId="14" fillId="0" borderId="53" xfId="8" applyFont="1" applyFill="1" applyBorder="1" applyAlignment="1">
      <alignment horizontal="center"/>
    </xf>
    <xf numFmtId="0" fontId="14" fillId="4" borderId="20" xfId="8" applyFont="1" applyFill="1" applyBorder="1" applyAlignment="1">
      <alignment horizontal="center"/>
    </xf>
    <xf numFmtId="0" fontId="13" fillId="4" borderId="55" xfId="8" applyFont="1" applyFill="1" applyBorder="1" applyAlignment="1">
      <alignment horizontal="center" vertical="center"/>
    </xf>
    <xf numFmtId="0" fontId="13" fillId="4" borderId="53" xfId="8" applyFont="1" applyFill="1" applyBorder="1" applyAlignment="1">
      <alignment horizontal="center" vertical="center"/>
    </xf>
    <xf numFmtId="0" fontId="14" fillId="0" borderId="3" xfId="8" applyFont="1" applyFill="1" applyBorder="1" applyAlignment="1">
      <alignment horizontal="center" vertical="center"/>
    </xf>
    <xf numFmtId="0" fontId="13" fillId="0" borderId="24" xfId="8" applyFont="1" applyFill="1" applyBorder="1" applyAlignment="1">
      <alignment horizontal="left" vertical="center"/>
    </xf>
    <xf numFmtId="0" fontId="13" fillId="0" borderId="24" xfId="8" applyFont="1" applyFill="1" applyBorder="1" applyAlignment="1">
      <alignment horizontal="center" vertical="center"/>
    </xf>
    <xf numFmtId="0" fontId="13" fillId="0" borderId="3" xfId="8" applyFont="1" applyFill="1" applyBorder="1" applyAlignment="1">
      <alignment horizontal="center" vertical="center" wrapText="1"/>
    </xf>
    <xf numFmtId="0" fontId="13" fillId="0" borderId="3" xfId="8" applyFont="1" applyFill="1" applyBorder="1" applyAlignment="1">
      <alignment vertical="center"/>
    </xf>
    <xf numFmtId="0" fontId="14" fillId="0" borderId="2" xfId="8" applyFont="1" applyFill="1" applyBorder="1" applyAlignment="1">
      <alignment horizontal="center" vertical="center"/>
    </xf>
    <xf numFmtId="0" fontId="14" fillId="0" borderId="24" xfId="8" applyFont="1" applyFill="1" applyBorder="1" applyAlignment="1">
      <alignment horizontal="center" vertical="center"/>
    </xf>
    <xf numFmtId="3" fontId="13" fillId="0" borderId="3" xfId="8" applyNumberFormat="1" applyFont="1" applyFill="1" applyBorder="1" applyAlignment="1">
      <alignment vertical="center"/>
    </xf>
    <xf numFmtId="0" fontId="14" fillId="0" borderId="12" xfId="8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vertical="center"/>
    </xf>
    <xf numFmtId="3" fontId="68" fillId="0" borderId="2" xfId="8" applyNumberFormat="1" applyFont="1" applyFill="1" applyBorder="1" applyAlignment="1">
      <alignment vertical="center"/>
    </xf>
    <xf numFmtId="3" fontId="69" fillId="0" borderId="2" xfId="8" applyNumberFormat="1" applyFont="1" applyFill="1" applyBorder="1" applyAlignment="1">
      <alignment vertical="center"/>
    </xf>
    <xf numFmtId="0" fontId="89" fillId="0" borderId="2" xfId="8" applyFont="1" applyFill="1" applyBorder="1" applyAlignment="1">
      <alignment horizontal="right" vertical="center"/>
    </xf>
    <xf numFmtId="0" fontId="14" fillId="0" borderId="12" xfId="8" applyFont="1" applyFill="1" applyBorder="1" applyAlignment="1">
      <alignment vertical="center"/>
    </xf>
    <xf numFmtId="0" fontId="13" fillId="0" borderId="2" xfId="8" applyFont="1" applyFill="1" applyBorder="1" applyAlignment="1">
      <alignment horizontal="left" vertical="center"/>
    </xf>
    <xf numFmtId="0" fontId="14" fillId="0" borderId="2" xfId="8" applyFont="1" applyFill="1" applyBorder="1" applyAlignment="1">
      <alignment horizontal="left" vertical="center"/>
    </xf>
    <xf numFmtId="0" fontId="14" fillId="0" borderId="0" xfId="8" applyFont="1" applyFill="1" applyAlignment="1">
      <alignment vertical="center"/>
    </xf>
    <xf numFmtId="3" fontId="68" fillId="0" borderId="3" xfId="8" applyNumberFormat="1" applyFont="1" applyFill="1" applyBorder="1" applyAlignment="1">
      <alignment vertical="center"/>
    </xf>
    <xf numFmtId="3" fontId="69" fillId="0" borderId="3" xfId="8" applyNumberFormat="1" applyFont="1" applyFill="1" applyBorder="1" applyAlignment="1">
      <alignment vertical="center"/>
    </xf>
    <xf numFmtId="0" fontId="14" fillId="0" borderId="12" xfId="8" applyFont="1" applyFill="1" applyBorder="1" applyAlignment="1">
      <alignment horizontal="left" vertical="center"/>
    </xf>
    <xf numFmtId="0" fontId="13" fillId="4" borderId="2" xfId="8" applyFont="1" applyFill="1" applyBorder="1" applyAlignment="1">
      <alignment vertical="center"/>
    </xf>
    <xf numFmtId="0" fontId="14" fillId="4" borderId="2" xfId="8" applyFont="1" applyFill="1" applyBorder="1" applyAlignment="1">
      <alignment vertical="center"/>
    </xf>
    <xf numFmtId="3" fontId="68" fillId="4" borderId="2" xfId="8" applyNumberFormat="1" applyFont="1" applyFill="1" applyBorder="1" applyAlignment="1">
      <alignment vertical="center"/>
    </xf>
    <xf numFmtId="0" fontId="13" fillId="0" borderId="2" xfId="8" applyFont="1" applyFill="1" applyBorder="1" applyAlignment="1">
      <alignment horizontal="center" vertical="center"/>
    </xf>
    <xf numFmtId="0" fontId="13" fillId="0" borderId="2" xfId="8" applyFont="1" applyFill="1" applyBorder="1" applyAlignment="1">
      <alignment horizontal="center" vertical="center" wrapText="1"/>
    </xf>
    <xf numFmtId="0" fontId="13" fillId="0" borderId="2" xfId="8" applyFont="1" applyFill="1" applyBorder="1" applyAlignment="1">
      <alignment vertical="center"/>
    </xf>
    <xf numFmtId="0" fontId="13" fillId="0" borderId="12" xfId="8" applyFont="1" applyFill="1" applyBorder="1" applyAlignment="1">
      <alignment vertical="center"/>
    </xf>
    <xf numFmtId="0" fontId="13" fillId="0" borderId="27" xfId="8" applyFont="1" applyFill="1" applyBorder="1" applyAlignment="1">
      <alignment vertical="center"/>
    </xf>
    <xf numFmtId="0" fontId="13" fillId="0" borderId="1" xfId="8" applyFont="1" applyFill="1" applyBorder="1" applyAlignment="1">
      <alignment vertical="center"/>
    </xf>
    <xf numFmtId="0" fontId="13" fillId="0" borderId="12" xfId="8" applyFont="1" applyFill="1" applyBorder="1" applyAlignment="1">
      <alignment horizontal="left" vertical="center"/>
    </xf>
    <xf numFmtId="0" fontId="14" fillId="0" borderId="27" xfId="8" applyFont="1" applyFill="1" applyBorder="1" applyAlignment="1">
      <alignment horizontal="left" vertical="center"/>
    </xf>
    <xf numFmtId="0" fontId="13" fillId="0" borderId="27" xfId="8" applyFont="1" applyFill="1" applyBorder="1" applyAlignment="1">
      <alignment horizontal="left" vertical="center"/>
    </xf>
    <xf numFmtId="0" fontId="14" fillId="0" borderId="0" xfId="3" applyFont="1" applyAlignment="1"/>
    <xf numFmtId="0" fontId="13" fillId="0" borderId="36" xfId="3" applyFont="1" applyBorder="1"/>
    <xf numFmtId="0" fontId="13" fillId="0" borderId="38" xfId="3" applyFont="1" applyBorder="1"/>
    <xf numFmtId="0" fontId="13" fillId="0" borderId="34" xfId="3" applyFont="1" applyBorder="1" applyAlignment="1">
      <alignment horizontal="center"/>
    </xf>
    <xf numFmtId="0" fontId="13" fillId="0" borderId="7" xfId="3" applyFont="1" applyBorder="1"/>
    <xf numFmtId="0" fontId="13" fillId="0" borderId="8" xfId="3" applyFont="1" applyBorder="1"/>
    <xf numFmtId="3" fontId="13" fillId="0" borderId="43" xfId="3" applyNumberFormat="1" applyFont="1" applyBorder="1"/>
    <xf numFmtId="0" fontId="14" fillId="0" borderId="2" xfId="3" applyFont="1" applyBorder="1"/>
    <xf numFmtId="0" fontId="14" fillId="0" borderId="12" xfId="3" applyFont="1" applyBorder="1"/>
    <xf numFmtId="3" fontId="14" fillId="0" borderId="28" xfId="3" applyNumberFormat="1" applyFont="1" applyBorder="1"/>
    <xf numFmtId="0" fontId="13" fillId="0" borderId="2" xfId="3" applyFont="1" applyBorder="1"/>
    <xf numFmtId="0" fontId="13" fillId="0" borderId="12" xfId="3" applyFont="1" applyBorder="1"/>
    <xf numFmtId="3" fontId="13" fillId="0" borderId="28" xfId="3" applyNumberFormat="1" applyFont="1" applyBorder="1"/>
    <xf numFmtId="0" fontId="13" fillId="0" borderId="0" xfId="3" applyFont="1" applyFill="1" applyBorder="1"/>
    <xf numFmtId="0" fontId="13" fillId="0" borderId="31" xfId="3" applyFont="1" applyBorder="1"/>
    <xf numFmtId="0" fontId="13" fillId="0" borderId="33" xfId="3" applyFont="1" applyBorder="1"/>
    <xf numFmtId="3" fontId="13" fillId="0" borderId="30" xfId="3" applyNumberFormat="1" applyFont="1" applyBorder="1"/>
    <xf numFmtId="0" fontId="13" fillId="0" borderId="0" xfId="3" applyFont="1" applyBorder="1" applyAlignment="1"/>
    <xf numFmtId="0" fontId="13" fillId="0" borderId="0" xfId="3" applyFont="1" applyAlignment="1">
      <alignment horizontal="center"/>
    </xf>
    <xf numFmtId="0" fontId="14" fillId="0" borderId="0" xfId="3" applyFont="1" applyBorder="1" applyAlignment="1">
      <alignment horizontal="right"/>
    </xf>
    <xf numFmtId="0" fontId="14" fillId="0" borderId="0" xfId="3" applyFont="1" applyBorder="1" applyAlignment="1"/>
    <xf numFmtId="0" fontId="14" fillId="0" borderId="47" xfId="3" applyFont="1" applyBorder="1"/>
    <xf numFmtId="0" fontId="13" fillId="0" borderId="18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41" xfId="3" applyFont="1" applyBorder="1" applyAlignment="1">
      <alignment horizontal="center"/>
    </xf>
    <xf numFmtId="0" fontId="14" fillId="0" borderId="37" xfId="3" applyFont="1" applyBorder="1"/>
    <xf numFmtId="0" fontId="14" fillId="0" borderId="6" xfId="3" applyFont="1" applyBorder="1"/>
    <xf numFmtId="0" fontId="14" fillId="0" borderId="10" xfId="3" applyFont="1" applyBorder="1"/>
    <xf numFmtId="0" fontId="14" fillId="0" borderId="29" xfId="3" applyFont="1" applyBorder="1"/>
    <xf numFmtId="0" fontId="14" fillId="0" borderId="0" xfId="5" applyFont="1"/>
    <xf numFmtId="0" fontId="13" fillId="0" borderId="0" xfId="5" applyFont="1" applyAlignment="1">
      <alignment horizontal="center" wrapText="1"/>
    </xf>
    <xf numFmtId="0" fontId="14" fillId="0" borderId="2" xfId="5" applyFont="1" applyBorder="1"/>
    <xf numFmtId="0" fontId="14" fillId="5" borderId="2" xfId="5" applyFont="1" applyFill="1" applyBorder="1" applyAlignment="1">
      <alignment horizontal="center"/>
    </xf>
    <xf numFmtId="0" fontId="14" fillId="0" borderId="2" xfId="5" applyFont="1" applyBorder="1" applyAlignment="1">
      <alignment horizontal="center" vertical="center"/>
    </xf>
    <xf numFmtId="0" fontId="13" fillId="5" borderId="2" xfId="5" applyFont="1" applyFill="1" applyBorder="1" applyAlignment="1">
      <alignment horizontal="left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/>
    </xf>
    <xf numFmtId="0" fontId="68" fillId="5" borderId="2" xfId="5" applyFont="1" applyFill="1" applyBorder="1" applyAlignment="1">
      <alignment horizontal="center" vertical="center" wrapText="1"/>
    </xf>
    <xf numFmtId="0" fontId="68" fillId="0" borderId="2" xfId="5" applyFont="1" applyFill="1" applyBorder="1" applyAlignment="1">
      <alignment horizontal="center" vertical="center" wrapText="1"/>
    </xf>
    <xf numFmtId="0" fontId="77" fillId="0" borderId="2" xfId="5" applyFont="1" applyBorder="1"/>
    <xf numFmtId="3" fontId="105" fillId="9" borderId="2" xfId="2" applyNumberFormat="1" applyFont="1" applyFill="1" applyBorder="1" applyAlignment="1">
      <alignment vertical="center"/>
    </xf>
    <xf numFmtId="0" fontId="106" fillId="0" borderId="2" xfId="5" applyFont="1" applyBorder="1"/>
    <xf numFmtId="3" fontId="69" fillId="9" borderId="2" xfId="2" applyNumberFormat="1" applyFont="1" applyFill="1" applyBorder="1" applyAlignment="1">
      <alignment vertical="center"/>
    </xf>
    <xf numFmtId="3" fontId="13" fillId="5" borderId="2" xfId="5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right"/>
    </xf>
    <xf numFmtId="0" fontId="13" fillId="0" borderId="0" xfId="3" applyNumberFormat="1" applyFont="1" applyBorder="1"/>
    <xf numFmtId="0" fontId="13" fillId="0" borderId="3" xfId="3" applyFont="1" applyBorder="1"/>
    <xf numFmtId="0" fontId="13" fillId="0" borderId="3" xfId="3" applyNumberFormat="1" applyFont="1" applyBorder="1"/>
    <xf numFmtId="49" fontId="14" fillId="0" borderId="2" xfId="3" applyNumberFormat="1" applyFont="1" applyBorder="1"/>
    <xf numFmtId="0" fontId="14" fillId="0" borderId="0" xfId="0" applyNumberFormat="1" applyFont="1"/>
    <xf numFmtId="0" fontId="13" fillId="0" borderId="0" xfId="3" applyNumberFormat="1" applyFont="1" applyAlignment="1">
      <alignment horizontal="center"/>
    </xf>
    <xf numFmtId="0" fontId="13" fillId="4" borderId="20" xfId="3" applyFont="1" applyFill="1" applyBorder="1"/>
    <xf numFmtId="0" fontId="13" fillId="4" borderId="20" xfId="3" applyNumberFormat="1" applyFont="1" applyFill="1" applyBorder="1" applyAlignment="1">
      <alignment horizontal="center"/>
    </xf>
    <xf numFmtId="0" fontId="13" fillId="4" borderId="20" xfId="3" applyFont="1" applyFill="1" applyBorder="1" applyAlignment="1">
      <alignment horizontal="center"/>
    </xf>
    <xf numFmtId="0" fontId="13" fillId="0" borderId="0" xfId="0" applyFont="1"/>
    <xf numFmtId="0" fontId="78" fillId="0" borderId="56" xfId="0" applyFont="1" applyBorder="1" applyAlignment="1">
      <alignment horizontal="center" vertical="center"/>
    </xf>
    <xf numFmtId="0" fontId="107" fillId="0" borderId="1" xfId="0" applyFont="1" applyFill="1" applyBorder="1"/>
    <xf numFmtId="0" fontId="108" fillId="0" borderId="2" xfId="0" applyFont="1" applyFill="1" applyBorder="1"/>
    <xf numFmtId="0" fontId="83" fillId="0" borderId="12" xfId="0" applyFont="1" applyFill="1" applyBorder="1"/>
    <xf numFmtId="3" fontId="89" fillId="0" borderId="25" xfId="0" applyNumberFormat="1" applyFont="1" applyFill="1" applyBorder="1" applyAlignment="1">
      <alignment horizontal="right"/>
    </xf>
    <xf numFmtId="3" fontId="89" fillId="0" borderId="46" xfId="0" applyNumberFormat="1" applyFont="1" applyFill="1" applyBorder="1" applyAlignment="1">
      <alignment horizontal="right"/>
    </xf>
    <xf numFmtId="3" fontId="89" fillId="0" borderId="11" xfId="0" applyNumberFormat="1" applyFont="1" applyFill="1" applyBorder="1" applyAlignment="1">
      <alignment horizontal="right"/>
    </xf>
    <xf numFmtId="0" fontId="78" fillId="0" borderId="0" xfId="0" applyFont="1" applyBorder="1"/>
    <xf numFmtId="3" fontId="83" fillId="0" borderId="11" xfId="0" applyNumberFormat="1" applyFont="1" applyFill="1" applyBorder="1" applyAlignment="1">
      <alignment horizontal="right"/>
    </xf>
    <xf numFmtId="3" fontId="83" fillId="0" borderId="45" xfId="0" applyNumberFormat="1" applyFont="1" applyFill="1" applyBorder="1" applyAlignment="1">
      <alignment horizontal="right"/>
    </xf>
    <xf numFmtId="0" fontId="82" fillId="0" borderId="10" xfId="0" applyFont="1" applyFill="1" applyBorder="1"/>
    <xf numFmtId="0" fontId="82" fillId="0" borderId="1" xfId="0" applyFont="1" applyFill="1" applyBorder="1"/>
    <xf numFmtId="0" fontId="109" fillId="0" borderId="2" xfId="0" applyFont="1" applyFill="1" applyBorder="1"/>
    <xf numFmtId="0" fontId="109" fillId="0" borderId="12" xfId="0" applyFont="1" applyFill="1" applyBorder="1"/>
    <xf numFmtId="3" fontId="109" fillId="0" borderId="11" xfId="0" applyNumberFormat="1" applyFont="1" applyFill="1" applyBorder="1" applyAlignment="1">
      <alignment horizontal="right"/>
    </xf>
    <xf numFmtId="3" fontId="109" fillId="0" borderId="45" xfId="0" applyNumberFormat="1" applyFont="1" applyFill="1" applyBorder="1" applyAlignment="1">
      <alignment horizontal="right"/>
    </xf>
    <xf numFmtId="0" fontId="110" fillId="0" borderId="10" xfId="0" applyFont="1" applyFill="1" applyBorder="1"/>
    <xf numFmtId="0" fontId="110" fillId="0" borderId="1" xfId="0" applyFont="1" applyFill="1" applyBorder="1"/>
    <xf numFmtId="0" fontId="83" fillId="0" borderId="2" xfId="0" applyFont="1" applyFill="1" applyBorder="1"/>
    <xf numFmtId="3" fontId="83" fillId="0" borderId="16" xfId="0" applyNumberFormat="1" applyFont="1" applyFill="1" applyBorder="1" applyAlignment="1">
      <alignment horizontal="right"/>
    </xf>
    <xf numFmtId="3" fontId="83" fillId="0" borderId="67" xfId="0" applyNumberFormat="1" applyFont="1" applyFill="1" applyBorder="1" applyAlignment="1">
      <alignment horizontal="right"/>
    </xf>
    <xf numFmtId="0" fontId="91" fillId="0" borderId="10" xfId="0" applyFont="1" applyFill="1" applyBorder="1"/>
    <xf numFmtId="0" fontId="91" fillId="0" borderId="1" xfId="0" applyFont="1" applyFill="1" applyBorder="1"/>
    <xf numFmtId="0" fontId="111" fillId="0" borderId="2" xfId="0" applyFont="1" applyFill="1" applyBorder="1"/>
    <xf numFmtId="0" fontId="112" fillId="0" borderId="12" xfId="0" applyFont="1" applyFill="1" applyBorder="1"/>
    <xf numFmtId="3" fontId="112" fillId="0" borderId="11" xfId="0" applyNumberFormat="1" applyFont="1" applyFill="1" applyBorder="1" applyAlignment="1">
      <alignment horizontal="right"/>
    </xf>
    <xf numFmtId="0" fontId="112" fillId="0" borderId="27" xfId="0" applyFont="1" applyFill="1" applyBorder="1"/>
    <xf numFmtId="3" fontId="83" fillId="0" borderId="25" xfId="0" applyNumberFormat="1" applyFont="1" applyFill="1" applyBorder="1" applyAlignment="1">
      <alignment horizontal="right"/>
    </xf>
    <xf numFmtId="3" fontId="112" fillId="0" borderId="25" xfId="0" applyNumberFormat="1" applyFont="1" applyFill="1" applyBorder="1" applyAlignment="1">
      <alignment horizontal="right"/>
    </xf>
    <xf numFmtId="3" fontId="112" fillId="0" borderId="46" xfId="0" applyNumberFormat="1" applyFont="1" applyFill="1" applyBorder="1" applyAlignment="1">
      <alignment horizontal="right"/>
    </xf>
    <xf numFmtId="3" fontId="66" fillId="0" borderId="45" xfId="0" applyNumberFormat="1" applyFont="1" applyFill="1" applyBorder="1" applyAlignment="1">
      <alignment horizontal="right"/>
    </xf>
    <xf numFmtId="0" fontId="109" fillId="0" borderId="12" xfId="0" applyFont="1" applyFill="1" applyBorder="1" applyAlignment="1">
      <alignment horizontal="left"/>
    </xf>
    <xf numFmtId="0" fontId="83" fillId="0" borderId="12" xfId="0" applyFont="1" applyFill="1" applyBorder="1" applyAlignment="1">
      <alignment horizontal="left"/>
    </xf>
    <xf numFmtId="0" fontId="83" fillId="0" borderId="12" xfId="0" applyFont="1" applyFill="1" applyBorder="1" applyAlignment="1">
      <alignment horizontal="left" wrapText="1"/>
    </xf>
    <xf numFmtId="3" fontId="66" fillId="0" borderId="11" xfId="0" applyNumberFormat="1" applyFont="1" applyFill="1" applyBorder="1" applyAlignment="1">
      <alignment horizontal="right"/>
    </xf>
    <xf numFmtId="0" fontId="113" fillId="0" borderId="1" xfId="0" applyFont="1" applyFill="1" applyBorder="1"/>
    <xf numFmtId="0" fontId="108" fillId="0" borderId="12" xfId="0" applyFont="1" applyFill="1" applyBorder="1"/>
    <xf numFmtId="3" fontId="108" fillId="0" borderId="11" xfId="0" applyNumberFormat="1" applyFont="1" applyFill="1" applyBorder="1" applyAlignment="1">
      <alignment horizontal="right"/>
    </xf>
    <xf numFmtId="3" fontId="108" fillId="0" borderId="45" xfId="0" applyNumberFormat="1" applyFont="1" applyFill="1" applyBorder="1" applyAlignment="1">
      <alignment horizontal="right"/>
    </xf>
    <xf numFmtId="0" fontId="114" fillId="0" borderId="2" xfId="0" applyFont="1" applyFill="1" applyBorder="1"/>
    <xf numFmtId="3" fontId="114" fillId="0" borderId="11" xfId="0" applyNumberFormat="1" applyFont="1" applyFill="1" applyBorder="1"/>
    <xf numFmtId="0" fontId="81" fillId="0" borderId="10" xfId="0" applyFont="1" applyFill="1" applyBorder="1"/>
    <xf numFmtId="0" fontId="108" fillId="7" borderId="2" xfId="0" applyFont="1" applyFill="1" applyBorder="1"/>
    <xf numFmtId="0" fontId="108" fillId="7" borderId="12" xfId="0" applyFont="1" applyFill="1" applyBorder="1"/>
    <xf numFmtId="3" fontId="108" fillId="0" borderId="11" xfId="0" applyNumberFormat="1" applyFont="1" applyFill="1" applyBorder="1"/>
    <xf numFmtId="3" fontId="108" fillId="0" borderId="45" xfId="0" applyNumberFormat="1" applyFont="1" applyFill="1" applyBorder="1"/>
    <xf numFmtId="3" fontId="19" fillId="0" borderId="11" xfId="0" applyNumberFormat="1" applyFont="1" applyFill="1" applyBorder="1"/>
    <xf numFmtId="3" fontId="108" fillId="7" borderId="11" xfId="0" applyNumberFormat="1" applyFont="1" applyFill="1" applyBorder="1"/>
    <xf numFmtId="3" fontId="108" fillId="7" borderId="45" xfId="0" applyNumberFormat="1" applyFont="1" applyFill="1" applyBorder="1"/>
    <xf numFmtId="0" fontId="115" fillId="0" borderId="10" xfId="0" applyFont="1" applyFill="1" applyBorder="1" applyAlignment="1"/>
    <xf numFmtId="0" fontId="115" fillId="0" borderId="2" xfId="0" applyFont="1" applyFill="1" applyBorder="1" applyAlignment="1"/>
    <xf numFmtId="0" fontId="115" fillId="0" borderId="12" xfId="0" applyFont="1" applyFill="1" applyBorder="1" applyAlignment="1"/>
    <xf numFmtId="3" fontId="115" fillId="0" borderId="11" xfId="0" applyNumberFormat="1" applyFont="1" applyFill="1" applyBorder="1" applyAlignment="1"/>
    <xf numFmtId="3" fontId="115" fillId="0" borderId="45" xfId="0" applyNumberFormat="1" applyFont="1" applyFill="1" applyBorder="1" applyAlignment="1"/>
    <xf numFmtId="3" fontId="109" fillId="7" borderId="11" xfId="0" applyNumberFormat="1" applyFont="1" applyFill="1" applyBorder="1"/>
    <xf numFmtId="3" fontId="109" fillId="0" borderId="11" xfId="0" applyNumberFormat="1" applyFont="1" applyFill="1" applyBorder="1"/>
    <xf numFmtId="0" fontId="116" fillId="0" borderId="1" xfId="0" applyFont="1" applyFill="1" applyBorder="1"/>
    <xf numFmtId="0" fontId="117" fillId="0" borderId="2" xfId="0" applyFont="1" applyFill="1" applyBorder="1"/>
    <xf numFmtId="3" fontId="114" fillId="0" borderId="45" xfId="0" applyNumberFormat="1" applyFont="1" applyFill="1" applyBorder="1"/>
    <xf numFmtId="0" fontId="115" fillId="0" borderId="10" xfId="0" applyFont="1" applyFill="1" applyBorder="1"/>
    <xf numFmtId="0" fontId="118" fillId="0" borderId="2" xfId="0" applyFont="1" applyFill="1" applyBorder="1"/>
    <xf numFmtId="0" fontId="119" fillId="0" borderId="2" xfId="0" applyFont="1" applyFill="1" applyBorder="1"/>
    <xf numFmtId="0" fontId="119" fillId="0" borderId="12" xfId="0" applyFont="1" applyFill="1" applyBorder="1"/>
    <xf numFmtId="0" fontId="119" fillId="0" borderId="27" xfId="0" applyFont="1" applyFill="1" applyBorder="1"/>
    <xf numFmtId="3" fontId="119" fillId="0" borderId="11" xfId="0" applyNumberFormat="1" applyFont="1" applyFill="1" applyBorder="1"/>
    <xf numFmtId="3" fontId="119" fillId="0" borderId="45" xfId="0" applyNumberFormat="1" applyFont="1" applyFill="1" applyBorder="1"/>
    <xf numFmtId="3" fontId="109" fillId="0" borderId="16" xfId="0" applyNumberFormat="1" applyFont="1" applyFill="1" applyBorder="1"/>
    <xf numFmtId="3" fontId="109" fillId="0" borderId="25" xfId="0" applyNumberFormat="1" applyFont="1" applyFill="1" applyBorder="1"/>
    <xf numFmtId="3" fontId="109" fillId="0" borderId="45" xfId="0" applyNumberFormat="1" applyFont="1" applyFill="1" applyBorder="1"/>
    <xf numFmtId="0" fontId="108" fillId="0" borderId="2" xfId="0" applyFont="1" applyBorder="1"/>
    <xf numFmtId="0" fontId="108" fillId="0" borderId="12" xfId="0" applyFont="1" applyBorder="1"/>
    <xf numFmtId="0" fontId="108" fillId="0" borderId="27" xfId="0" applyFont="1" applyFill="1" applyBorder="1"/>
    <xf numFmtId="0" fontId="78" fillId="0" borderId="57" xfId="0" applyFont="1" applyBorder="1" applyAlignment="1">
      <alignment horizontal="center" vertical="center"/>
    </xf>
    <xf numFmtId="0" fontId="78" fillId="0" borderId="29" xfId="0" applyFont="1" applyFill="1" applyBorder="1"/>
    <xf numFmtId="0" fontId="78" fillId="0" borderId="31" xfId="0" applyFont="1" applyFill="1" applyBorder="1"/>
    <xf numFmtId="0" fontId="108" fillId="7" borderId="31" xfId="0" applyFont="1" applyFill="1" applyBorder="1"/>
    <xf numFmtId="0" fontId="108" fillId="7" borderId="33" xfId="0" applyFont="1" applyFill="1" applyBorder="1"/>
    <xf numFmtId="3" fontId="108" fillId="0" borderId="49" xfId="0" applyNumberFormat="1" applyFont="1" applyFill="1" applyBorder="1"/>
    <xf numFmtId="3" fontId="108" fillId="0" borderId="62" xfId="0" applyNumberFormat="1" applyFont="1" applyFill="1" applyBorder="1"/>
    <xf numFmtId="0" fontId="78" fillId="0" borderId="51" xfId="0" applyFont="1" applyBorder="1" applyAlignment="1">
      <alignment horizontal="center" vertical="center"/>
    </xf>
    <xf numFmtId="0" fontId="120" fillId="0" borderId="58" xfId="0" applyFont="1" applyFill="1" applyBorder="1"/>
    <xf numFmtId="0" fontId="121" fillId="0" borderId="58" xfId="0" applyFont="1" applyFill="1" applyBorder="1"/>
    <xf numFmtId="0" fontId="122" fillId="0" borderId="7" xfId="0" applyFont="1" applyFill="1" applyBorder="1"/>
    <xf numFmtId="0" fontId="122" fillId="0" borderId="8" xfId="0" applyFont="1" applyFill="1" applyBorder="1"/>
    <xf numFmtId="3" fontId="108" fillId="0" borderId="51" xfId="0" applyNumberFormat="1" applyFont="1" applyFill="1" applyBorder="1"/>
    <xf numFmtId="0" fontId="78" fillId="0" borderId="11" xfId="0" applyFont="1" applyBorder="1" applyAlignment="1">
      <alignment horizontal="center" vertical="center"/>
    </xf>
    <xf numFmtId="3" fontId="123" fillId="0" borderId="11" xfId="0" applyNumberFormat="1" applyFont="1" applyFill="1" applyBorder="1"/>
    <xf numFmtId="0" fontId="84" fillId="0" borderId="1" xfId="0" applyFont="1" applyFill="1" applyBorder="1"/>
    <xf numFmtId="3" fontId="109" fillId="0" borderId="11" xfId="0" applyNumberFormat="1" applyFont="1" applyFill="1" applyBorder="1" applyAlignment="1"/>
    <xf numFmtId="3" fontId="109" fillId="0" borderId="11" xfId="0" applyNumberFormat="1" applyFont="1" applyBorder="1" applyAlignment="1"/>
    <xf numFmtId="3" fontId="109" fillId="0" borderId="11" xfId="0" applyNumberFormat="1" applyFont="1" applyBorder="1"/>
    <xf numFmtId="0" fontId="114" fillId="0" borderId="2" xfId="0" applyFont="1" applyBorder="1"/>
    <xf numFmtId="0" fontId="114" fillId="0" borderId="12" xfId="0" applyFont="1" applyBorder="1"/>
    <xf numFmtId="3" fontId="114" fillId="0" borderId="11" xfId="0" applyNumberFormat="1" applyFont="1" applyBorder="1"/>
    <xf numFmtId="0" fontId="120" fillId="0" borderId="1" xfId="0" applyFont="1" applyFill="1" applyBorder="1"/>
    <xf numFmtId="0" fontId="121" fillId="0" borderId="1" xfId="0" applyFont="1" applyFill="1" applyBorder="1"/>
    <xf numFmtId="0" fontId="122" fillId="0" borderId="2" xfId="0" applyFont="1" applyFill="1" applyBorder="1"/>
    <xf numFmtId="0" fontId="122" fillId="0" borderId="2" xfId="0" applyFont="1" applyBorder="1"/>
    <xf numFmtId="3" fontId="108" fillId="0" borderId="11" xfId="0" applyNumberFormat="1" applyFont="1" applyBorder="1"/>
    <xf numFmtId="0" fontId="19" fillId="0" borderId="2" xfId="0" applyFont="1" applyFill="1" applyBorder="1"/>
    <xf numFmtId="0" fontId="19" fillId="0" borderId="2" xfId="0" applyFont="1" applyBorder="1"/>
    <xf numFmtId="0" fontId="19" fillId="0" borderId="12" xfId="0" applyFont="1" applyBorder="1"/>
    <xf numFmtId="3" fontId="19" fillId="0" borderId="11" xfId="0" applyNumberFormat="1" applyFont="1" applyBorder="1"/>
    <xf numFmtId="0" fontId="19" fillId="0" borderId="12" xfId="0" applyFont="1" applyFill="1" applyBorder="1"/>
    <xf numFmtId="0" fontId="19" fillId="0" borderId="2" xfId="0" applyFont="1" applyFill="1" applyBorder="1" applyAlignment="1"/>
    <xf numFmtId="0" fontId="114" fillId="0" borderId="12" xfId="0" applyFont="1" applyFill="1" applyBorder="1"/>
    <xf numFmtId="0" fontId="78" fillId="0" borderId="49" xfId="0" applyFont="1" applyBorder="1" applyAlignment="1">
      <alignment horizontal="center" vertical="center"/>
    </xf>
    <xf numFmtId="0" fontId="78" fillId="0" borderId="35" xfId="0" applyFont="1" applyFill="1" applyBorder="1"/>
    <xf numFmtId="0" fontId="113" fillId="0" borderId="31" xfId="0" applyFont="1" applyFill="1" applyBorder="1"/>
    <xf numFmtId="0" fontId="124" fillId="0" borderId="31" xfId="0" applyFont="1" applyFill="1" applyBorder="1"/>
    <xf numFmtId="0" fontId="114" fillId="0" borderId="31" xfId="0" applyFont="1" applyFill="1" applyBorder="1"/>
    <xf numFmtId="0" fontId="124" fillId="0" borderId="33" xfId="0" applyFont="1" applyFill="1" applyBorder="1"/>
    <xf numFmtId="3" fontId="114" fillId="0" borderId="49" xfId="0" applyNumberFormat="1" applyFont="1" applyFill="1" applyBorder="1"/>
    <xf numFmtId="0" fontId="78" fillId="0" borderId="0" xfId="0" applyFont="1" applyBorder="1" applyAlignment="1">
      <alignment horizontal="center" vertical="center"/>
    </xf>
    <xf numFmtId="0" fontId="82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3" fontId="109" fillId="0" borderId="0" xfId="0" applyNumberFormat="1" applyFont="1" applyFill="1" applyBorder="1"/>
    <xf numFmtId="0" fontId="14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 vertical="top"/>
    </xf>
    <xf numFmtId="0" fontId="117" fillId="0" borderId="12" xfId="0" applyFont="1" applyFill="1" applyBorder="1" applyAlignment="1">
      <alignment horizontal="left"/>
    </xf>
    <xf numFmtId="0" fontId="117" fillId="0" borderId="27" xfId="0" applyFont="1" applyFill="1" applyBorder="1" applyAlignment="1">
      <alignment horizontal="left"/>
    </xf>
    <xf numFmtId="0" fontId="68" fillId="0" borderId="47" xfId="0" applyFont="1" applyBorder="1" applyAlignment="1">
      <alignment horizontal="center" vertical="center"/>
    </xf>
    <xf numFmtId="164" fontId="68" fillId="0" borderId="54" xfId="2" applyNumberFormat="1" applyFont="1" applyFill="1" applyBorder="1" applyAlignment="1">
      <alignment horizontal="center" vertical="center" wrapText="1"/>
    </xf>
    <xf numFmtId="164" fontId="70" fillId="4" borderId="50" xfId="2" applyNumberFormat="1" applyFont="1" applyFill="1" applyBorder="1" applyAlignment="1">
      <alignment horizontal="left" vertical="center" wrapText="1"/>
    </xf>
    <xf numFmtId="164" fontId="69" fillId="0" borderId="65" xfId="2" applyNumberFormat="1" applyFont="1" applyFill="1" applyBorder="1" applyAlignment="1">
      <alignment horizontal="left" vertical="center" wrapText="1"/>
    </xf>
    <xf numFmtId="164" fontId="69" fillId="0" borderId="56" xfId="2" applyNumberFormat="1" applyFont="1" applyFill="1" applyBorder="1" applyAlignment="1">
      <alignment horizontal="left" vertical="center" wrapText="1"/>
    </xf>
    <xf numFmtId="164" fontId="70" fillId="0" borderId="56" xfId="2" applyNumberFormat="1" applyFont="1" applyFill="1" applyBorder="1" applyAlignment="1">
      <alignment horizontal="left" vertical="center" wrapText="1"/>
    </xf>
    <xf numFmtId="164" fontId="70" fillId="4" borderId="56" xfId="2" applyNumberFormat="1" applyFont="1" applyFill="1" applyBorder="1" applyAlignment="1">
      <alignment horizontal="left" vertical="center" wrapText="1"/>
    </xf>
    <xf numFmtId="164" fontId="70" fillId="5" borderId="56" xfId="2" applyNumberFormat="1" applyFont="1" applyFill="1" applyBorder="1" applyAlignment="1">
      <alignment horizontal="left" vertical="center" wrapText="1"/>
    </xf>
    <xf numFmtId="164" fontId="71" fillId="6" borderId="56" xfId="2" applyNumberFormat="1" applyFont="1" applyFill="1" applyBorder="1" applyAlignment="1">
      <alignment horizontal="left" vertical="center" wrapText="1"/>
    </xf>
    <xf numFmtId="164" fontId="74" fillId="0" borderId="56" xfId="2" applyNumberFormat="1" applyFont="1" applyFill="1" applyBorder="1" applyAlignment="1">
      <alignment horizontal="left" vertical="center" wrapText="1"/>
    </xf>
    <xf numFmtId="164" fontId="74" fillId="4" borderId="56" xfId="2" applyNumberFormat="1" applyFont="1" applyFill="1" applyBorder="1" applyAlignment="1">
      <alignment horizontal="left" vertical="center" wrapText="1"/>
    </xf>
    <xf numFmtId="164" fontId="74" fillId="5" borderId="56" xfId="2" applyNumberFormat="1" applyFont="1" applyFill="1" applyBorder="1" applyAlignment="1">
      <alignment horizontal="left" vertical="center" wrapText="1"/>
    </xf>
    <xf numFmtId="164" fontId="71" fillId="6" borderId="57" xfId="2" applyNumberFormat="1" applyFont="1" applyFill="1" applyBorder="1" applyAlignment="1">
      <alignment horizontal="left" vertical="center" wrapText="1"/>
    </xf>
    <xf numFmtId="164" fontId="71" fillId="8" borderId="47" xfId="2" applyNumberFormat="1" applyFont="1" applyFill="1" applyBorder="1" applyAlignment="1">
      <alignment horizontal="left" vertical="center" wrapText="1"/>
    </xf>
    <xf numFmtId="0" fontId="66" fillId="0" borderId="2" xfId="0" applyFont="1" applyBorder="1" applyAlignment="1">
      <alignment vertical="center"/>
    </xf>
    <xf numFmtId="164" fontId="66" fillId="0" borderId="2" xfId="0" applyNumberFormat="1" applyFont="1" applyBorder="1" applyAlignment="1">
      <alignment vertical="center"/>
    </xf>
    <xf numFmtId="0" fontId="66" fillId="0" borderId="27" xfId="0" applyFont="1" applyBorder="1" applyAlignment="1">
      <alignment vertical="center"/>
    </xf>
    <xf numFmtId="3" fontId="14" fillId="0" borderId="0" xfId="3" applyNumberFormat="1" applyFont="1" applyBorder="1" applyAlignment="1">
      <alignment vertical="center"/>
    </xf>
    <xf numFmtId="3" fontId="14" fillId="0" borderId="5" xfId="3" applyNumberFormat="1" applyFont="1" applyFill="1" applyBorder="1" applyAlignment="1">
      <alignment vertical="center"/>
    </xf>
    <xf numFmtId="0" fontId="72" fillId="6" borderId="40" xfId="0" applyFont="1" applyFill="1" applyBorder="1" applyAlignment="1">
      <alignment horizontal="left" vertical="center" wrapText="1"/>
    </xf>
    <xf numFmtId="0" fontId="72" fillId="6" borderId="0" xfId="0" applyFont="1" applyFill="1" applyBorder="1" applyAlignment="1">
      <alignment horizontal="left" vertical="center" wrapText="1"/>
    </xf>
    <xf numFmtId="164" fontId="71" fillId="6" borderId="63" xfId="2" applyNumberFormat="1" applyFont="1" applyFill="1" applyBorder="1" applyAlignment="1">
      <alignment horizontal="left" vertical="center" wrapText="1"/>
    </xf>
    <xf numFmtId="0" fontId="78" fillId="9" borderId="25" xfId="0" applyFont="1" applyFill="1" applyBorder="1" applyAlignment="1">
      <alignment horizontal="center" vertical="center" wrapText="1"/>
    </xf>
    <xf numFmtId="0" fontId="78" fillId="9" borderId="10" xfId="0" applyFont="1" applyFill="1" applyBorder="1"/>
    <xf numFmtId="0" fontId="78" fillId="9" borderId="1" xfId="0" applyFont="1" applyFill="1" applyBorder="1"/>
    <xf numFmtId="0" fontId="78" fillId="9" borderId="2" xfId="0" applyFont="1" applyFill="1" applyBorder="1"/>
    <xf numFmtId="0" fontId="14" fillId="9" borderId="28" xfId="0" applyFont="1" applyFill="1" applyBorder="1" applyAlignment="1">
      <alignment horizontal="left"/>
    </xf>
    <xf numFmtId="3" fontId="78" fillId="9" borderId="11" xfId="0" applyNumberFormat="1" applyFont="1" applyFill="1" applyBorder="1"/>
    <xf numFmtId="3" fontId="78" fillId="9" borderId="27" xfId="0" applyNumberFormat="1" applyFont="1" applyFill="1" applyBorder="1"/>
    <xf numFmtId="0" fontId="22" fillId="9" borderId="0" xfId="0" applyFont="1" applyFill="1"/>
    <xf numFmtId="3" fontId="14" fillId="0" borderId="47" xfId="3" applyNumberFormat="1" applyFont="1" applyBorder="1" applyAlignment="1">
      <alignment vertical="center"/>
    </xf>
    <xf numFmtId="3" fontId="14" fillId="0" borderId="56" xfId="3" applyNumberFormat="1" applyFont="1" applyBorder="1" applyAlignment="1">
      <alignment vertical="center"/>
    </xf>
    <xf numFmtId="3" fontId="14" fillId="0" borderId="72" xfId="3" applyNumberFormat="1" applyFont="1" applyBorder="1" applyAlignment="1">
      <alignment vertical="center"/>
    </xf>
    <xf numFmtId="0" fontId="13" fillId="4" borderId="9" xfId="3" applyFont="1" applyFill="1" applyBorder="1" applyAlignment="1">
      <alignment horizontal="center" vertical="center" wrapText="1"/>
    </xf>
    <xf numFmtId="3" fontId="13" fillId="4" borderId="26" xfId="3" applyNumberFormat="1" applyFont="1" applyFill="1" applyBorder="1" applyAlignment="1">
      <alignment vertical="center"/>
    </xf>
    <xf numFmtId="3" fontId="14" fillId="0" borderId="2" xfId="3" applyNumberFormat="1" applyFont="1" applyBorder="1" applyAlignment="1">
      <alignment vertical="center"/>
    </xf>
    <xf numFmtId="3" fontId="13" fillId="0" borderId="0" xfId="3" applyNumberFormat="1" applyFont="1" applyBorder="1" applyAlignment="1">
      <alignment horizontal="center" vertical="center"/>
    </xf>
    <xf numFmtId="3" fontId="14" fillId="0" borderId="0" xfId="3" applyNumberFormat="1" applyFont="1" applyBorder="1" applyAlignment="1">
      <alignment horizontal="right" vertical="center"/>
    </xf>
    <xf numFmtId="0" fontId="117" fillId="0" borderId="12" xfId="0" applyFont="1" applyFill="1" applyBorder="1"/>
    <xf numFmtId="0" fontId="13" fillId="0" borderId="54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/>
    </xf>
    <xf numFmtId="3" fontId="96" fillId="0" borderId="50" xfId="0" applyNumberFormat="1" applyFont="1" applyFill="1" applyBorder="1" applyAlignment="1">
      <alignment horizontal="left"/>
    </xf>
    <xf numFmtId="3" fontId="97" fillId="0" borderId="56" xfId="0" applyNumberFormat="1" applyFont="1" applyFill="1" applyBorder="1" applyAlignment="1">
      <alignment horizontal="right"/>
    </xf>
    <xf numFmtId="3" fontId="99" fillId="0" borderId="56" xfId="0" applyNumberFormat="1" applyFont="1" applyFill="1" applyBorder="1" applyAlignment="1">
      <alignment horizontal="right"/>
    </xf>
    <xf numFmtId="3" fontId="100" fillId="0" borderId="56" xfId="0" applyNumberFormat="1" applyFont="1" applyFill="1" applyBorder="1" applyAlignment="1">
      <alignment horizontal="right"/>
    </xf>
    <xf numFmtId="3" fontId="14" fillId="0" borderId="56" xfId="0" applyNumberFormat="1" applyFont="1" applyFill="1" applyBorder="1" applyAlignment="1">
      <alignment horizontal="right"/>
    </xf>
    <xf numFmtId="3" fontId="89" fillId="0" borderId="56" xfId="0" applyNumberFormat="1" applyFont="1" applyFill="1" applyBorder="1" applyAlignment="1">
      <alignment horizontal="right"/>
    </xf>
    <xf numFmtId="3" fontId="83" fillId="0" borderId="56" xfId="0" applyNumberFormat="1" applyFont="1" applyFill="1" applyBorder="1" applyAlignment="1">
      <alignment horizontal="right"/>
    </xf>
    <xf numFmtId="3" fontId="109" fillId="0" borderId="56" xfId="0" applyNumberFormat="1" applyFont="1" applyFill="1" applyBorder="1" applyAlignment="1">
      <alignment horizontal="right"/>
    </xf>
    <xf numFmtId="3" fontId="112" fillId="0" borderId="56" xfId="0" applyNumberFormat="1" applyFont="1" applyFill="1" applyBorder="1" applyAlignment="1">
      <alignment horizontal="right"/>
    </xf>
    <xf numFmtId="3" fontId="66" fillId="0" borderId="56" xfId="0" applyNumberFormat="1" applyFont="1" applyFill="1" applyBorder="1" applyAlignment="1">
      <alignment horizontal="right"/>
    </xf>
    <xf numFmtId="3" fontId="108" fillId="0" borderId="56" xfId="0" applyNumberFormat="1" applyFont="1" applyFill="1" applyBorder="1" applyAlignment="1">
      <alignment horizontal="right"/>
    </xf>
    <xf numFmtId="3" fontId="114" fillId="0" borderId="56" xfId="0" applyNumberFormat="1" applyFont="1" applyFill="1" applyBorder="1"/>
    <xf numFmtId="0" fontId="114" fillId="0" borderId="56" xfId="0" applyFont="1" applyFill="1" applyBorder="1"/>
    <xf numFmtId="0" fontId="108" fillId="7" borderId="56" xfId="0" applyFont="1" applyFill="1" applyBorder="1"/>
    <xf numFmtId="3" fontId="109" fillId="7" borderId="56" xfId="0" applyNumberFormat="1" applyFont="1" applyFill="1" applyBorder="1"/>
    <xf numFmtId="0" fontId="109" fillId="0" borderId="56" xfId="0" applyFont="1" applyFill="1" applyBorder="1"/>
    <xf numFmtId="0" fontId="108" fillId="0" borderId="56" xfId="0" applyFont="1" applyFill="1" applyBorder="1"/>
    <xf numFmtId="0" fontId="119" fillId="0" borderId="56" xfId="0" applyFont="1" applyFill="1" applyBorder="1"/>
    <xf numFmtId="3" fontId="109" fillId="0" borderId="56" xfId="0" applyNumberFormat="1" applyFont="1" applyFill="1" applyBorder="1"/>
    <xf numFmtId="0" fontId="108" fillId="0" borderId="59" xfId="0" applyFont="1" applyFill="1" applyBorder="1"/>
    <xf numFmtId="0" fontId="108" fillId="0" borderId="42" xfId="0" applyFont="1" applyFill="1" applyBorder="1"/>
    <xf numFmtId="3" fontId="123" fillId="0" borderId="27" xfId="0" applyNumberFormat="1" applyFont="1" applyFill="1" applyBorder="1"/>
    <xf numFmtId="3" fontId="109" fillId="0" borderId="27" xfId="0" applyNumberFormat="1" applyFont="1" applyFill="1" applyBorder="1"/>
    <xf numFmtId="3" fontId="109" fillId="7" borderId="27" xfId="0" applyNumberFormat="1" applyFont="1" applyFill="1" applyBorder="1"/>
    <xf numFmtId="3" fontId="109" fillId="0" borderId="27" xfId="0" applyNumberFormat="1" applyFont="1" applyFill="1" applyBorder="1" applyAlignment="1"/>
    <xf numFmtId="3" fontId="109" fillId="0" borderId="27" xfId="0" applyNumberFormat="1" applyFont="1" applyBorder="1" applyAlignment="1"/>
    <xf numFmtId="3" fontId="109" fillId="0" borderId="27" xfId="0" applyNumberFormat="1" applyFont="1" applyBorder="1"/>
    <xf numFmtId="3" fontId="114" fillId="0" borderId="27" xfId="0" applyNumberFormat="1" applyFont="1" applyBorder="1"/>
    <xf numFmtId="0" fontId="108" fillId="0" borderId="27" xfId="0" applyFont="1" applyBorder="1"/>
    <xf numFmtId="3" fontId="19" fillId="0" borderId="27" xfId="0" applyNumberFormat="1" applyFont="1" applyBorder="1"/>
    <xf numFmtId="3" fontId="19" fillId="0" borderId="27" xfId="0" applyNumberFormat="1" applyFont="1" applyFill="1" applyBorder="1"/>
    <xf numFmtId="3" fontId="114" fillId="0" borderId="27" xfId="0" applyNumberFormat="1" applyFont="1" applyFill="1" applyBorder="1"/>
    <xf numFmtId="3" fontId="114" fillId="0" borderId="60" xfId="0" applyNumberFormat="1" applyFont="1" applyFill="1" applyBorder="1"/>
    <xf numFmtId="0" fontId="22" fillId="0" borderId="2" xfId="0" applyFont="1" applyBorder="1"/>
    <xf numFmtId="3" fontId="22" fillId="0" borderId="2" xfId="0" applyNumberFormat="1" applyFont="1" applyBorder="1"/>
    <xf numFmtId="3" fontId="78" fillId="0" borderId="27" xfId="0" applyNumberFormat="1" applyFont="1" applyFill="1" applyBorder="1"/>
    <xf numFmtId="0" fontId="26" fillId="0" borderId="2" xfId="0" applyFont="1" applyBorder="1"/>
    <xf numFmtId="3" fontId="29" fillId="0" borderId="2" xfId="0" applyNumberFormat="1" applyFont="1" applyBorder="1"/>
    <xf numFmtId="3" fontId="29" fillId="9" borderId="2" xfId="0" applyNumberFormat="1" applyFont="1" applyFill="1" applyBorder="1"/>
    <xf numFmtId="164" fontId="66" fillId="0" borderId="12" xfId="0" applyNumberFormat="1" applyFont="1" applyBorder="1" applyAlignment="1">
      <alignment vertical="center"/>
    </xf>
    <xf numFmtId="0" fontId="13" fillId="4" borderId="54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vertical="center"/>
    </xf>
    <xf numFmtId="3" fontId="69" fillId="0" borderId="27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68" fillId="0" borderId="27" xfId="0" applyNumberFormat="1" applyFont="1" applyFill="1" applyBorder="1" applyAlignment="1">
      <alignment vertical="center"/>
    </xf>
    <xf numFmtId="3" fontId="68" fillId="9" borderId="27" xfId="0" applyNumberFormat="1" applyFont="1" applyFill="1" applyBorder="1" applyAlignment="1">
      <alignment vertical="center"/>
    </xf>
    <xf numFmtId="3" fontId="13" fillId="0" borderId="52" xfId="0" applyNumberFormat="1" applyFont="1" applyFill="1" applyBorder="1" applyAlignment="1">
      <alignment vertical="center"/>
    </xf>
    <xf numFmtId="3" fontId="13" fillId="4" borderId="54" xfId="0" applyNumberFormat="1" applyFont="1" applyFill="1" applyBorder="1" applyAlignment="1">
      <alignment vertical="center"/>
    </xf>
    <xf numFmtId="3" fontId="14" fillId="0" borderId="50" xfId="0" applyNumberFormat="1" applyFont="1" applyBorder="1" applyAlignment="1">
      <alignment vertical="center"/>
    </xf>
    <xf numFmtId="3" fontId="13" fillId="0" borderId="56" xfId="0" applyNumberFormat="1" applyFont="1" applyBorder="1" applyAlignment="1">
      <alignment vertical="center"/>
    </xf>
    <xf numFmtId="3" fontId="14" fillId="0" borderId="56" xfId="0" applyNumberFormat="1" applyFont="1" applyBorder="1" applyAlignment="1">
      <alignment horizontal="right" vertical="center"/>
    </xf>
    <xf numFmtId="3" fontId="13" fillId="4" borderId="59" xfId="0" applyNumberFormat="1" applyFont="1" applyFill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4" borderId="2" xfId="0" applyNumberFormat="1" applyFont="1" applyFill="1" applyBorder="1" applyAlignment="1">
      <alignment vertical="center"/>
    </xf>
    <xf numFmtId="3" fontId="7" fillId="0" borderId="0" xfId="8" applyNumberFormat="1" applyFont="1" applyFill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57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3" fontId="14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4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 vertical="top"/>
    </xf>
    <xf numFmtId="0" fontId="68" fillId="0" borderId="0" xfId="0" applyFont="1" applyAlignment="1">
      <alignment horizontal="center" vertical="center"/>
    </xf>
    <xf numFmtId="0" fontId="19" fillId="0" borderId="0" xfId="3" applyFont="1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66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9" fillId="0" borderId="68" xfId="0" applyFont="1" applyBorder="1" applyAlignment="1">
      <alignment horizontal="center" vertical="center"/>
    </xf>
    <xf numFmtId="0" fontId="79" fillId="0" borderId="69" xfId="0" applyFont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13" fillId="4" borderId="69" xfId="0" applyFont="1" applyFill="1" applyBorder="1" applyAlignment="1">
      <alignment horizontal="center" vertical="center" wrapText="1"/>
    </xf>
    <xf numFmtId="0" fontId="79" fillId="4" borderId="70" xfId="0" applyFont="1" applyFill="1" applyBorder="1" applyAlignment="1">
      <alignment horizontal="left" vertical="center"/>
    </xf>
    <xf numFmtId="0" fontId="79" fillId="4" borderId="71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wrapText="1"/>
    </xf>
    <xf numFmtId="0" fontId="95" fillId="0" borderId="50" xfId="0" applyFont="1" applyFill="1" applyBorder="1" applyAlignment="1">
      <alignment horizontal="left"/>
    </xf>
    <xf numFmtId="0" fontId="95" fillId="0" borderId="42" xfId="0" applyFont="1" applyFill="1" applyBorder="1" applyAlignment="1">
      <alignment horizontal="left"/>
    </xf>
    <xf numFmtId="0" fontId="97" fillId="0" borderId="12" xfId="0" applyFont="1" applyFill="1" applyBorder="1" applyAlignment="1">
      <alignment horizontal="left"/>
    </xf>
    <xf numFmtId="0" fontId="97" fillId="0" borderId="27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99" fillId="0" borderId="12" xfId="0" applyFont="1" applyFill="1" applyBorder="1" applyAlignment="1">
      <alignment horizontal="left"/>
    </xf>
    <xf numFmtId="0" fontId="99" fillId="0" borderId="27" xfId="0" applyFont="1" applyFill="1" applyBorder="1" applyAlignment="1">
      <alignment horizontal="left"/>
    </xf>
    <xf numFmtId="0" fontId="109" fillId="0" borderId="12" xfId="0" applyFont="1" applyFill="1" applyBorder="1" applyAlignment="1">
      <alignment horizontal="left"/>
    </xf>
    <xf numFmtId="0" fontId="109" fillId="0" borderId="27" xfId="0" applyFont="1" applyFill="1" applyBorder="1" applyAlignment="1">
      <alignment horizontal="left"/>
    </xf>
    <xf numFmtId="0" fontId="117" fillId="0" borderId="12" xfId="0" applyFont="1" applyFill="1" applyBorder="1" applyAlignment="1">
      <alignment horizontal="left"/>
    </xf>
    <xf numFmtId="0" fontId="117" fillId="0" borderId="27" xfId="0" applyFont="1" applyFill="1" applyBorder="1" applyAlignment="1">
      <alignment horizontal="left"/>
    </xf>
    <xf numFmtId="0" fontId="8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4" fillId="0" borderId="56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3" fillId="4" borderId="54" xfId="0" applyFont="1" applyFill="1" applyBorder="1" applyAlignment="1">
      <alignment horizontal="left" vertical="center" wrapText="1"/>
    </xf>
    <xf numFmtId="0" fontId="13" fillId="4" borderId="5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78" fillId="0" borderId="0" xfId="5" applyFont="1" applyFill="1" applyAlignment="1">
      <alignment horizontal="left" wrapText="1"/>
    </xf>
    <xf numFmtId="0" fontId="79" fillId="0" borderId="31" xfId="5" applyFont="1" applyFill="1" applyBorder="1" applyAlignment="1">
      <alignment horizontal="left" vertical="center"/>
    </xf>
    <xf numFmtId="0" fontId="79" fillId="4" borderId="18" xfId="5" applyFont="1" applyFill="1" applyBorder="1" applyAlignment="1">
      <alignment horizontal="left" vertical="center" wrapText="1"/>
    </xf>
    <xf numFmtId="0" fontId="79" fillId="0" borderId="0" xfId="5" applyFont="1" applyFill="1" applyBorder="1" applyAlignment="1">
      <alignment horizontal="center" wrapText="1"/>
    </xf>
    <xf numFmtId="0" fontId="79" fillId="0" borderId="2" xfId="5" applyFont="1" applyFill="1" applyBorder="1" applyAlignment="1">
      <alignment horizontal="left" vertical="center"/>
    </xf>
    <xf numFmtId="0" fontId="79" fillId="0" borderId="0" xfId="5" applyFont="1" applyFill="1" applyBorder="1" applyAlignment="1">
      <alignment horizontal="center" vertical="top" wrapText="1"/>
    </xf>
    <xf numFmtId="0" fontId="79" fillId="0" borderId="0" xfId="0" applyFont="1" applyBorder="1" applyAlignment="1">
      <alignment horizontal="center" wrapText="1"/>
    </xf>
    <xf numFmtId="0" fontId="79" fillId="0" borderId="0" xfId="0" applyFont="1" applyBorder="1" applyAlignment="1">
      <alignment horizontal="center" vertical="top" wrapText="1"/>
    </xf>
    <xf numFmtId="0" fontId="14" fillId="0" borderId="0" xfId="7" applyFont="1" applyAlignment="1">
      <alignment horizontal="left" vertical="center" wrapText="1"/>
    </xf>
    <xf numFmtId="0" fontId="13" fillId="0" borderId="28" xfId="7" applyFont="1" applyBorder="1" applyAlignment="1">
      <alignment horizontal="center" vertical="center"/>
    </xf>
    <xf numFmtId="0" fontId="14" fillId="0" borderId="2" xfId="7" applyFont="1" applyBorder="1" applyAlignment="1">
      <alignment horizontal="left" vertical="center" wrapText="1"/>
    </xf>
    <xf numFmtId="0" fontId="13" fillId="4" borderId="18" xfId="7" applyFont="1" applyFill="1" applyBorder="1" applyAlignment="1">
      <alignment horizontal="left" vertical="center"/>
    </xf>
    <xf numFmtId="0" fontId="13" fillId="4" borderId="14" xfId="7" applyFont="1" applyFill="1" applyBorder="1" applyAlignment="1">
      <alignment horizontal="right" vertical="center"/>
    </xf>
    <xf numFmtId="0" fontId="14" fillId="0" borderId="28" xfId="7" applyFont="1" applyBorder="1" applyAlignment="1">
      <alignment horizontal="center" vertical="center"/>
    </xf>
    <xf numFmtId="0" fontId="13" fillId="4" borderId="2" xfId="7" applyFont="1" applyFill="1" applyBorder="1" applyAlignment="1">
      <alignment horizontal="right" vertical="center"/>
    </xf>
    <xf numFmtId="0" fontId="14" fillId="0" borderId="7" xfId="7" applyFont="1" applyBorder="1" applyAlignment="1">
      <alignment horizontal="left" vertical="center" wrapText="1"/>
    </xf>
    <xf numFmtId="0" fontId="14" fillId="0" borderId="43" xfId="7" applyFont="1" applyBorder="1" applyAlignment="1">
      <alignment horizontal="center" vertical="center"/>
    </xf>
    <xf numFmtId="0" fontId="14" fillId="9" borderId="28" xfId="7" applyFont="1" applyFill="1" applyBorder="1" applyAlignment="1">
      <alignment horizontal="center" vertical="center"/>
    </xf>
    <xf numFmtId="0" fontId="79" fillId="0" borderId="0" xfId="7" applyFont="1" applyAlignment="1">
      <alignment horizontal="center" wrapText="1"/>
    </xf>
    <xf numFmtId="0" fontId="79" fillId="0" borderId="0" xfId="7" applyFont="1" applyAlignment="1">
      <alignment horizontal="center" vertical="top"/>
    </xf>
    <xf numFmtId="2" fontId="13" fillId="4" borderId="2" xfId="8" applyNumberFormat="1" applyFont="1" applyFill="1" applyBorder="1" applyAlignment="1">
      <alignment horizontal="left" vertical="center"/>
    </xf>
    <xf numFmtId="0" fontId="19" fillId="0" borderId="0" xfId="8" applyFont="1" applyBorder="1" applyAlignment="1">
      <alignment horizontal="center" wrapText="1"/>
    </xf>
    <xf numFmtId="0" fontId="13" fillId="4" borderId="20" xfId="8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4" fillId="0" borderId="9" xfId="8" applyFont="1" applyFill="1" applyBorder="1" applyAlignment="1">
      <alignment horizontal="center"/>
    </xf>
    <xf numFmtId="0" fontId="14" fillId="0" borderId="40" xfId="8" applyFont="1" applyFill="1" applyBorder="1" applyAlignment="1">
      <alignment horizontal="center"/>
    </xf>
    <xf numFmtId="0" fontId="14" fillId="0" borderId="26" xfId="8" applyFont="1" applyFill="1" applyBorder="1" applyAlignment="1">
      <alignment horizontal="center"/>
    </xf>
    <xf numFmtId="0" fontId="14" fillId="4" borderId="51" xfId="8" applyFont="1" applyFill="1" applyBorder="1" applyAlignment="1">
      <alignment horizontal="center" vertical="center"/>
    </xf>
    <xf numFmtId="0" fontId="14" fillId="4" borderId="49" xfId="8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0" fontId="13" fillId="4" borderId="64" xfId="0" applyFont="1" applyFill="1" applyBorder="1" applyAlignment="1">
      <alignment horizontal="center"/>
    </xf>
    <xf numFmtId="0" fontId="13" fillId="4" borderId="36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3" fillId="4" borderId="62" xfId="0" applyFont="1" applyFill="1" applyBorder="1" applyAlignment="1">
      <alignment horizontal="center" vertical="center"/>
    </xf>
    <xf numFmtId="0" fontId="104" fillId="4" borderId="51" xfId="0" applyFont="1" applyFill="1" applyBorder="1" applyAlignment="1">
      <alignment horizontal="center" vertical="center" wrapText="1"/>
    </xf>
    <xf numFmtId="0" fontId="104" fillId="4" borderId="49" xfId="0" applyFont="1" applyFill="1" applyBorder="1" applyAlignment="1">
      <alignment horizontal="center" vertical="center" wrapText="1"/>
    </xf>
    <xf numFmtId="0" fontId="104" fillId="4" borderId="17" xfId="0" applyFont="1" applyFill="1" applyBorder="1" applyAlignment="1">
      <alignment horizontal="center" vertical="center" wrapText="1"/>
    </xf>
    <xf numFmtId="0" fontId="104" fillId="4" borderId="18" xfId="0" applyFont="1" applyFill="1" applyBorder="1" applyAlignment="1">
      <alignment horizontal="center" vertical="center" wrapText="1"/>
    </xf>
    <xf numFmtId="0" fontId="104" fillId="4" borderId="41" xfId="0" applyFont="1" applyFill="1" applyBorder="1" applyAlignment="1">
      <alignment horizontal="center" vertical="center" wrapText="1"/>
    </xf>
    <xf numFmtId="0" fontId="104" fillId="4" borderId="61" xfId="0" applyFont="1" applyFill="1" applyBorder="1" applyAlignment="1">
      <alignment horizontal="center" vertical="center" wrapText="1"/>
    </xf>
    <xf numFmtId="0" fontId="104" fillId="4" borderId="6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/>
    </xf>
    <xf numFmtId="0" fontId="61" fillId="0" borderId="59" xfId="0" applyFont="1" applyBorder="1" applyAlignment="1">
      <alignment horizontal="center" vertical="center"/>
    </xf>
    <xf numFmtId="0" fontId="13" fillId="4" borderId="12" xfId="8" applyFont="1" applyFill="1" applyBorder="1" applyAlignment="1">
      <alignment horizontal="left" vertical="center"/>
    </xf>
    <xf numFmtId="0" fontId="13" fillId="4" borderId="27" xfId="8" applyFont="1" applyFill="1" applyBorder="1" applyAlignment="1">
      <alignment horizontal="left" vertical="center"/>
    </xf>
    <xf numFmtId="0" fontId="13" fillId="4" borderId="1" xfId="8" applyFont="1" applyFill="1" applyBorder="1" applyAlignment="1">
      <alignment horizontal="left" vertical="center"/>
    </xf>
    <xf numFmtId="0" fontId="13" fillId="4" borderId="54" xfId="8" applyFont="1" applyFill="1" applyBorder="1" applyAlignment="1">
      <alignment horizontal="left" vertical="center"/>
    </xf>
    <xf numFmtId="0" fontId="13" fillId="4" borderId="53" xfId="8" applyFont="1" applyFill="1" applyBorder="1" applyAlignment="1">
      <alignment horizontal="left" vertical="center"/>
    </xf>
    <xf numFmtId="0" fontId="13" fillId="0" borderId="12" xfId="8" applyFont="1" applyFill="1" applyBorder="1" applyAlignment="1">
      <alignment horizontal="left" vertical="center"/>
    </xf>
    <xf numFmtId="0" fontId="13" fillId="0" borderId="27" xfId="8" applyFont="1" applyFill="1" applyBorder="1" applyAlignment="1">
      <alignment horizontal="left" vertical="center"/>
    </xf>
    <xf numFmtId="0" fontId="13" fillId="0" borderId="1" xfId="8" applyFont="1" applyFill="1" applyBorder="1" applyAlignment="1">
      <alignment horizontal="left" vertical="center"/>
    </xf>
    <xf numFmtId="0" fontId="14" fillId="0" borderId="0" xfId="8" applyFont="1" applyFill="1" applyAlignment="1"/>
    <xf numFmtId="0" fontId="19" fillId="0" borderId="0" xfId="0" applyFont="1" applyFill="1" applyAlignment="1">
      <alignment horizontal="center" wrapText="1"/>
    </xf>
    <xf numFmtId="0" fontId="19" fillId="0" borderId="0" xfId="8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3" fillId="0" borderId="0" xfId="3" applyFont="1" applyAlignment="1">
      <alignment horizontal="center"/>
    </xf>
    <xf numFmtId="0" fontId="61" fillId="0" borderId="12" xfId="3" applyFont="1" applyBorder="1" applyAlignment="1">
      <alignment horizontal="left" wrapText="1"/>
    </xf>
    <xf numFmtId="0" fontId="61" fillId="0" borderId="1" xfId="3" applyFont="1" applyBorder="1" applyAlignment="1">
      <alignment horizontal="left" wrapText="1"/>
    </xf>
    <xf numFmtId="0" fontId="14" fillId="0" borderId="0" xfId="3" applyFont="1" applyAlignment="1">
      <alignment horizontal="left" wrapText="1"/>
    </xf>
    <xf numFmtId="0" fontId="14" fillId="0" borderId="0" xfId="5" applyFont="1" applyAlignment="1">
      <alignment horizontal="left" wrapText="1"/>
    </xf>
    <xf numFmtId="0" fontId="77" fillId="0" borderId="12" xfId="5" applyFont="1" applyBorder="1" applyAlignment="1">
      <alignment horizontal="left" vertical="center" wrapText="1"/>
    </xf>
    <xf numFmtId="0" fontId="77" fillId="0" borderId="1" xfId="5" applyFont="1" applyBorder="1" applyAlignment="1">
      <alignment horizontal="left" vertical="center" wrapText="1"/>
    </xf>
    <xf numFmtId="0" fontId="13" fillId="5" borderId="12" xfId="5" applyFont="1" applyFill="1" applyBorder="1" applyAlignment="1">
      <alignment horizontal="center" vertical="center"/>
    </xf>
    <xf numFmtId="0" fontId="13" fillId="5" borderId="27" xfId="5" applyFont="1" applyFill="1" applyBorder="1" applyAlignment="1">
      <alignment horizontal="center" vertical="center"/>
    </xf>
    <xf numFmtId="0" fontId="13" fillId="5" borderId="1" xfId="5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left" vertical="center"/>
    </xf>
    <xf numFmtId="0" fontId="13" fillId="0" borderId="27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79" fillId="0" borderId="0" xfId="5" applyFont="1" applyAlignment="1">
      <alignment horizontal="center" vertical="top" wrapText="1"/>
    </xf>
    <xf numFmtId="0" fontId="79" fillId="0" borderId="0" xfId="5" applyFont="1" applyAlignment="1">
      <alignment horizontal="center" wrapText="1"/>
    </xf>
    <xf numFmtId="0" fontId="14" fillId="0" borderId="0" xfId="0" applyFont="1" applyAlignment="1">
      <alignment horizontal="left" wrapText="1"/>
    </xf>
  </cellXfs>
  <cellStyles count="11">
    <cellStyle name="Ezres" xfId="1" builtinId="3"/>
    <cellStyle name="Ezres 2" xfId="2"/>
    <cellStyle name="Normál" xfId="0" builtinId="0"/>
    <cellStyle name="Normál 2" xfId="3"/>
    <cellStyle name="Normál 2 2" xfId="4"/>
    <cellStyle name="Normál 2 3" xfId="5"/>
    <cellStyle name="Normál 2 4" xfId="6"/>
    <cellStyle name="Normál 3" xfId="9"/>
    <cellStyle name="Normál 4" xfId="10"/>
    <cellStyle name="Normál_13 önkorm.létszám" xfId="7"/>
    <cellStyle name="Normál_3.eredeti  2009. évi költségvetés 2-13 mell.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64"/>
  <sheetViews>
    <sheetView tabSelected="1" zoomScaleNormal="100" zoomScalePageLayoutView="80" workbookViewId="0">
      <selection activeCell="A3" sqref="A3:G3"/>
    </sheetView>
  </sheetViews>
  <sheetFormatPr defaultRowHeight="12.75"/>
  <cols>
    <col min="1" max="1" width="5.7109375" style="84" customWidth="1"/>
    <col min="2" max="2" width="56.28515625" style="84" customWidth="1"/>
    <col min="3" max="5" width="18" style="84" customWidth="1"/>
    <col min="6" max="6" width="54.85546875" style="84" customWidth="1"/>
    <col min="7" max="8" width="17.85546875" style="179" customWidth="1"/>
    <col min="9" max="9" width="18.140625" style="84" customWidth="1"/>
    <col min="10" max="16384" width="9.140625" style="84"/>
  </cols>
  <sheetData>
    <row r="1" spans="1:9" s="93" customFormat="1" ht="15.75">
      <c r="A1" s="994" t="s">
        <v>515</v>
      </c>
      <c r="B1" s="994"/>
      <c r="C1" s="994"/>
      <c r="D1" s="994"/>
      <c r="E1" s="994"/>
      <c r="F1" s="994"/>
      <c r="G1" s="994"/>
      <c r="H1" s="883"/>
    </row>
    <row r="2" spans="1:9" s="93" customFormat="1" ht="15.75">
      <c r="A2" s="275"/>
      <c r="B2" s="275"/>
      <c r="C2" s="275"/>
      <c r="D2" s="883"/>
      <c r="E2" s="883"/>
      <c r="F2" s="275"/>
      <c r="G2" s="276"/>
      <c r="H2" s="276"/>
    </row>
    <row r="3" spans="1:9" ht="22.5" customHeight="1">
      <c r="A3" s="995" t="s">
        <v>363</v>
      </c>
      <c r="B3" s="995"/>
      <c r="C3" s="995"/>
      <c r="D3" s="995"/>
      <c r="E3" s="995"/>
      <c r="F3" s="995"/>
      <c r="G3" s="995"/>
      <c r="H3" s="884"/>
    </row>
    <row r="4" spans="1:9" ht="24.75" customHeight="1">
      <c r="A4" s="996" t="s">
        <v>456</v>
      </c>
      <c r="B4" s="996"/>
      <c r="C4" s="996"/>
      <c r="D4" s="996"/>
      <c r="E4" s="996"/>
      <c r="F4" s="996"/>
      <c r="G4" s="996"/>
      <c r="H4" s="885"/>
    </row>
    <row r="5" spans="1:9" ht="16.5" customHeight="1">
      <c r="A5" s="317"/>
      <c r="B5" s="317"/>
      <c r="C5" s="317"/>
      <c r="D5" s="885"/>
      <c r="E5" s="885"/>
      <c r="F5" s="317"/>
      <c r="G5" s="318"/>
      <c r="H5" s="318"/>
    </row>
    <row r="6" spans="1:9" ht="16.5" thickBot="1">
      <c r="A6" s="277"/>
      <c r="B6" s="277"/>
      <c r="C6" s="278"/>
      <c r="D6" s="278"/>
      <c r="E6" s="278"/>
      <c r="F6" s="279"/>
      <c r="G6" s="280" t="s">
        <v>200</v>
      </c>
      <c r="H6" s="280"/>
    </row>
    <row r="7" spans="1:9" ht="16.5" thickBot="1">
      <c r="A7" s="281"/>
      <c r="B7" s="281" t="s">
        <v>205</v>
      </c>
      <c r="C7" s="281" t="s">
        <v>206</v>
      </c>
      <c r="D7" s="281"/>
      <c r="E7" s="281"/>
      <c r="F7" s="281" t="s">
        <v>207</v>
      </c>
      <c r="G7" s="282" t="s">
        <v>208</v>
      </c>
      <c r="H7" s="924"/>
    </row>
    <row r="8" spans="1:9" ht="44.25" customHeight="1" thickBot="1">
      <c r="A8" s="283">
        <v>1</v>
      </c>
      <c r="B8" s="284" t="s">
        <v>13</v>
      </c>
      <c r="C8" s="319" t="s">
        <v>457</v>
      </c>
      <c r="D8" s="921" t="s">
        <v>507</v>
      </c>
      <c r="E8" s="921" t="s">
        <v>500</v>
      </c>
      <c r="F8" s="284" t="s">
        <v>31</v>
      </c>
      <c r="G8" s="320" t="s">
        <v>457</v>
      </c>
      <c r="H8" s="921" t="s">
        <v>507</v>
      </c>
      <c r="I8" s="921" t="s">
        <v>500</v>
      </c>
    </row>
    <row r="9" spans="1:9" ht="15.75">
      <c r="A9" s="285">
        <v>2</v>
      </c>
      <c r="B9" s="286" t="s">
        <v>223</v>
      </c>
      <c r="C9" s="918">
        <f>bevételek3!H126</f>
        <v>598145661</v>
      </c>
      <c r="D9" s="923">
        <f>E9-C9</f>
        <v>96988918</v>
      </c>
      <c r="E9" s="923">
        <f>bevételek3!I126</f>
        <v>695134579</v>
      </c>
      <c r="F9" s="287" t="s">
        <v>25</v>
      </c>
      <c r="G9" s="288">
        <f>kiadások4!H87</f>
        <v>216530299</v>
      </c>
      <c r="H9" s="925">
        <f>I9-G9</f>
        <v>2820149</v>
      </c>
      <c r="I9" s="179">
        <f>kiadások4!I87</f>
        <v>219350448</v>
      </c>
    </row>
    <row r="10" spans="1:9" ht="15.75">
      <c r="A10" s="289">
        <v>3</v>
      </c>
      <c r="B10" s="290" t="s">
        <v>230</v>
      </c>
      <c r="C10" s="919">
        <f>bevételek3!H127</f>
        <v>74612739</v>
      </c>
      <c r="D10" s="923">
        <f t="shared" ref="D10:D14" si="0">E10-C10</f>
        <v>0</v>
      </c>
      <c r="E10" s="923">
        <f>bevételek3!I127</f>
        <v>74612739</v>
      </c>
      <c r="F10" s="292" t="s">
        <v>275</v>
      </c>
      <c r="G10" s="291">
        <f>kiadások4!H88</f>
        <v>42088649</v>
      </c>
      <c r="H10" s="925">
        <f t="shared" ref="H10:H14" si="1">I10-G10</f>
        <v>626709</v>
      </c>
      <c r="I10" s="179">
        <f>kiadások4!I88</f>
        <v>42715358</v>
      </c>
    </row>
    <row r="11" spans="1:9" ht="15.75">
      <c r="A11" s="289">
        <v>4</v>
      </c>
      <c r="B11" s="290" t="s">
        <v>100</v>
      </c>
      <c r="C11" s="919">
        <f>bevételek3!H128</f>
        <v>35439236.600000001</v>
      </c>
      <c r="D11" s="923">
        <f t="shared" si="0"/>
        <v>14213424</v>
      </c>
      <c r="E11" s="923">
        <f>bevételek3!I128</f>
        <v>49652660.600000001</v>
      </c>
      <c r="F11" s="292" t="s">
        <v>30</v>
      </c>
      <c r="G11" s="293">
        <f>kiadások4!H89</f>
        <v>163715069</v>
      </c>
      <c r="H11" s="925">
        <f t="shared" si="1"/>
        <v>85575021</v>
      </c>
      <c r="I11" s="179">
        <f>kiadások4!I89</f>
        <v>249290090</v>
      </c>
    </row>
    <row r="12" spans="1:9" ht="15.75">
      <c r="A12" s="289">
        <v>5</v>
      </c>
      <c r="B12" s="290" t="s">
        <v>245</v>
      </c>
      <c r="C12" s="919">
        <f>bevételek3!H129</f>
        <v>5817850</v>
      </c>
      <c r="D12" s="923">
        <f t="shared" si="0"/>
        <v>1807762</v>
      </c>
      <c r="E12" s="923">
        <f>bevételek3!I129</f>
        <v>7625612</v>
      </c>
      <c r="F12" s="292" t="s">
        <v>276</v>
      </c>
      <c r="G12" s="293">
        <f>kiadások4!H90</f>
        <v>27700000</v>
      </c>
      <c r="H12" s="925">
        <f t="shared" si="1"/>
        <v>12540</v>
      </c>
      <c r="I12" s="179">
        <f>kiadások4!I90</f>
        <v>27712540</v>
      </c>
    </row>
    <row r="13" spans="1:9" ht="15.75">
      <c r="A13" s="289">
        <v>6</v>
      </c>
      <c r="B13" s="290" t="s">
        <v>248</v>
      </c>
      <c r="C13" s="919">
        <f>bevételek3!H130</f>
        <v>128537175</v>
      </c>
      <c r="D13" s="923">
        <f t="shared" si="0"/>
        <v>231728528</v>
      </c>
      <c r="E13" s="923">
        <f>bevételek3!I130</f>
        <v>360265703</v>
      </c>
      <c r="F13" s="294" t="s">
        <v>281</v>
      </c>
      <c r="G13" s="293">
        <f>kiadások4!H91</f>
        <v>263403456.80000001</v>
      </c>
      <c r="H13" s="925">
        <f t="shared" si="1"/>
        <v>252361892</v>
      </c>
      <c r="I13" s="179">
        <f>kiadások4!I91</f>
        <v>515765348.80000001</v>
      </c>
    </row>
    <row r="14" spans="1:9" ht="16.5" thickBot="1">
      <c r="A14" s="289">
        <v>7</v>
      </c>
      <c r="B14" s="295"/>
      <c r="C14" s="920"/>
      <c r="D14" s="923">
        <f t="shared" si="0"/>
        <v>0</v>
      </c>
      <c r="E14" s="923"/>
      <c r="F14" s="296" t="s">
        <v>289</v>
      </c>
      <c r="G14" s="297">
        <f>kiadások4!H92</f>
        <v>127537175</v>
      </c>
      <c r="H14" s="925">
        <f t="shared" si="1"/>
        <v>2058066</v>
      </c>
      <c r="I14" s="179">
        <f>kiadások4!I92</f>
        <v>129595241</v>
      </c>
    </row>
    <row r="15" spans="1:9" ht="16.5" thickBot="1">
      <c r="A15" s="289">
        <v>8</v>
      </c>
      <c r="B15" s="298" t="s">
        <v>100</v>
      </c>
      <c r="C15" s="299">
        <f>SUM(C9:C13)</f>
        <v>842552661.60000002</v>
      </c>
      <c r="D15" s="922">
        <f>SUM(D9:D13)</f>
        <v>344738632</v>
      </c>
      <c r="E15" s="922">
        <f>SUM(E9:E14)</f>
        <v>1187291293.5999999</v>
      </c>
      <c r="F15" s="298" t="s">
        <v>14</v>
      </c>
      <c r="G15" s="300">
        <f>SUM(G9:G14)</f>
        <v>840974648.79999995</v>
      </c>
      <c r="H15" s="300">
        <f t="shared" ref="H15:I15" si="2">SUM(H9:H14)</f>
        <v>343454377</v>
      </c>
      <c r="I15" s="300">
        <f t="shared" si="2"/>
        <v>1184429025.8</v>
      </c>
    </row>
    <row r="16" spans="1:9" ht="15.75">
      <c r="A16" s="289">
        <v>9</v>
      </c>
      <c r="B16" s="301" t="s">
        <v>254</v>
      </c>
      <c r="C16" s="302">
        <f>bevételek3!H132</f>
        <v>0</v>
      </c>
      <c r="D16" s="906">
        <f>E16-C16</f>
        <v>0</v>
      </c>
      <c r="E16" s="906">
        <f>bevételek3!I132</f>
        <v>0</v>
      </c>
      <c r="F16" s="303" t="s">
        <v>295</v>
      </c>
      <c r="G16" s="304">
        <f>kiadások4!H94</f>
        <v>128648700</v>
      </c>
      <c r="H16" s="905">
        <f>I16-G16</f>
        <v>1284255</v>
      </c>
      <c r="I16" s="179">
        <f>kiadások4!I94</f>
        <v>129932955</v>
      </c>
    </row>
    <row r="17" spans="1:9" ht="15.75">
      <c r="A17" s="289">
        <v>10</v>
      </c>
      <c r="B17" s="305" t="s">
        <v>257</v>
      </c>
      <c r="C17" s="293">
        <f>bevételek3!H133</f>
        <v>0</v>
      </c>
      <c r="D17" s="906">
        <f t="shared" ref="D17:D19" si="3">E17-C17</f>
        <v>0</v>
      </c>
      <c r="E17" s="906">
        <f>bevételek3!I133</f>
        <v>0</v>
      </c>
      <c r="F17" s="306" t="s">
        <v>296</v>
      </c>
      <c r="G17" s="291">
        <f>kiadások4!H95</f>
        <v>31560265</v>
      </c>
      <c r="H17" s="905">
        <f t="shared" ref="H17:H19" si="4">I17-G17</f>
        <v>0</v>
      </c>
      <c r="I17" s="179">
        <f>kiadások4!I95</f>
        <v>31560265</v>
      </c>
    </row>
    <row r="18" spans="1:9" ht="15.75">
      <c r="A18" s="289">
        <v>11</v>
      </c>
      <c r="B18" s="307" t="s">
        <v>263</v>
      </c>
      <c r="C18" s="293">
        <f>bevételek3!H134</f>
        <v>0</v>
      </c>
      <c r="D18" s="906">
        <f t="shared" si="3"/>
        <v>0</v>
      </c>
      <c r="E18" s="906">
        <f>bevételek3!I134</f>
        <v>0</v>
      </c>
      <c r="F18" s="308" t="s">
        <v>297</v>
      </c>
      <c r="G18" s="291">
        <f>kiadások4!H96</f>
        <v>0</v>
      </c>
      <c r="H18" s="905">
        <f t="shared" si="4"/>
        <v>0</v>
      </c>
      <c r="I18" s="179">
        <f>kiadások4!I96</f>
        <v>0</v>
      </c>
    </row>
    <row r="19" spans="1:9" ht="16.5" thickBot="1">
      <c r="A19" s="289">
        <v>12</v>
      </c>
      <c r="B19" s="309" t="s">
        <v>248</v>
      </c>
      <c r="C19" s="310">
        <f>bevételek3!H135</f>
        <v>158630952</v>
      </c>
      <c r="D19" s="906">
        <f t="shared" si="3"/>
        <v>0</v>
      </c>
      <c r="E19" s="906">
        <f>bevételek3!I135</f>
        <v>158630952</v>
      </c>
      <c r="F19" s="311" t="s">
        <v>289</v>
      </c>
      <c r="G19" s="297">
        <f>kiadások4!H97</f>
        <v>0</v>
      </c>
      <c r="H19" s="905">
        <f t="shared" si="4"/>
        <v>0</v>
      </c>
      <c r="I19" s="179">
        <f>kiadások4!I97</f>
        <v>0</v>
      </c>
    </row>
    <row r="20" spans="1:9" ht="16.5" thickBot="1">
      <c r="A20" s="289">
        <v>14</v>
      </c>
      <c r="B20" s="312" t="s">
        <v>254</v>
      </c>
      <c r="C20" s="313">
        <f>SUM(C16:C19)</f>
        <v>158630952</v>
      </c>
      <c r="D20" s="313">
        <f>SUM(D16:D19)</f>
        <v>0</v>
      </c>
      <c r="E20" s="313">
        <f>SUM(E16:E19)</f>
        <v>158630952</v>
      </c>
      <c r="F20" s="312" t="s">
        <v>43</v>
      </c>
      <c r="G20" s="314">
        <f>SUM(G16:G19)</f>
        <v>160208965</v>
      </c>
      <c r="H20" s="314">
        <f t="shared" ref="H20:I20" si="5">SUM(H16:H19)</f>
        <v>1284255</v>
      </c>
      <c r="I20" s="314">
        <f t="shared" si="5"/>
        <v>161493220</v>
      </c>
    </row>
    <row r="21" spans="1:9" ht="16.5" thickBot="1">
      <c r="A21" s="315">
        <v>15</v>
      </c>
      <c r="B21" s="316" t="s">
        <v>322</v>
      </c>
      <c r="C21" s="313">
        <f>SUM(C15+C20)</f>
        <v>1001183613.6</v>
      </c>
      <c r="D21" s="313">
        <f>SUM(D15+D20)</f>
        <v>344738632</v>
      </c>
      <c r="E21" s="313">
        <f>SUM(E15+E20)</f>
        <v>1345922245.5999999</v>
      </c>
      <c r="F21" s="316" t="s">
        <v>323</v>
      </c>
      <c r="G21" s="314">
        <f>SUM(G15+G20)</f>
        <v>1001183613.8</v>
      </c>
      <c r="H21" s="314">
        <f t="shared" ref="H21:I21" si="6">SUM(H15+H20)</f>
        <v>344738632</v>
      </c>
      <c r="I21" s="314">
        <f t="shared" si="6"/>
        <v>1345922245.8</v>
      </c>
    </row>
    <row r="22" spans="1:9" ht="15">
      <c r="A22" s="94"/>
      <c r="B22" s="94"/>
      <c r="C22" s="95"/>
      <c r="D22" s="95"/>
      <c r="E22" s="95"/>
      <c r="F22" s="96"/>
      <c r="G22" s="90"/>
      <c r="H22" s="90"/>
      <c r="I22" s="179">
        <f>E21-I21</f>
        <v>-0.20000004768371582</v>
      </c>
    </row>
    <row r="23" spans="1:9" ht="15">
      <c r="A23" s="94"/>
      <c r="B23" s="178"/>
      <c r="C23" s="95"/>
      <c r="D23" s="95"/>
      <c r="E23" s="95"/>
      <c r="F23" s="161"/>
      <c r="G23" s="90"/>
      <c r="H23" s="90"/>
    </row>
    <row r="24" spans="1:9" ht="15">
      <c r="A24" s="94"/>
      <c r="B24" s="94"/>
      <c r="C24" s="95"/>
      <c r="D24" s="95"/>
      <c r="E24" s="95"/>
      <c r="F24" s="98"/>
      <c r="G24" s="90"/>
      <c r="H24" s="90"/>
    </row>
    <row r="25" spans="1:9" ht="15">
      <c r="A25" s="94"/>
      <c r="B25" s="94"/>
      <c r="C25" s="95"/>
      <c r="D25" s="95"/>
      <c r="E25" s="95"/>
      <c r="F25" s="97"/>
      <c r="G25" s="90"/>
      <c r="H25" s="90"/>
    </row>
    <row r="26" spans="1:9" ht="15">
      <c r="A26" s="94"/>
      <c r="B26" s="99"/>
      <c r="C26" s="95"/>
      <c r="D26" s="95"/>
      <c r="E26" s="95"/>
      <c r="F26" s="88"/>
      <c r="G26" s="90"/>
      <c r="H26" s="90"/>
    </row>
    <row r="27" spans="1:9" ht="15">
      <c r="A27" s="94"/>
      <c r="B27" s="96"/>
      <c r="C27" s="95"/>
      <c r="D27" s="95"/>
      <c r="E27" s="95"/>
      <c r="F27" s="88"/>
      <c r="G27" s="90"/>
      <c r="H27" s="90"/>
    </row>
    <row r="28" spans="1:9" ht="15.75">
      <c r="A28" s="94"/>
      <c r="B28" s="100"/>
      <c r="C28" s="101"/>
      <c r="D28" s="101"/>
      <c r="E28" s="101"/>
      <c r="F28" s="102"/>
      <c r="G28" s="103"/>
      <c r="H28" s="103"/>
    </row>
    <row r="29" spans="1:9" ht="27" customHeight="1">
      <c r="A29" s="94"/>
      <c r="B29" s="104"/>
      <c r="C29" s="105"/>
      <c r="D29" s="105"/>
      <c r="E29" s="105"/>
      <c r="F29" s="106"/>
      <c r="G29" s="107"/>
      <c r="H29" s="107"/>
    </row>
    <row r="30" spans="1:9" ht="23.25" customHeight="1">
      <c r="A30" s="94"/>
      <c r="B30" s="108"/>
      <c r="C30" s="105"/>
      <c r="D30" s="105"/>
      <c r="E30" s="105"/>
      <c r="F30" s="109"/>
      <c r="G30" s="107"/>
      <c r="H30" s="107"/>
    </row>
    <row r="31" spans="1:9" ht="23.25" customHeight="1">
      <c r="A31" s="94"/>
      <c r="B31" s="98"/>
      <c r="C31" s="105"/>
      <c r="D31" s="105"/>
      <c r="E31" s="105"/>
      <c r="F31" s="109"/>
      <c r="G31" s="107"/>
      <c r="H31" s="107"/>
    </row>
    <row r="32" spans="1:9" ht="48" customHeight="1">
      <c r="A32" s="94"/>
      <c r="B32" s="110"/>
      <c r="C32" s="107"/>
      <c r="D32" s="107"/>
      <c r="E32" s="107"/>
      <c r="F32" s="110"/>
      <c r="G32" s="107"/>
      <c r="H32" s="107"/>
    </row>
    <row r="33" spans="1:8" ht="48" customHeight="1">
      <c r="A33" s="94"/>
      <c r="B33" s="111"/>
      <c r="C33" s="107"/>
      <c r="D33" s="107"/>
      <c r="E33" s="107"/>
      <c r="F33" s="111"/>
      <c r="G33" s="107"/>
      <c r="H33" s="107"/>
    </row>
    <row r="34" spans="1:8" ht="20.25" customHeight="1">
      <c r="A34" s="94"/>
      <c r="B34" s="112"/>
      <c r="C34" s="107"/>
      <c r="D34" s="107"/>
      <c r="E34" s="107"/>
      <c r="F34" s="112"/>
      <c r="G34" s="107"/>
      <c r="H34" s="107"/>
    </row>
    <row r="35" spans="1:8" ht="36" customHeight="1">
      <c r="A35" s="94"/>
      <c r="B35" s="113"/>
      <c r="C35" s="107"/>
      <c r="D35" s="107"/>
      <c r="E35" s="107"/>
      <c r="F35" s="113"/>
      <c r="G35" s="107"/>
      <c r="H35" s="107"/>
    </row>
    <row r="36" spans="1:8" ht="18.75" customHeight="1">
      <c r="A36" s="94"/>
      <c r="B36" s="98"/>
      <c r="C36" s="105"/>
      <c r="D36" s="105"/>
      <c r="E36" s="105"/>
      <c r="F36" s="98"/>
      <c r="G36" s="107"/>
      <c r="H36" s="107"/>
    </row>
    <row r="37" spans="1:8" ht="18.75" customHeight="1">
      <c r="A37" s="94"/>
      <c r="B37" s="98"/>
      <c r="C37" s="105"/>
      <c r="D37" s="105"/>
      <c r="E37" s="105"/>
      <c r="F37" s="98"/>
      <c r="G37" s="107"/>
      <c r="H37" s="107"/>
    </row>
    <row r="38" spans="1:8" ht="16.5" customHeight="1">
      <c r="A38" s="94"/>
      <c r="B38" s="114"/>
      <c r="C38" s="89"/>
      <c r="D38" s="89"/>
      <c r="E38" s="89"/>
      <c r="F38" s="98"/>
      <c r="G38" s="107"/>
      <c r="H38" s="107"/>
    </row>
    <row r="39" spans="1:8" ht="15.75">
      <c r="A39" s="94"/>
      <c r="B39" s="102"/>
      <c r="C39" s="101"/>
      <c r="D39" s="101"/>
      <c r="E39" s="101"/>
      <c r="F39" s="102"/>
      <c r="G39" s="103"/>
      <c r="H39" s="103"/>
    </row>
    <row r="40" spans="1:8" ht="15.75">
      <c r="A40" s="94"/>
      <c r="B40" s="115"/>
      <c r="C40" s="101"/>
      <c r="D40" s="101"/>
      <c r="E40" s="101"/>
      <c r="F40" s="115"/>
      <c r="G40" s="103"/>
      <c r="H40" s="103"/>
    </row>
    <row r="49" spans="1:8" ht="15.75">
      <c r="A49" s="116"/>
      <c r="B49" s="116"/>
      <c r="C49" s="116"/>
      <c r="D49" s="116"/>
      <c r="E49" s="116"/>
      <c r="F49" s="116"/>
      <c r="G49" s="249"/>
      <c r="H49" s="249"/>
    </row>
    <row r="50" spans="1:8" ht="15.75">
      <c r="A50" s="117"/>
      <c r="B50" s="116"/>
      <c r="C50" s="118"/>
      <c r="D50" s="118"/>
      <c r="E50" s="118"/>
      <c r="F50" s="116"/>
      <c r="G50" s="250"/>
      <c r="H50" s="250"/>
    </row>
    <row r="51" spans="1:8" ht="15">
      <c r="A51" s="104"/>
      <c r="B51" s="104"/>
      <c r="C51" s="105"/>
      <c r="D51" s="105"/>
      <c r="E51" s="105"/>
      <c r="F51" s="98"/>
      <c r="G51" s="119"/>
      <c r="H51" s="119"/>
    </row>
    <row r="52" spans="1:8" ht="15">
      <c r="A52" s="104"/>
      <c r="B52" s="114"/>
      <c r="C52" s="105"/>
      <c r="D52" s="105"/>
      <c r="E52" s="105"/>
      <c r="F52" s="120"/>
      <c r="G52" s="107"/>
      <c r="H52" s="107"/>
    </row>
    <row r="53" spans="1:8" ht="15">
      <c r="A53" s="104"/>
      <c r="B53" s="114"/>
      <c r="C53" s="105"/>
      <c r="D53" s="105"/>
      <c r="E53" s="105"/>
      <c r="F53" s="120"/>
      <c r="G53" s="107"/>
      <c r="H53" s="107"/>
    </row>
    <row r="54" spans="1:8" ht="15">
      <c r="A54" s="104"/>
      <c r="B54" s="114"/>
      <c r="C54" s="105"/>
      <c r="D54" s="105"/>
      <c r="E54" s="105"/>
      <c r="F54" s="120"/>
      <c r="G54" s="107"/>
      <c r="H54" s="107"/>
    </row>
    <row r="55" spans="1:8" ht="15">
      <c r="A55" s="104"/>
      <c r="B55" s="114"/>
      <c r="C55" s="105"/>
      <c r="D55" s="105"/>
      <c r="E55" s="105"/>
      <c r="F55" s="98"/>
      <c r="G55" s="107"/>
      <c r="H55" s="107"/>
    </row>
    <row r="56" spans="1:8" ht="15">
      <c r="A56" s="104"/>
      <c r="B56" s="121"/>
      <c r="C56" s="105"/>
      <c r="D56" s="105"/>
      <c r="E56" s="105"/>
      <c r="F56" s="122"/>
      <c r="G56" s="107"/>
      <c r="H56" s="107"/>
    </row>
    <row r="57" spans="1:8" ht="15.75">
      <c r="A57" s="104"/>
      <c r="B57" s="100"/>
      <c r="C57" s="101"/>
      <c r="D57" s="101"/>
      <c r="E57" s="101"/>
      <c r="F57" s="102"/>
      <c r="G57" s="103"/>
      <c r="H57" s="103"/>
    </row>
    <row r="58" spans="1:8" ht="15">
      <c r="A58" s="104"/>
      <c r="B58" s="104"/>
      <c r="C58" s="105"/>
      <c r="D58" s="105"/>
      <c r="E58" s="105"/>
      <c r="F58" s="106"/>
      <c r="G58" s="107"/>
      <c r="H58" s="107"/>
    </row>
    <row r="59" spans="1:8" ht="15">
      <c r="A59" s="104"/>
      <c r="B59" s="108"/>
      <c r="C59" s="105"/>
      <c r="D59" s="105"/>
      <c r="E59" s="105"/>
      <c r="F59" s="109"/>
      <c r="G59" s="107"/>
      <c r="H59" s="107"/>
    </row>
    <row r="60" spans="1:8" ht="15">
      <c r="A60" s="104"/>
      <c r="B60" s="98"/>
      <c r="C60" s="105"/>
      <c r="D60" s="105"/>
      <c r="E60" s="105"/>
      <c r="F60" s="109"/>
      <c r="G60" s="107"/>
      <c r="H60" s="107"/>
    </row>
    <row r="61" spans="1:8" ht="15">
      <c r="A61" s="104"/>
      <c r="B61" s="110"/>
      <c r="C61" s="107"/>
      <c r="D61" s="107"/>
      <c r="E61" s="107"/>
      <c r="F61" s="110"/>
      <c r="G61" s="107"/>
      <c r="H61" s="107"/>
    </row>
    <row r="62" spans="1:8" ht="15">
      <c r="A62" s="104"/>
      <c r="B62" s="111"/>
      <c r="C62" s="107"/>
      <c r="D62" s="107"/>
      <c r="E62" s="107"/>
      <c r="F62" s="111"/>
      <c r="G62" s="107"/>
      <c r="H62" s="107"/>
    </row>
    <row r="63" spans="1:8" ht="15.75">
      <c r="A63" s="104"/>
      <c r="B63" s="102"/>
      <c r="C63" s="101"/>
      <c r="D63" s="101"/>
      <c r="E63" s="101"/>
      <c r="F63" s="102"/>
      <c r="G63" s="103"/>
      <c r="H63" s="103"/>
    </row>
    <row r="64" spans="1:8" ht="15.75">
      <c r="A64" s="104"/>
      <c r="B64" s="115"/>
      <c r="C64" s="101"/>
      <c r="D64" s="101"/>
      <c r="E64" s="101"/>
      <c r="F64" s="115"/>
      <c r="G64" s="103"/>
      <c r="H64" s="103"/>
    </row>
  </sheetData>
  <mergeCells count="3">
    <mergeCell ref="A1:G1"/>
    <mergeCell ref="A3:G3"/>
    <mergeCell ref="A4:G4"/>
  </mergeCells>
  <pageMargins left="0.55118110236220474" right="0.55118110236220474" top="1.0236220472440944" bottom="0.98425196850393704" header="0.51181102362204722" footer="0.51181102362204722"/>
  <pageSetup paperSize="9" scale="90" fitToHeight="0" orientation="landscape" r:id="rId1"/>
  <headerFooter alignWithMargins="0">
    <oddHeader xml:space="preserve">&amp;C&amp;8
&amp;"Arial CE,Félkövér"&amp;10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K21"/>
  <sheetViews>
    <sheetView topLeftCell="A10" zoomScaleNormal="100" workbookViewId="0">
      <selection activeCell="B4" sqref="B4"/>
    </sheetView>
  </sheetViews>
  <sheetFormatPr defaultRowHeight="12.75"/>
  <cols>
    <col min="1" max="1" width="5" style="4" customWidth="1"/>
    <col min="2" max="2" width="45.85546875" style="4" customWidth="1"/>
    <col min="3" max="10" width="13.7109375" style="4" customWidth="1"/>
    <col min="11" max="11" width="13.28515625" style="4" customWidth="1"/>
    <col min="12" max="16384" width="9.140625" style="4"/>
  </cols>
  <sheetData>
    <row r="1" spans="1:11" ht="15.75">
      <c r="A1" s="321" t="s">
        <v>477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18" customFormat="1" ht="48.75" customHeight="1">
      <c r="A3" s="1068" t="s">
        <v>451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</row>
    <row r="4" spans="1:11" ht="15.75">
      <c r="A4" s="137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spans="1:11" ht="16.5" thickBot="1">
      <c r="A5" s="137"/>
      <c r="B5" s="321"/>
      <c r="C5" s="321"/>
      <c r="D5" s="321"/>
      <c r="E5" s="321"/>
      <c r="F5" s="321"/>
      <c r="G5" s="321"/>
      <c r="H5" s="321"/>
      <c r="I5" s="321"/>
      <c r="J5" s="321"/>
      <c r="K5" s="433" t="s">
        <v>200</v>
      </c>
    </row>
    <row r="6" spans="1:11" ht="16.5" thickBot="1">
      <c r="A6" s="595"/>
      <c r="B6" s="596" t="s">
        <v>406</v>
      </c>
      <c r="C6" s="596" t="s">
        <v>206</v>
      </c>
      <c r="D6" s="596" t="s">
        <v>207</v>
      </c>
      <c r="E6" s="597" t="s">
        <v>208</v>
      </c>
      <c r="F6" s="596" t="s">
        <v>209</v>
      </c>
      <c r="G6" s="597" t="s">
        <v>210</v>
      </c>
      <c r="H6" s="596" t="s">
        <v>211</v>
      </c>
      <c r="I6" s="597" t="s">
        <v>212</v>
      </c>
      <c r="J6" s="596" t="s">
        <v>213</v>
      </c>
      <c r="K6" s="598" t="s">
        <v>214</v>
      </c>
    </row>
    <row r="7" spans="1:11" s="18" customFormat="1" ht="27.75" customHeight="1" thickBot="1">
      <c r="A7" s="1066">
        <v>1</v>
      </c>
      <c r="B7" s="1069" t="s">
        <v>80</v>
      </c>
      <c r="C7" s="1071" t="s">
        <v>83</v>
      </c>
      <c r="D7" s="1072"/>
      <c r="E7" s="1073"/>
      <c r="F7" s="1074" t="s">
        <v>82</v>
      </c>
      <c r="G7" s="1075"/>
      <c r="H7" s="1075"/>
      <c r="I7" s="1075" t="s">
        <v>81</v>
      </c>
      <c r="J7" s="1076"/>
      <c r="K7" s="1069" t="s">
        <v>2</v>
      </c>
    </row>
    <row r="8" spans="1:11" s="18" customFormat="1" ht="26.25" customHeight="1" thickBot="1">
      <c r="A8" s="1067"/>
      <c r="B8" s="1070"/>
      <c r="C8" s="564" t="s">
        <v>78</v>
      </c>
      <c r="D8" s="564" t="s">
        <v>79</v>
      </c>
      <c r="E8" s="564" t="s">
        <v>405</v>
      </c>
      <c r="F8" s="564" t="s">
        <v>78</v>
      </c>
      <c r="G8" s="564" t="s">
        <v>79</v>
      </c>
      <c r="H8" s="565" t="s">
        <v>405</v>
      </c>
      <c r="I8" s="564" t="s">
        <v>78</v>
      </c>
      <c r="J8" s="564" t="s">
        <v>405</v>
      </c>
      <c r="K8" s="1077"/>
    </row>
    <row r="9" spans="1:11" ht="45" customHeight="1">
      <c r="A9" s="599">
        <v>2</v>
      </c>
      <c r="B9" s="566" t="s">
        <v>77</v>
      </c>
      <c r="C9" s="567">
        <v>0</v>
      </c>
      <c r="D9" s="568">
        <v>0</v>
      </c>
      <c r="E9" s="569">
        <v>0</v>
      </c>
      <c r="F9" s="570">
        <v>0</v>
      </c>
      <c r="G9" s="571">
        <v>0</v>
      </c>
      <c r="H9" s="572">
        <v>0</v>
      </c>
      <c r="I9" s="573">
        <v>0</v>
      </c>
      <c r="J9" s="574">
        <v>0</v>
      </c>
      <c r="K9" s="575">
        <f>SUM(J9)</f>
        <v>0</v>
      </c>
    </row>
    <row r="10" spans="1:11" ht="45" customHeight="1">
      <c r="A10" s="600">
        <v>3</v>
      </c>
      <c r="B10" s="576" t="s">
        <v>76</v>
      </c>
      <c r="C10" s="487">
        <v>0</v>
      </c>
      <c r="D10" s="577">
        <v>0</v>
      </c>
      <c r="E10" s="578">
        <v>0</v>
      </c>
      <c r="F10" s="579">
        <v>0</v>
      </c>
      <c r="G10" s="577">
        <v>0</v>
      </c>
      <c r="H10" s="580">
        <v>0</v>
      </c>
      <c r="I10" s="487">
        <v>0</v>
      </c>
      <c r="J10" s="578">
        <v>0</v>
      </c>
      <c r="K10" s="581">
        <f>SUM(J10)</f>
        <v>0</v>
      </c>
    </row>
    <row r="11" spans="1:11" s="18" customFormat="1" ht="45" customHeight="1">
      <c r="A11" s="600">
        <v>4</v>
      </c>
      <c r="B11" s="576" t="s">
        <v>75</v>
      </c>
      <c r="C11" s="582" t="s">
        <v>407</v>
      </c>
      <c r="D11" s="583">
        <v>100</v>
      </c>
      <c r="E11" s="584">
        <v>620000</v>
      </c>
      <c r="F11" s="585">
        <v>0</v>
      </c>
      <c r="G11" s="586">
        <v>0</v>
      </c>
      <c r="H11" s="587">
        <v>0</v>
      </c>
      <c r="I11" s="484">
        <v>0</v>
      </c>
      <c r="J11" s="479">
        <v>0</v>
      </c>
      <c r="K11" s="480">
        <v>620000</v>
      </c>
    </row>
    <row r="12" spans="1:11" ht="45" customHeight="1">
      <c r="A12" s="600">
        <v>5</v>
      </c>
      <c r="B12" s="576" t="s">
        <v>74</v>
      </c>
      <c r="C12" s="487">
        <v>0</v>
      </c>
      <c r="D12" s="577">
        <v>0</v>
      </c>
      <c r="E12" s="578">
        <v>0</v>
      </c>
      <c r="F12" s="579">
        <v>0</v>
      </c>
      <c r="G12" s="577">
        <v>0</v>
      </c>
      <c r="H12" s="580">
        <v>0</v>
      </c>
      <c r="I12" s="487">
        <v>0</v>
      </c>
      <c r="J12" s="578">
        <v>0</v>
      </c>
      <c r="K12" s="581">
        <v>0</v>
      </c>
    </row>
    <row r="13" spans="1:11" ht="45" customHeight="1" thickBot="1">
      <c r="A13" s="601">
        <v>6</v>
      </c>
      <c r="B13" s="588" t="s">
        <v>73</v>
      </c>
      <c r="C13" s="589">
        <v>0</v>
      </c>
      <c r="D13" s="590">
        <v>0</v>
      </c>
      <c r="E13" s="591">
        <v>0</v>
      </c>
      <c r="F13" s="592">
        <v>0</v>
      </c>
      <c r="G13" s="590">
        <v>0</v>
      </c>
      <c r="H13" s="593">
        <v>0</v>
      </c>
      <c r="I13" s="589">
        <v>0</v>
      </c>
      <c r="J13" s="591">
        <v>0</v>
      </c>
      <c r="K13" s="594">
        <v>0</v>
      </c>
    </row>
    <row r="14" spans="1:11" ht="15.75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</row>
    <row r="15" spans="1:11" ht="15.75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</row>
    <row r="16" spans="1:11" ht="15.75">
      <c r="A16" s="137"/>
      <c r="B16" s="137"/>
      <c r="C16" s="227"/>
      <c r="D16" s="137"/>
      <c r="E16" s="137"/>
      <c r="F16" s="137"/>
      <c r="G16" s="137"/>
      <c r="H16" s="137"/>
      <c r="I16" s="137"/>
      <c r="J16" s="137"/>
      <c r="K16" s="137"/>
    </row>
    <row r="17" spans="1:11" ht="15.7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1:11" ht="15.7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spans="1:11" ht="15.75">
      <c r="A19" s="137"/>
      <c r="B19" s="137"/>
      <c r="C19" s="137"/>
      <c r="D19" s="137" t="s">
        <v>97</v>
      </c>
      <c r="E19" s="137"/>
      <c r="F19" s="137"/>
      <c r="G19" s="137"/>
      <c r="H19" s="137"/>
      <c r="I19" s="137"/>
      <c r="J19" s="137"/>
      <c r="K19" s="137"/>
    </row>
    <row r="20" spans="1:11" ht="15.7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</row>
    <row r="21" spans="1:11" ht="15.7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</sheetData>
  <mergeCells count="7">
    <mergeCell ref="A7:A8"/>
    <mergeCell ref="A3:K3"/>
    <mergeCell ref="B7:B8"/>
    <mergeCell ref="C7:E7"/>
    <mergeCell ref="F7:H7"/>
    <mergeCell ref="I7:J7"/>
    <mergeCell ref="K7:K8"/>
  </mergeCells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zoomScale="85" zoomScaleNormal="85" workbookViewId="0">
      <selection activeCell="C10" sqref="C10"/>
    </sheetView>
  </sheetViews>
  <sheetFormatPr defaultRowHeight="15.75"/>
  <cols>
    <col min="1" max="1" width="5.42578125" style="603" customWidth="1"/>
    <col min="2" max="2" width="38.85546875" style="603" customWidth="1"/>
    <col min="3" max="6" width="18.42578125" style="603" bestFit="1" customWidth="1"/>
    <col min="7" max="7" width="19.85546875" style="603" bestFit="1" customWidth="1"/>
    <col min="8" max="8" width="16.85546875" style="603" bestFit="1" customWidth="1"/>
    <col min="9" max="9" width="12.85546875" style="603" bestFit="1" customWidth="1"/>
    <col min="10" max="16384" width="9.140625" style="603"/>
  </cols>
  <sheetData>
    <row r="1" spans="1:14" ht="18" customHeight="1">
      <c r="A1" s="1085" t="s">
        <v>478</v>
      </c>
      <c r="B1" s="1085"/>
      <c r="C1" s="1085"/>
      <c r="D1" s="1085"/>
      <c r="E1" s="1085"/>
      <c r="F1" s="1085"/>
      <c r="G1" s="1085"/>
      <c r="H1" s="602"/>
      <c r="I1" s="602"/>
      <c r="J1" s="602"/>
      <c r="K1" s="602"/>
      <c r="L1" s="602"/>
      <c r="M1" s="602"/>
      <c r="N1" s="602"/>
    </row>
    <row r="2" spans="1:14" ht="18" customHeight="1">
      <c r="A2" s="604"/>
      <c r="B2" s="604"/>
      <c r="C2" s="604"/>
      <c r="D2" s="604"/>
      <c r="E2" s="604"/>
      <c r="F2" s="604"/>
      <c r="G2" s="604"/>
      <c r="H2" s="602"/>
      <c r="I2" s="602"/>
      <c r="J2" s="602"/>
      <c r="K2" s="602"/>
      <c r="L2" s="602"/>
      <c r="M2" s="602"/>
      <c r="N2" s="602"/>
    </row>
    <row r="3" spans="1:14" ht="42" customHeight="1">
      <c r="A3" s="1086" t="s">
        <v>62</v>
      </c>
      <c r="B3" s="1086"/>
      <c r="C3" s="1086"/>
      <c r="D3" s="1086"/>
      <c r="E3" s="1086"/>
      <c r="F3" s="1086"/>
      <c r="G3" s="1086"/>
    </row>
    <row r="4" spans="1:14" ht="18" customHeight="1">
      <c r="A4" s="656"/>
      <c r="B4" s="656"/>
      <c r="C4" s="656"/>
      <c r="D4" s="656"/>
      <c r="E4" s="656"/>
      <c r="F4" s="656"/>
      <c r="G4" s="656"/>
    </row>
    <row r="5" spans="1:14" ht="16.5" thickBot="1">
      <c r="G5" s="657" t="s">
        <v>200</v>
      </c>
    </row>
    <row r="6" spans="1:14" ht="16.5" thickBot="1">
      <c r="A6" s="605"/>
      <c r="B6" s="658" t="s">
        <v>205</v>
      </c>
      <c r="C6" s="659" t="s">
        <v>206</v>
      </c>
      <c r="D6" s="658" t="s">
        <v>207</v>
      </c>
      <c r="E6" s="659" t="s">
        <v>208</v>
      </c>
      <c r="F6" s="658" t="s">
        <v>209</v>
      </c>
      <c r="G6" s="660" t="s">
        <v>210</v>
      </c>
    </row>
    <row r="7" spans="1:14" ht="44.25" customHeight="1" thickBot="1">
      <c r="A7" s="1087">
        <v>1</v>
      </c>
      <c r="B7" s="1078" t="s">
        <v>45</v>
      </c>
      <c r="C7" s="1080" t="s">
        <v>47</v>
      </c>
      <c r="D7" s="1081"/>
      <c r="E7" s="1081"/>
      <c r="F7" s="1082"/>
      <c r="G7" s="1083" t="s">
        <v>408</v>
      </c>
    </row>
    <row r="8" spans="1:14" ht="16.5" thickBot="1">
      <c r="A8" s="1088"/>
      <c r="B8" s="1079"/>
      <c r="C8" s="606">
        <v>2018</v>
      </c>
      <c r="D8" s="606">
        <v>2019</v>
      </c>
      <c r="E8" s="606">
        <v>2020</v>
      </c>
      <c r="F8" s="606">
        <v>2021</v>
      </c>
      <c r="G8" s="1084"/>
    </row>
    <row r="9" spans="1:14" ht="16.5" thickBot="1">
      <c r="A9" s="661">
        <v>2</v>
      </c>
      <c r="B9" s="607" t="s">
        <v>48</v>
      </c>
      <c r="C9" s="608">
        <v>69505248</v>
      </c>
      <c r="D9" s="609">
        <f t="shared" ref="D9:F10" si="0">C9*1.01</f>
        <v>70200300.480000004</v>
      </c>
      <c r="E9" s="609">
        <f t="shared" si="0"/>
        <v>70902303.484800011</v>
      </c>
      <c r="F9" s="610">
        <f t="shared" si="0"/>
        <v>71611326.519648015</v>
      </c>
      <c r="G9" s="611">
        <f>+C9+D9+E9+F9</f>
        <v>282219178.48444808</v>
      </c>
    </row>
    <row r="10" spans="1:14">
      <c r="A10" s="662">
        <v>3</v>
      </c>
      <c r="B10" s="612" t="s">
        <v>454</v>
      </c>
      <c r="C10" s="613">
        <v>5006491</v>
      </c>
      <c r="D10" s="609">
        <f t="shared" si="0"/>
        <v>5056555.91</v>
      </c>
      <c r="E10" s="609">
        <f t="shared" si="0"/>
        <v>5107121.4691000003</v>
      </c>
      <c r="F10" s="610">
        <f t="shared" si="0"/>
        <v>5158192.6837910004</v>
      </c>
      <c r="G10" s="611">
        <f>+C10+D10+E10+F10</f>
        <v>20328361.062890999</v>
      </c>
    </row>
    <row r="11" spans="1:14">
      <c r="A11" s="663">
        <v>4</v>
      </c>
      <c r="B11" s="614" t="s">
        <v>49</v>
      </c>
      <c r="C11" s="615">
        <v>0</v>
      </c>
      <c r="D11" s="616">
        <f t="shared" ref="D11:F13" si="1">C11*1.039</f>
        <v>0</v>
      </c>
      <c r="E11" s="616">
        <f t="shared" si="1"/>
        <v>0</v>
      </c>
      <c r="F11" s="617">
        <f t="shared" si="1"/>
        <v>0</v>
      </c>
      <c r="G11" s="618">
        <f t="shared" ref="G11:G36" si="2">+C11+D11+E11+F11</f>
        <v>0</v>
      </c>
    </row>
    <row r="12" spans="1:14">
      <c r="A12" s="662">
        <v>5</v>
      </c>
      <c r="B12" s="614" t="s">
        <v>50</v>
      </c>
      <c r="C12" s="619">
        <v>101000</v>
      </c>
      <c r="D12" s="620">
        <f>+C12*1.01</f>
        <v>102010</v>
      </c>
      <c r="E12" s="620">
        <f>+D12*1.01</f>
        <v>103030.1</v>
      </c>
      <c r="F12" s="621">
        <f>+E12*1.01</f>
        <v>104060.40100000001</v>
      </c>
      <c r="G12" s="622">
        <f>SUM(C12:F12)</f>
        <v>410100.50099999999</v>
      </c>
      <c r="H12" s="623"/>
    </row>
    <row r="13" spans="1:14" ht="47.25">
      <c r="A13" s="663">
        <v>6</v>
      </c>
      <c r="B13" s="614" t="s">
        <v>51</v>
      </c>
      <c r="C13" s="615">
        <v>0</v>
      </c>
      <c r="D13" s="616">
        <f t="shared" si="1"/>
        <v>0</v>
      </c>
      <c r="E13" s="616">
        <f t="shared" si="1"/>
        <v>0</v>
      </c>
      <c r="F13" s="617">
        <f t="shared" si="1"/>
        <v>0</v>
      </c>
      <c r="G13" s="618">
        <f t="shared" si="2"/>
        <v>0</v>
      </c>
    </row>
    <row r="14" spans="1:14">
      <c r="A14" s="662">
        <v>7</v>
      </c>
      <c r="B14" s="614" t="s">
        <v>52</v>
      </c>
      <c r="C14" s="615">
        <v>0</v>
      </c>
      <c r="D14" s="616">
        <v>0</v>
      </c>
      <c r="E14" s="616">
        <v>0</v>
      </c>
      <c r="F14" s="617">
        <v>0</v>
      </c>
      <c r="G14" s="618">
        <f t="shared" si="2"/>
        <v>0</v>
      </c>
    </row>
    <row r="15" spans="1:14" ht="31.5">
      <c r="A15" s="663">
        <v>8</v>
      </c>
      <c r="B15" s="614" t="s">
        <v>53</v>
      </c>
      <c r="C15" s="624">
        <v>0</v>
      </c>
      <c r="D15" s="625">
        <v>0</v>
      </c>
      <c r="E15" s="625">
        <v>0</v>
      </c>
      <c r="F15" s="626">
        <v>0</v>
      </c>
      <c r="G15" s="627">
        <f t="shared" si="2"/>
        <v>0</v>
      </c>
    </row>
    <row r="16" spans="1:14" ht="32.25" thickBot="1">
      <c r="A16" s="662">
        <v>9</v>
      </c>
      <c r="B16" s="628" t="s">
        <v>54</v>
      </c>
      <c r="C16" s="629">
        <v>0</v>
      </c>
      <c r="D16" s="630">
        <v>0</v>
      </c>
      <c r="E16" s="630">
        <v>0</v>
      </c>
      <c r="F16" s="631">
        <v>0</v>
      </c>
      <c r="G16" s="632">
        <f t="shared" si="2"/>
        <v>0</v>
      </c>
    </row>
    <row r="17" spans="1:7" ht="16.5" thickBot="1">
      <c r="A17" s="663">
        <v>10</v>
      </c>
      <c r="B17" s="633" t="s">
        <v>409</v>
      </c>
      <c r="C17" s="634">
        <f>SUM(C9:C16)</f>
        <v>74612739</v>
      </c>
      <c r="D17" s="635">
        <f>SUM(D9:D16)</f>
        <v>75358866.390000001</v>
      </c>
      <c r="E17" s="635">
        <f>SUM(E9:E16)</f>
        <v>76112455.053900003</v>
      </c>
      <c r="F17" s="636">
        <f>SUM(F9:F16)</f>
        <v>76873579.604439005</v>
      </c>
      <c r="G17" s="637">
        <f t="shared" si="2"/>
        <v>302957640.04833901</v>
      </c>
    </row>
    <row r="18" spans="1:7" ht="16.5" thickBot="1">
      <c r="A18" s="662">
        <v>11</v>
      </c>
      <c r="B18" s="638" t="s">
        <v>410</v>
      </c>
      <c r="C18" s="639">
        <f>+C17*0.5</f>
        <v>37306369.5</v>
      </c>
      <c r="D18" s="640">
        <f>+D17*0.5</f>
        <v>37679433.195</v>
      </c>
      <c r="E18" s="640">
        <f>+E17*0.5</f>
        <v>38056227.526950002</v>
      </c>
      <c r="F18" s="641">
        <f>+F17*0.5</f>
        <v>38436789.802219503</v>
      </c>
      <c r="G18" s="637">
        <f t="shared" si="2"/>
        <v>151478820.0241695</v>
      </c>
    </row>
    <row r="19" spans="1:7" ht="54" customHeight="1" thickBot="1">
      <c r="A19" s="663">
        <v>12</v>
      </c>
      <c r="B19" s="633" t="s">
        <v>411</v>
      </c>
      <c r="C19" s="634">
        <f>SUM(C20:C26)</f>
        <v>0</v>
      </c>
      <c r="D19" s="635">
        <f>SUM(D20:D26)</f>
        <v>1624412</v>
      </c>
      <c r="E19" s="635">
        <f>SUM(E20:E26)</f>
        <v>6006428</v>
      </c>
      <c r="F19" s="636">
        <f>SUM(F20:F26)</f>
        <v>6006428</v>
      </c>
      <c r="G19" s="637">
        <f t="shared" si="2"/>
        <v>13637268</v>
      </c>
    </row>
    <row r="20" spans="1:7" ht="36" customHeight="1">
      <c r="A20" s="662">
        <v>13</v>
      </c>
      <c r="B20" s="612" t="s">
        <v>55</v>
      </c>
      <c r="C20" s="642">
        <v>0</v>
      </c>
      <c r="D20" s="643">
        <v>0</v>
      </c>
      <c r="E20" s="643">
        <v>0</v>
      </c>
      <c r="F20" s="644">
        <v>0</v>
      </c>
      <c r="G20" s="645">
        <f t="shared" si="2"/>
        <v>0</v>
      </c>
    </row>
    <row r="21" spans="1:7" ht="31.5">
      <c r="A21" s="663">
        <v>14</v>
      </c>
      <c r="B21" s="614" t="s">
        <v>56</v>
      </c>
      <c r="C21" s="624">
        <v>0</v>
      </c>
      <c r="D21" s="625">
        <v>0</v>
      </c>
      <c r="E21" s="625">
        <v>0</v>
      </c>
      <c r="F21" s="626">
        <v>0</v>
      </c>
      <c r="G21" s="627">
        <f t="shared" si="2"/>
        <v>0</v>
      </c>
    </row>
    <row r="22" spans="1:7" ht="34.5" customHeight="1">
      <c r="A22" s="662">
        <v>15</v>
      </c>
      <c r="B22" s="614" t="s">
        <v>57</v>
      </c>
      <c r="C22" s="624">
        <v>0</v>
      </c>
      <c r="D22" s="625">
        <v>0</v>
      </c>
      <c r="E22" s="625">
        <v>0</v>
      </c>
      <c r="F22" s="626">
        <v>0</v>
      </c>
      <c r="G22" s="627">
        <f t="shared" si="2"/>
        <v>0</v>
      </c>
    </row>
    <row r="23" spans="1:7">
      <c r="A23" s="663">
        <v>16</v>
      </c>
      <c r="B23" s="614" t="s">
        <v>58</v>
      </c>
      <c r="C23" s="624">
        <v>0</v>
      </c>
      <c r="D23" s="625">
        <v>0</v>
      </c>
      <c r="E23" s="625">
        <v>0</v>
      </c>
      <c r="F23" s="626">
        <v>0</v>
      </c>
      <c r="G23" s="627">
        <f t="shared" si="2"/>
        <v>0</v>
      </c>
    </row>
    <row r="24" spans="1:7">
      <c r="A24" s="662">
        <v>17</v>
      </c>
      <c r="B24" s="614" t="s">
        <v>59</v>
      </c>
      <c r="C24" s="624">
        <v>0</v>
      </c>
      <c r="D24" s="625">
        <v>0</v>
      </c>
      <c r="E24" s="625">
        <v>0</v>
      </c>
      <c r="F24" s="626">
        <v>0</v>
      </c>
      <c r="G24" s="627">
        <f t="shared" si="2"/>
        <v>0</v>
      </c>
    </row>
    <row r="25" spans="1:7">
      <c r="A25" s="663">
        <v>18</v>
      </c>
      <c r="B25" s="614" t="s">
        <v>60</v>
      </c>
      <c r="C25" s="624">
        <v>0</v>
      </c>
      <c r="D25" s="625">
        <v>1624412</v>
      </c>
      <c r="E25" s="625">
        <v>6006428</v>
      </c>
      <c r="F25" s="625">
        <v>6006428</v>
      </c>
      <c r="G25" s="627">
        <f t="shared" si="2"/>
        <v>13637268</v>
      </c>
    </row>
    <row r="26" spans="1:7" ht="38.25" customHeight="1" thickBot="1">
      <c r="A26" s="662">
        <v>19</v>
      </c>
      <c r="B26" s="628" t="s">
        <v>61</v>
      </c>
      <c r="C26" s="629">
        <v>0</v>
      </c>
      <c r="D26" s="630">
        <v>0</v>
      </c>
      <c r="E26" s="630">
        <v>0</v>
      </c>
      <c r="F26" s="631">
        <v>0</v>
      </c>
      <c r="G26" s="632">
        <f t="shared" si="2"/>
        <v>0</v>
      </c>
    </row>
    <row r="27" spans="1:7" ht="75.75" customHeight="1" thickBot="1">
      <c r="A27" s="663">
        <v>20</v>
      </c>
      <c r="B27" s="633" t="s">
        <v>412</v>
      </c>
      <c r="C27" s="634">
        <f>SUM(C28:C34)</f>
        <v>0</v>
      </c>
      <c r="D27" s="635">
        <f>SUM(D28:D34)</f>
        <v>0</v>
      </c>
      <c r="E27" s="635">
        <f>SUM(E28:E34)</f>
        <v>0</v>
      </c>
      <c r="F27" s="636">
        <f>SUM(F28:F34)</f>
        <v>0</v>
      </c>
      <c r="G27" s="637">
        <f t="shared" si="2"/>
        <v>0</v>
      </c>
    </row>
    <row r="28" spans="1:7" ht="31.5">
      <c r="A28" s="662">
        <v>21</v>
      </c>
      <c r="B28" s="612" t="s">
        <v>55</v>
      </c>
      <c r="C28" s="642">
        <v>0</v>
      </c>
      <c r="D28" s="643">
        <v>0</v>
      </c>
      <c r="E28" s="643">
        <v>0</v>
      </c>
      <c r="F28" s="644">
        <v>0</v>
      </c>
      <c r="G28" s="645">
        <f t="shared" si="2"/>
        <v>0</v>
      </c>
    </row>
    <row r="29" spans="1:7" ht="39" customHeight="1">
      <c r="A29" s="663">
        <v>22</v>
      </c>
      <c r="B29" s="614" t="s">
        <v>56</v>
      </c>
      <c r="C29" s="642">
        <v>0</v>
      </c>
      <c r="D29" s="643">
        <v>0</v>
      </c>
      <c r="E29" s="643">
        <v>0</v>
      </c>
      <c r="F29" s="644">
        <v>0</v>
      </c>
      <c r="G29" s="627">
        <f t="shared" si="2"/>
        <v>0</v>
      </c>
    </row>
    <row r="30" spans="1:7" ht="30.75" customHeight="1">
      <c r="A30" s="662">
        <v>23</v>
      </c>
      <c r="B30" s="614" t="s">
        <v>57</v>
      </c>
      <c r="C30" s="642">
        <v>0</v>
      </c>
      <c r="D30" s="643">
        <v>0</v>
      </c>
      <c r="E30" s="643">
        <v>0</v>
      </c>
      <c r="F30" s="644">
        <v>0</v>
      </c>
      <c r="G30" s="627">
        <f t="shared" si="2"/>
        <v>0</v>
      </c>
    </row>
    <row r="31" spans="1:7">
      <c r="A31" s="663">
        <v>24</v>
      </c>
      <c r="B31" s="614" t="s">
        <v>58</v>
      </c>
      <c r="C31" s="642">
        <v>0</v>
      </c>
      <c r="D31" s="643">
        <v>0</v>
      </c>
      <c r="E31" s="643">
        <v>0</v>
      </c>
      <c r="F31" s="644">
        <v>0</v>
      </c>
      <c r="G31" s="627">
        <f t="shared" si="2"/>
        <v>0</v>
      </c>
    </row>
    <row r="32" spans="1:7">
      <c r="A32" s="662">
        <v>25</v>
      </c>
      <c r="B32" s="614" t="s">
        <v>59</v>
      </c>
      <c r="C32" s="642">
        <v>0</v>
      </c>
      <c r="D32" s="643">
        <v>0</v>
      </c>
      <c r="E32" s="643">
        <v>0</v>
      </c>
      <c r="F32" s="644">
        <v>0</v>
      </c>
      <c r="G32" s="627">
        <f t="shared" si="2"/>
        <v>0</v>
      </c>
    </row>
    <row r="33" spans="1:7">
      <c r="A33" s="663">
        <v>26</v>
      </c>
      <c r="B33" s="614" t="s">
        <v>60</v>
      </c>
      <c r="C33" s="642">
        <v>0</v>
      </c>
      <c r="D33" s="643">
        <v>0</v>
      </c>
      <c r="E33" s="643">
        <v>0</v>
      </c>
      <c r="F33" s="644">
        <v>0</v>
      </c>
      <c r="G33" s="627">
        <f t="shared" si="2"/>
        <v>0</v>
      </c>
    </row>
    <row r="34" spans="1:7" ht="36.75" customHeight="1" thickBot="1">
      <c r="A34" s="662">
        <v>27</v>
      </c>
      <c r="B34" s="628" t="s">
        <v>61</v>
      </c>
      <c r="C34" s="642">
        <v>0</v>
      </c>
      <c r="D34" s="643">
        <v>0</v>
      </c>
      <c r="E34" s="643">
        <v>0</v>
      </c>
      <c r="F34" s="644">
        <v>0</v>
      </c>
      <c r="G34" s="632">
        <f t="shared" si="2"/>
        <v>0</v>
      </c>
    </row>
    <row r="35" spans="1:7" ht="39.75" customHeight="1" thickBot="1">
      <c r="A35" s="664">
        <v>28</v>
      </c>
      <c r="B35" s="646" t="s">
        <v>413</v>
      </c>
      <c r="C35" s="647">
        <f>+C19+C27</f>
        <v>0</v>
      </c>
      <c r="D35" s="648">
        <f>+D19+D27</f>
        <v>1624412</v>
      </c>
      <c r="E35" s="648">
        <f>+E19+E27</f>
        <v>6006428</v>
      </c>
      <c r="F35" s="649">
        <f>+F19+F27</f>
        <v>6006428</v>
      </c>
      <c r="G35" s="650">
        <f t="shared" si="2"/>
        <v>13637268</v>
      </c>
    </row>
    <row r="36" spans="1:7" ht="62.25" customHeight="1" thickBot="1">
      <c r="A36" s="665">
        <v>29</v>
      </c>
      <c r="B36" s="651" t="s">
        <v>414</v>
      </c>
      <c r="C36" s="652">
        <f>+C18-C35</f>
        <v>37306369.5</v>
      </c>
      <c r="D36" s="653">
        <f>+D18-D35</f>
        <v>36055021.195</v>
      </c>
      <c r="E36" s="653">
        <f>+E18-E35</f>
        <v>32049799.526950002</v>
      </c>
      <c r="F36" s="654">
        <f>+F18-F35</f>
        <v>32430361.802219503</v>
      </c>
      <c r="G36" s="655">
        <f t="shared" si="2"/>
        <v>137841552.0241695</v>
      </c>
    </row>
  </sheetData>
  <mergeCells count="6">
    <mergeCell ref="B7:B8"/>
    <mergeCell ref="C7:F7"/>
    <mergeCell ref="G7:G8"/>
    <mergeCell ref="A1:G1"/>
    <mergeCell ref="A3:G3"/>
    <mergeCell ref="A7:A8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U36"/>
  <sheetViews>
    <sheetView zoomScale="65" zoomScaleNormal="65" workbookViewId="0"/>
  </sheetViews>
  <sheetFormatPr defaultRowHeight="15"/>
  <cols>
    <col min="1" max="1" width="5.28515625" style="170" customWidth="1"/>
    <col min="2" max="2" width="7.42578125" style="170" customWidth="1"/>
    <col min="3" max="3" width="10" style="169" customWidth="1"/>
    <col min="4" max="4" width="42.7109375" style="169" customWidth="1"/>
    <col min="5" max="5" width="16.140625" style="169" customWidth="1"/>
    <col min="6" max="13" width="14.7109375" style="169" bestFit="1" customWidth="1"/>
    <col min="14" max="14" width="15.42578125" style="169" bestFit="1" customWidth="1"/>
    <col min="15" max="17" width="14.7109375" style="169" bestFit="1" customWidth="1"/>
    <col min="18" max="18" width="17.28515625" style="169" bestFit="1" customWidth="1"/>
    <col min="19" max="19" width="20.140625" style="169" customWidth="1"/>
    <col min="20" max="20" width="20" style="169" customWidth="1"/>
    <col min="21" max="21" width="14.85546875" style="169" bestFit="1" customWidth="1"/>
    <col min="22" max="16384" width="9.140625" style="169"/>
  </cols>
  <sheetData>
    <row r="1" spans="1:20" ht="15.75">
      <c r="A1" s="666" t="s">
        <v>521</v>
      </c>
      <c r="B1" s="666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20" ht="16.5" customHeight="1">
      <c r="A2" s="668"/>
      <c r="B2" s="668"/>
      <c r="C2" s="1097"/>
      <c r="D2" s="1097"/>
      <c r="E2" s="1097"/>
      <c r="F2" s="1097"/>
      <c r="G2" s="1097"/>
      <c r="H2" s="1097"/>
      <c r="I2" s="1097"/>
      <c r="J2" s="667"/>
      <c r="K2" s="667"/>
      <c r="L2" s="667"/>
      <c r="M2" s="667"/>
      <c r="N2" s="667"/>
      <c r="O2" s="667"/>
      <c r="P2" s="667"/>
      <c r="Q2" s="667"/>
      <c r="R2" s="667"/>
    </row>
    <row r="3" spans="1:20" ht="18.75">
      <c r="A3" s="1098" t="s">
        <v>420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  <c r="Q3" s="1098"/>
      <c r="R3" s="1098"/>
    </row>
    <row r="4" spans="1:20" ht="18" customHeight="1">
      <c r="A4" s="1099" t="s">
        <v>494</v>
      </c>
      <c r="B4" s="1099"/>
      <c r="C4" s="1099"/>
      <c r="D4" s="1099"/>
      <c r="E4" s="1099"/>
      <c r="F4" s="1099"/>
      <c r="G4" s="1099"/>
      <c r="H4" s="1099"/>
      <c r="I4" s="1099"/>
      <c r="J4" s="1099"/>
      <c r="K4" s="1099"/>
      <c r="L4" s="1099"/>
      <c r="M4" s="1099"/>
      <c r="N4" s="1099"/>
      <c r="O4" s="1099"/>
      <c r="P4" s="1099"/>
      <c r="Q4" s="1099"/>
      <c r="R4" s="1099"/>
    </row>
    <row r="5" spans="1:20" ht="18" customHeight="1">
      <c r="A5" s="669"/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</row>
    <row r="6" spans="1:20" ht="15.75" customHeight="1" thickBot="1">
      <c r="A6" s="668"/>
      <c r="B6" s="668"/>
      <c r="C6" s="670"/>
      <c r="D6" s="670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71" t="s">
        <v>200</v>
      </c>
    </row>
    <row r="7" spans="1:20" ht="15.75" customHeight="1" thickBot="1">
      <c r="A7" s="166"/>
      <c r="B7" s="166" t="s">
        <v>205</v>
      </c>
      <c r="C7" s="672" t="s">
        <v>206</v>
      </c>
      <c r="D7" s="672" t="s">
        <v>207</v>
      </c>
      <c r="E7" s="166" t="s">
        <v>208</v>
      </c>
      <c r="F7" s="673" t="s">
        <v>209</v>
      </c>
      <c r="G7" s="166" t="s">
        <v>210</v>
      </c>
      <c r="H7" s="673" t="s">
        <v>211</v>
      </c>
      <c r="I7" s="166" t="s">
        <v>212</v>
      </c>
      <c r="J7" s="673" t="s">
        <v>213</v>
      </c>
      <c r="K7" s="166" t="s">
        <v>214</v>
      </c>
      <c r="L7" s="673" t="s">
        <v>364</v>
      </c>
      <c r="M7" s="166" t="s">
        <v>416</v>
      </c>
      <c r="N7" s="673" t="s">
        <v>417</v>
      </c>
      <c r="O7" s="166" t="s">
        <v>418</v>
      </c>
      <c r="P7" s="673" t="s">
        <v>419</v>
      </c>
      <c r="Q7" s="166" t="s">
        <v>425</v>
      </c>
      <c r="R7" s="674" t="s">
        <v>426</v>
      </c>
    </row>
    <row r="8" spans="1:20" s="171" customFormat="1" ht="32.25" thickBot="1">
      <c r="A8" s="166">
        <v>1</v>
      </c>
      <c r="B8" s="675"/>
      <c r="C8" s="1092" t="s">
        <v>427</v>
      </c>
      <c r="D8" s="1093"/>
      <c r="E8" s="273" t="s">
        <v>512</v>
      </c>
      <c r="F8" s="165" t="s">
        <v>42</v>
      </c>
      <c r="G8" s="165" t="s">
        <v>41</v>
      </c>
      <c r="H8" s="676" t="s">
        <v>40</v>
      </c>
      <c r="I8" s="165" t="s">
        <v>39</v>
      </c>
      <c r="J8" s="676" t="s">
        <v>38</v>
      </c>
      <c r="K8" s="165" t="s">
        <v>37</v>
      </c>
      <c r="L8" s="676" t="s">
        <v>36</v>
      </c>
      <c r="M8" s="165" t="s">
        <v>35</v>
      </c>
      <c r="N8" s="676" t="s">
        <v>34</v>
      </c>
      <c r="O8" s="165" t="s">
        <v>33</v>
      </c>
      <c r="P8" s="676" t="s">
        <v>424</v>
      </c>
      <c r="Q8" s="165" t="s">
        <v>32</v>
      </c>
      <c r="R8" s="677" t="s">
        <v>15</v>
      </c>
    </row>
    <row r="9" spans="1:20" s="171" customFormat="1" ht="30" customHeight="1">
      <c r="A9" s="678">
        <v>2</v>
      </c>
      <c r="B9" s="679" t="s">
        <v>422</v>
      </c>
      <c r="C9" s="680"/>
      <c r="D9" s="680"/>
      <c r="E9" s="681"/>
      <c r="F9" s="682"/>
      <c r="G9" s="682"/>
      <c r="H9" s="682"/>
      <c r="I9" s="682"/>
      <c r="J9" s="682"/>
      <c r="K9" s="682"/>
      <c r="L9" s="682"/>
      <c r="M9" s="682"/>
      <c r="N9" s="682"/>
      <c r="O9" s="682"/>
      <c r="P9" s="682"/>
      <c r="Q9" s="682"/>
      <c r="R9" s="682"/>
    </row>
    <row r="10" spans="1:20" s="173" customFormat="1" ht="30" customHeight="1">
      <c r="A10" s="683">
        <v>3</v>
      </c>
      <c r="B10" s="684"/>
      <c r="C10" s="679" t="s">
        <v>100</v>
      </c>
      <c r="D10" s="679"/>
      <c r="E10" s="685"/>
      <c r="F10" s="682"/>
      <c r="G10" s="682"/>
      <c r="H10" s="682"/>
      <c r="I10" s="682"/>
      <c r="J10" s="682"/>
      <c r="K10" s="682"/>
      <c r="L10" s="682"/>
      <c r="M10" s="682"/>
      <c r="N10" s="682"/>
      <c r="O10" s="682"/>
      <c r="P10" s="682"/>
      <c r="Q10" s="682"/>
      <c r="R10" s="682"/>
    </row>
    <row r="11" spans="1:20" s="173" customFormat="1" ht="30" customHeight="1">
      <c r="A11" s="683">
        <v>4</v>
      </c>
      <c r="B11" s="686"/>
      <c r="C11" s="687"/>
      <c r="D11" s="687" t="s">
        <v>421</v>
      </c>
      <c r="E11" s="688">
        <f>bevételek3!I9</f>
        <v>695134579</v>
      </c>
      <c r="F11" s="689">
        <f>+E11*0.04+33000955</f>
        <v>60806338.159999996</v>
      </c>
      <c r="G11" s="689">
        <f>+E11*0.08</f>
        <v>55610766.32</v>
      </c>
      <c r="H11" s="689">
        <f>(E11-F11-G11)/10+598145661-543648141</f>
        <v>112369267.45200002</v>
      </c>
      <c r="I11" s="689">
        <f>43281443</f>
        <v>43281443</v>
      </c>
      <c r="J11" s="689">
        <f>43281443+72700000-20173695</f>
        <v>95807748</v>
      </c>
      <c r="K11" s="689">
        <f>43281443+24288918</f>
        <v>67570361</v>
      </c>
      <c r="L11" s="689">
        <v>43281443</v>
      </c>
      <c r="M11" s="689">
        <v>43281443</v>
      </c>
      <c r="N11" s="689">
        <v>43281443</v>
      </c>
      <c r="O11" s="689">
        <v>43281443</v>
      </c>
      <c r="P11" s="689">
        <v>43281443</v>
      </c>
      <c r="Q11" s="689">
        <v>43281440</v>
      </c>
      <c r="R11" s="688">
        <f>SUM(F11:Q11)</f>
        <v>695134578.93200004</v>
      </c>
      <c r="S11" s="985"/>
      <c r="T11" s="985"/>
    </row>
    <row r="12" spans="1:20" s="173" customFormat="1" ht="30" customHeight="1">
      <c r="A12" s="683">
        <v>5</v>
      </c>
      <c r="B12" s="686"/>
      <c r="C12" s="687"/>
      <c r="D12" s="690" t="s">
        <v>382</v>
      </c>
      <c r="E12" s="688"/>
      <c r="F12" s="689"/>
      <c r="G12" s="689"/>
      <c r="H12" s="689"/>
      <c r="I12" s="689"/>
      <c r="J12" s="689"/>
      <c r="K12" s="689"/>
      <c r="L12" s="689"/>
      <c r="M12" s="689"/>
      <c r="N12" s="689"/>
      <c r="O12" s="689"/>
      <c r="P12" s="689"/>
      <c r="Q12" s="689"/>
      <c r="R12" s="688">
        <f>SUM(F12:Q12)</f>
        <v>0</v>
      </c>
      <c r="T12" s="985"/>
    </row>
    <row r="13" spans="1:20" s="173" customFormat="1" ht="30" customHeight="1">
      <c r="A13" s="683">
        <v>6</v>
      </c>
      <c r="B13" s="686"/>
      <c r="C13" s="687"/>
      <c r="D13" s="687" t="s">
        <v>230</v>
      </c>
      <c r="E13" s="688">
        <f>bevételek3!I16</f>
        <v>74612739</v>
      </c>
      <c r="F13" s="689">
        <v>9337513</v>
      </c>
      <c r="G13" s="689">
        <v>146426</v>
      </c>
      <c r="H13" s="689">
        <v>27822431</v>
      </c>
      <c r="I13" s="689"/>
      <c r="J13" s="689"/>
      <c r="K13" s="689"/>
      <c r="L13" s="689"/>
      <c r="M13" s="689"/>
      <c r="N13" s="689">
        <f>+E13/2-1</f>
        <v>37306368.5</v>
      </c>
      <c r="O13" s="689"/>
      <c r="P13" s="689"/>
      <c r="Q13" s="689"/>
      <c r="R13" s="688">
        <f t="shared" ref="R13:R31" si="0">SUM(F13:Q13)</f>
        <v>74612738.5</v>
      </c>
      <c r="S13" s="985"/>
      <c r="T13" s="985"/>
    </row>
    <row r="14" spans="1:20" s="173" customFormat="1" ht="30" customHeight="1">
      <c r="A14" s="683">
        <v>7</v>
      </c>
      <c r="B14" s="686"/>
      <c r="C14" s="687"/>
      <c r="D14" s="687" t="s">
        <v>100</v>
      </c>
      <c r="E14" s="688">
        <f>bevételek3!I128</f>
        <v>49652660.600000001</v>
      </c>
      <c r="F14" s="689">
        <f>+E14/12</f>
        <v>4137721.7166666668</v>
      </c>
      <c r="G14" s="689">
        <f>+E14/12</f>
        <v>4137721.7166666668</v>
      </c>
      <c r="H14" s="689">
        <v>3074583.3333333335</v>
      </c>
      <c r="I14" s="689">
        <f>3074583.33333333+35439237-36652373</f>
        <v>1861447.3333333284</v>
      </c>
      <c r="J14" s="689">
        <v>3074583.3333333335</v>
      </c>
      <c r="K14" s="689">
        <f>3074583.33333333+39173502-27328982</f>
        <v>14919103.333333328</v>
      </c>
      <c r="L14" s="689">
        <v>3074583.3333333335</v>
      </c>
      <c r="M14" s="689">
        <v>3074583.3333333335</v>
      </c>
      <c r="N14" s="689">
        <v>3074583.3333333335</v>
      </c>
      <c r="O14" s="689">
        <v>3074583.3333333335</v>
      </c>
      <c r="P14" s="689">
        <v>3074583.3333333335</v>
      </c>
      <c r="Q14" s="689">
        <v>3074583.3333333335</v>
      </c>
      <c r="R14" s="688">
        <f t="shared" si="0"/>
        <v>49652660.766666673</v>
      </c>
      <c r="S14" s="985"/>
      <c r="T14" s="985"/>
    </row>
    <row r="15" spans="1:20" s="173" customFormat="1" ht="30" customHeight="1">
      <c r="A15" s="683">
        <v>8</v>
      </c>
      <c r="B15" s="686"/>
      <c r="C15" s="687"/>
      <c r="D15" s="691" t="s">
        <v>245</v>
      </c>
      <c r="E15" s="688">
        <f>bevételek3!I129</f>
        <v>7625612</v>
      </c>
      <c r="F15" s="689">
        <f>$E$15/12</f>
        <v>635467.66666666663</v>
      </c>
      <c r="G15" s="689">
        <f t="shared" ref="G15:Q15" si="1">$E$15/12</f>
        <v>635467.66666666663</v>
      </c>
      <c r="H15" s="689">
        <f t="shared" si="1"/>
        <v>635467.66666666663</v>
      </c>
      <c r="I15" s="689">
        <f t="shared" si="1"/>
        <v>635467.66666666663</v>
      </c>
      <c r="J15" s="689">
        <f t="shared" si="1"/>
        <v>635467.66666666663</v>
      </c>
      <c r="K15" s="689">
        <f t="shared" si="1"/>
        <v>635467.66666666663</v>
      </c>
      <c r="L15" s="689">
        <f t="shared" si="1"/>
        <v>635467.66666666663</v>
      </c>
      <c r="M15" s="689">
        <f t="shared" si="1"/>
        <v>635467.66666666663</v>
      </c>
      <c r="N15" s="689">
        <f t="shared" si="1"/>
        <v>635467.66666666663</v>
      </c>
      <c r="O15" s="689">
        <f t="shared" si="1"/>
        <v>635467.66666666663</v>
      </c>
      <c r="P15" s="689">
        <f t="shared" si="1"/>
        <v>635467.66666666663</v>
      </c>
      <c r="Q15" s="689">
        <f t="shared" si="1"/>
        <v>635467.66666666663</v>
      </c>
      <c r="R15" s="688">
        <f>SUM(F15:Q15)</f>
        <v>7625612.0000000009</v>
      </c>
      <c r="S15" s="985"/>
      <c r="T15" s="985"/>
    </row>
    <row r="16" spans="1:20" s="173" customFormat="1" ht="30" customHeight="1">
      <c r="A16" s="683">
        <v>9</v>
      </c>
      <c r="B16" s="683"/>
      <c r="C16" s="692" t="s">
        <v>248</v>
      </c>
      <c r="D16" s="687"/>
      <c r="E16" s="688">
        <f>bevételek3!I130</f>
        <v>360265703</v>
      </c>
      <c r="F16" s="689">
        <f>+$E$16/12</f>
        <v>30022141.916666668</v>
      </c>
      <c r="G16" s="689">
        <f t="shared" ref="G16:Q16" si="2">+$E$16/12</f>
        <v>30022141.916666668</v>
      </c>
      <c r="H16" s="689">
        <f t="shared" si="2"/>
        <v>30022141.916666668</v>
      </c>
      <c r="I16" s="689">
        <f t="shared" si="2"/>
        <v>30022141.916666668</v>
      </c>
      <c r="J16" s="689">
        <f t="shared" si="2"/>
        <v>30022141.916666668</v>
      </c>
      <c r="K16" s="689">
        <f t="shared" si="2"/>
        <v>30022141.916666668</v>
      </c>
      <c r="L16" s="689">
        <f t="shared" si="2"/>
        <v>30022141.916666668</v>
      </c>
      <c r="M16" s="689">
        <f t="shared" si="2"/>
        <v>30022141.916666668</v>
      </c>
      <c r="N16" s="689">
        <f t="shared" si="2"/>
        <v>30022141.916666668</v>
      </c>
      <c r="O16" s="689">
        <f t="shared" si="2"/>
        <v>30022141.916666668</v>
      </c>
      <c r="P16" s="689">
        <f t="shared" si="2"/>
        <v>30022141.916666668</v>
      </c>
      <c r="Q16" s="689">
        <f t="shared" si="2"/>
        <v>30022141.916666668</v>
      </c>
      <c r="R16" s="688">
        <f>SUM(F16:Q16)</f>
        <v>360265703.00000006</v>
      </c>
      <c r="S16" s="985"/>
      <c r="T16" s="985"/>
    </row>
    <row r="17" spans="1:21" s="173" customFormat="1" ht="30" customHeight="1">
      <c r="A17" s="683">
        <v>10</v>
      </c>
      <c r="B17" s="683"/>
      <c r="C17" s="693"/>
      <c r="D17" s="687" t="s">
        <v>249</v>
      </c>
      <c r="E17" s="688">
        <v>0</v>
      </c>
      <c r="F17" s="689"/>
      <c r="G17" s="689"/>
      <c r="H17" s="689"/>
      <c r="I17" s="689"/>
      <c r="J17" s="689"/>
      <c r="K17" s="689"/>
      <c r="L17" s="689"/>
      <c r="M17" s="689"/>
      <c r="N17" s="689"/>
      <c r="O17" s="689"/>
      <c r="P17" s="689"/>
      <c r="Q17" s="689"/>
      <c r="R17" s="688">
        <f t="shared" si="0"/>
        <v>0</v>
      </c>
      <c r="T17" s="985"/>
    </row>
    <row r="18" spans="1:21" s="173" customFormat="1" ht="30" customHeight="1">
      <c r="A18" s="683">
        <v>11</v>
      </c>
      <c r="B18" s="684"/>
      <c r="C18" s="682" t="s">
        <v>254</v>
      </c>
      <c r="D18" s="694"/>
      <c r="E18" s="695">
        <v>0</v>
      </c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88">
        <f t="shared" si="0"/>
        <v>0</v>
      </c>
      <c r="T18" s="985"/>
    </row>
    <row r="19" spans="1:21" s="173" customFormat="1" ht="30" customHeight="1">
      <c r="A19" s="683">
        <v>12</v>
      </c>
      <c r="B19" s="686"/>
      <c r="C19" s="687"/>
      <c r="D19" s="697" t="s">
        <v>254</v>
      </c>
      <c r="E19" s="688">
        <v>158630952</v>
      </c>
      <c r="F19" s="689">
        <f>$E$19/12+1</f>
        <v>13219247</v>
      </c>
      <c r="G19" s="689">
        <f t="shared" ref="G19:Q19" si="3">$E$19/12</f>
        <v>13219246</v>
      </c>
      <c r="H19" s="689">
        <f t="shared" si="3"/>
        <v>13219246</v>
      </c>
      <c r="I19" s="689">
        <f t="shared" si="3"/>
        <v>13219246</v>
      </c>
      <c r="J19" s="689">
        <f t="shared" si="3"/>
        <v>13219246</v>
      </c>
      <c r="K19" s="689">
        <f t="shared" si="3"/>
        <v>13219246</v>
      </c>
      <c r="L19" s="689">
        <f t="shared" si="3"/>
        <v>13219246</v>
      </c>
      <c r="M19" s="689">
        <f t="shared" si="3"/>
        <v>13219246</v>
      </c>
      <c r="N19" s="689">
        <f t="shared" si="3"/>
        <v>13219246</v>
      </c>
      <c r="O19" s="689">
        <f t="shared" si="3"/>
        <v>13219246</v>
      </c>
      <c r="P19" s="689">
        <f t="shared" si="3"/>
        <v>13219246</v>
      </c>
      <c r="Q19" s="689">
        <f t="shared" si="3"/>
        <v>13219246</v>
      </c>
      <c r="R19" s="688">
        <f t="shared" si="0"/>
        <v>158630953</v>
      </c>
      <c r="T19" s="985"/>
    </row>
    <row r="20" spans="1:21" s="173" customFormat="1" ht="30" customHeight="1">
      <c r="A20" s="683">
        <v>13</v>
      </c>
      <c r="B20" s="698" t="s">
        <v>322</v>
      </c>
      <c r="C20" s="699"/>
      <c r="D20" s="698"/>
      <c r="E20" s="700">
        <f>SUM(E11:E19)</f>
        <v>1345922245.5999999</v>
      </c>
      <c r="F20" s="700">
        <f t="shared" ref="F20:R20" si="4">SUM(F11:F19)</f>
        <v>118158429.46000001</v>
      </c>
      <c r="G20" s="700">
        <f t="shared" si="4"/>
        <v>103771769.62</v>
      </c>
      <c r="H20" s="700">
        <f t="shared" si="4"/>
        <v>187143137.36866668</v>
      </c>
      <c r="I20" s="700">
        <f t="shared" si="4"/>
        <v>89019745.916666657</v>
      </c>
      <c r="J20" s="700">
        <f t="shared" si="4"/>
        <v>142759186.91666669</v>
      </c>
      <c r="K20" s="700">
        <f t="shared" si="4"/>
        <v>126366319.91666667</v>
      </c>
      <c r="L20" s="700">
        <f t="shared" si="4"/>
        <v>90232881.916666672</v>
      </c>
      <c r="M20" s="700">
        <f t="shared" si="4"/>
        <v>90232881.916666672</v>
      </c>
      <c r="N20" s="700">
        <f t="shared" si="4"/>
        <v>127539250.41666667</v>
      </c>
      <c r="O20" s="700">
        <f t="shared" si="4"/>
        <v>90232881.916666672</v>
      </c>
      <c r="P20" s="700">
        <f t="shared" si="4"/>
        <v>90232881.916666672</v>
      </c>
      <c r="Q20" s="700">
        <f t="shared" si="4"/>
        <v>90232878.916666672</v>
      </c>
      <c r="R20" s="700">
        <f t="shared" si="4"/>
        <v>1345922246.1986668</v>
      </c>
      <c r="S20" s="985"/>
      <c r="T20" s="985"/>
      <c r="U20" s="985"/>
    </row>
    <row r="21" spans="1:21" s="171" customFormat="1" ht="30" customHeight="1">
      <c r="A21" s="683">
        <v>14</v>
      </c>
      <c r="B21" s="692" t="s">
        <v>423</v>
      </c>
      <c r="C21" s="701"/>
      <c r="D21" s="701"/>
      <c r="E21" s="702"/>
      <c r="F21" s="703"/>
      <c r="G21" s="703"/>
      <c r="H21" s="703"/>
      <c r="I21" s="703"/>
      <c r="J21" s="703"/>
      <c r="K21" s="703"/>
      <c r="L21" s="703"/>
      <c r="M21" s="703"/>
      <c r="N21" s="703"/>
      <c r="O21" s="703"/>
      <c r="P21" s="703"/>
      <c r="Q21" s="703"/>
      <c r="R21" s="703"/>
    </row>
    <row r="22" spans="1:21" s="173" customFormat="1" ht="30" customHeight="1">
      <c r="A22" s="683">
        <v>15</v>
      </c>
      <c r="B22" s="704" t="s">
        <v>14</v>
      </c>
      <c r="C22" s="705"/>
      <c r="D22" s="706"/>
      <c r="E22" s="688"/>
      <c r="F22" s="689"/>
      <c r="G22" s="688"/>
      <c r="H22" s="688"/>
      <c r="I22" s="688"/>
      <c r="J22" s="688"/>
      <c r="K22" s="688"/>
      <c r="L22" s="688"/>
      <c r="M22" s="688"/>
      <c r="N22" s="688"/>
      <c r="O22" s="688"/>
      <c r="P22" s="688"/>
      <c r="Q22" s="688"/>
      <c r="R22" s="688"/>
    </row>
    <row r="23" spans="1:21" s="173" customFormat="1" ht="30" customHeight="1">
      <c r="A23" s="683">
        <v>16</v>
      </c>
      <c r="B23" s="683"/>
      <c r="C23" s="687" t="s">
        <v>25</v>
      </c>
      <c r="D23" s="687"/>
      <c r="E23" s="688">
        <f>kiadások4!I87</f>
        <v>219350448</v>
      </c>
      <c r="F23" s="689">
        <f>+$E$23/12+3500000</f>
        <v>21779204</v>
      </c>
      <c r="G23" s="689">
        <f>+$E$23/12+3500000</f>
        <v>21779204</v>
      </c>
      <c r="H23" s="689">
        <f>+$E$23/12+3500000</f>
        <v>21779204</v>
      </c>
      <c r="I23" s="689">
        <f>+$E$23/12-10500000/9+2820149/2</f>
        <v>18522611.833333332</v>
      </c>
      <c r="J23" s="689">
        <f>+$E$23/12-10500000/9+1410075-2820150</f>
        <v>15702462.333333332</v>
      </c>
      <c r="K23" s="689">
        <f t="shared" ref="K23:Q23" si="5">+$E$23/12-10500000/9</f>
        <v>17112537.333333332</v>
      </c>
      <c r="L23" s="689">
        <f t="shared" si="5"/>
        <v>17112537.333333332</v>
      </c>
      <c r="M23" s="689">
        <f t="shared" si="5"/>
        <v>17112537.333333332</v>
      </c>
      <c r="N23" s="689">
        <f t="shared" si="5"/>
        <v>17112537.333333332</v>
      </c>
      <c r="O23" s="689">
        <f t="shared" si="5"/>
        <v>17112537.333333332</v>
      </c>
      <c r="P23" s="689">
        <f t="shared" si="5"/>
        <v>17112537.333333332</v>
      </c>
      <c r="Q23" s="689">
        <f t="shared" si="5"/>
        <v>17112537.333333332</v>
      </c>
      <c r="R23" s="688">
        <f>SUM(F23:Q23)</f>
        <v>219350447.50000003</v>
      </c>
      <c r="S23" s="985"/>
      <c r="T23" s="985"/>
    </row>
    <row r="24" spans="1:21" s="173" customFormat="1" ht="30" customHeight="1">
      <c r="A24" s="683">
        <v>17</v>
      </c>
      <c r="B24" s="683"/>
      <c r="C24" s="687" t="s">
        <v>328</v>
      </c>
      <c r="D24" s="687"/>
      <c r="E24" s="688">
        <f>kiadások4!I88</f>
        <v>42715358</v>
      </c>
      <c r="F24" s="689">
        <f>+$E$24/12+3500000*0.22</f>
        <v>4329613.166666666</v>
      </c>
      <c r="G24" s="689">
        <f>+$E$24/12+3500000*0.195</f>
        <v>4242113.166666666</v>
      </c>
      <c r="H24" s="689">
        <f>+$E$24/12+3500000*0.195</f>
        <v>4242113.166666666</v>
      </c>
      <c r="I24" s="689">
        <f>+$E$24/12-237222.2222+626709/2</f>
        <v>3635745.4444666663</v>
      </c>
      <c r="J24" s="689">
        <f>+$E$24/12-237222.2222+313354-626709</f>
        <v>3009035.9444666663</v>
      </c>
      <c r="K24" s="689">
        <f t="shared" ref="K24:Q24" si="6">+$E$24/12-237222.2222</f>
        <v>3322390.9444666663</v>
      </c>
      <c r="L24" s="689">
        <f t="shared" si="6"/>
        <v>3322390.9444666663</v>
      </c>
      <c r="M24" s="689">
        <f t="shared" si="6"/>
        <v>3322390.9444666663</v>
      </c>
      <c r="N24" s="689">
        <f t="shared" si="6"/>
        <v>3322390.9444666663</v>
      </c>
      <c r="O24" s="689">
        <f t="shared" si="6"/>
        <v>3322390.9444666663</v>
      </c>
      <c r="P24" s="689">
        <f t="shared" si="6"/>
        <v>3322390.9444666663</v>
      </c>
      <c r="Q24" s="689">
        <f t="shared" si="6"/>
        <v>3322390.9444666663</v>
      </c>
      <c r="R24" s="688">
        <f t="shared" si="0"/>
        <v>42715357.500199988</v>
      </c>
      <c r="S24" s="985"/>
      <c r="T24" s="985"/>
    </row>
    <row r="25" spans="1:21" s="173" customFormat="1" ht="30" customHeight="1">
      <c r="A25" s="683">
        <v>18</v>
      </c>
      <c r="B25" s="683"/>
      <c r="C25" s="687" t="s">
        <v>30</v>
      </c>
      <c r="D25" s="687"/>
      <c r="E25" s="688">
        <f>kiadások4!I89</f>
        <v>249290090</v>
      </c>
      <c r="F25" s="689">
        <f>(+$E$25-72700000)/12</f>
        <v>14715840.833333334</v>
      </c>
      <c r="G25" s="689">
        <f t="shared" ref="G25:Q25" si="7">(+$E$25-72700000)/12</f>
        <v>14715840.833333334</v>
      </c>
      <c r="H25" s="689">
        <f t="shared" si="7"/>
        <v>14715840.833333334</v>
      </c>
      <c r="I25" s="689">
        <f t="shared" si="7"/>
        <v>14715840.833333334</v>
      </c>
      <c r="J25" s="689">
        <f t="shared" si="7"/>
        <v>14715840.833333334</v>
      </c>
      <c r="K25" s="689">
        <f t="shared" si="7"/>
        <v>14715840.833333334</v>
      </c>
      <c r="L25" s="689">
        <f>(+$E$25-72700000)/12+72700000</f>
        <v>87415840.833333328</v>
      </c>
      <c r="M25" s="689">
        <f t="shared" si="7"/>
        <v>14715840.833333334</v>
      </c>
      <c r="N25" s="689">
        <f t="shared" si="7"/>
        <v>14715840.833333334</v>
      </c>
      <c r="O25" s="689">
        <f t="shared" si="7"/>
        <v>14715840.833333334</v>
      </c>
      <c r="P25" s="689">
        <f t="shared" si="7"/>
        <v>14715840.833333334</v>
      </c>
      <c r="Q25" s="689">
        <f t="shared" si="7"/>
        <v>14715840.833333334</v>
      </c>
      <c r="R25" s="688">
        <f t="shared" si="0"/>
        <v>249290090.00000003</v>
      </c>
      <c r="S25" s="985"/>
      <c r="T25" s="985"/>
    </row>
    <row r="26" spans="1:21" s="173" customFormat="1" ht="30" customHeight="1">
      <c r="A26" s="683">
        <v>19</v>
      </c>
      <c r="B26" s="683"/>
      <c r="C26" s="687" t="s">
        <v>276</v>
      </c>
      <c r="D26" s="687"/>
      <c r="E26" s="688">
        <f>kiadások4!I90</f>
        <v>27712540</v>
      </c>
      <c r="F26" s="689">
        <f>+$E$26/12</f>
        <v>2309378.3333333335</v>
      </c>
      <c r="G26" s="689">
        <f t="shared" ref="G26:Q26" si="8">+$E$26/12</f>
        <v>2309378.3333333335</v>
      </c>
      <c r="H26" s="689">
        <f t="shared" si="8"/>
        <v>2309378.3333333335</v>
      </c>
      <c r="I26" s="689">
        <f t="shared" si="8"/>
        <v>2309378.3333333335</v>
      </c>
      <c r="J26" s="689">
        <f t="shared" si="8"/>
        <v>2309378.3333333335</v>
      </c>
      <c r="K26" s="689">
        <f t="shared" si="8"/>
        <v>2309378.3333333335</v>
      </c>
      <c r="L26" s="689">
        <f t="shared" si="8"/>
        <v>2309378.3333333335</v>
      </c>
      <c r="M26" s="689">
        <f t="shared" si="8"/>
        <v>2309378.3333333335</v>
      </c>
      <c r="N26" s="689">
        <f t="shared" si="8"/>
        <v>2309378.3333333335</v>
      </c>
      <c r="O26" s="689">
        <f t="shared" si="8"/>
        <v>2309378.3333333335</v>
      </c>
      <c r="P26" s="689">
        <f t="shared" si="8"/>
        <v>2309378.3333333335</v>
      </c>
      <c r="Q26" s="689">
        <f t="shared" si="8"/>
        <v>2309378.3333333335</v>
      </c>
      <c r="R26" s="688">
        <f t="shared" si="0"/>
        <v>27712539.999999996</v>
      </c>
      <c r="S26" s="985"/>
      <c r="T26" s="985"/>
    </row>
    <row r="27" spans="1:21" s="173" customFormat="1" ht="30" customHeight="1">
      <c r="A27" s="683">
        <v>20</v>
      </c>
      <c r="B27" s="686"/>
      <c r="C27" s="691" t="s">
        <v>281</v>
      </c>
      <c r="D27" s="691"/>
      <c r="E27" s="688">
        <f>kiadások4!I91</f>
        <v>515765348.80000001</v>
      </c>
      <c r="F27" s="689">
        <f>$E$27/12</f>
        <v>42980445.733333334</v>
      </c>
      <c r="G27" s="689">
        <f t="shared" ref="G27:Q27" si="9">$E$27/12</f>
        <v>42980445.733333334</v>
      </c>
      <c r="H27" s="689">
        <f t="shared" si="9"/>
        <v>42980445.733333334</v>
      </c>
      <c r="I27" s="689">
        <f t="shared" si="9"/>
        <v>42980445.733333334</v>
      </c>
      <c r="J27" s="689">
        <f t="shared" si="9"/>
        <v>42980445.733333334</v>
      </c>
      <c r="K27" s="689">
        <f t="shared" si="9"/>
        <v>42980445.733333334</v>
      </c>
      <c r="L27" s="689">
        <f t="shared" si="9"/>
        <v>42980445.733333334</v>
      </c>
      <c r="M27" s="689">
        <f t="shared" si="9"/>
        <v>42980445.733333334</v>
      </c>
      <c r="N27" s="689">
        <f t="shared" si="9"/>
        <v>42980445.733333334</v>
      </c>
      <c r="O27" s="689">
        <f t="shared" si="9"/>
        <v>42980445.733333334</v>
      </c>
      <c r="P27" s="689">
        <f t="shared" si="9"/>
        <v>42980445.733333334</v>
      </c>
      <c r="Q27" s="689">
        <f t="shared" si="9"/>
        <v>42980445.733333334</v>
      </c>
      <c r="R27" s="688">
        <f t="shared" si="0"/>
        <v>515765348.80000013</v>
      </c>
      <c r="S27" s="985"/>
      <c r="T27" s="985"/>
    </row>
    <row r="28" spans="1:21" s="173" customFormat="1" ht="30" customHeight="1">
      <c r="A28" s="683">
        <v>21</v>
      </c>
      <c r="B28" s="686"/>
      <c r="C28" s="697" t="s">
        <v>289</v>
      </c>
      <c r="D28" s="697"/>
      <c r="E28" s="688">
        <f>kiadások4!I92</f>
        <v>129595241</v>
      </c>
      <c r="F28" s="689">
        <f>+$E$28/12</f>
        <v>10799603.416666666</v>
      </c>
      <c r="G28" s="689">
        <f t="shared" ref="G28:Q28" si="10">+$E$28/12</f>
        <v>10799603.416666666</v>
      </c>
      <c r="H28" s="689">
        <f t="shared" si="10"/>
        <v>10799603.416666666</v>
      </c>
      <c r="I28" s="689">
        <f>+$E$28/12</f>
        <v>10799603.416666666</v>
      </c>
      <c r="J28" s="689">
        <f t="shared" si="10"/>
        <v>10799603.416666666</v>
      </c>
      <c r="K28" s="689">
        <f t="shared" si="10"/>
        <v>10799603.416666666</v>
      </c>
      <c r="L28" s="689">
        <f t="shared" si="10"/>
        <v>10799603.416666666</v>
      </c>
      <c r="M28" s="689">
        <f t="shared" si="10"/>
        <v>10799603.416666666</v>
      </c>
      <c r="N28" s="689">
        <f t="shared" si="10"/>
        <v>10799603.416666666</v>
      </c>
      <c r="O28" s="689">
        <f t="shared" si="10"/>
        <v>10799603.416666666</v>
      </c>
      <c r="P28" s="689">
        <f t="shared" si="10"/>
        <v>10799603.416666666</v>
      </c>
      <c r="Q28" s="689">
        <f t="shared" si="10"/>
        <v>10799603.416666666</v>
      </c>
      <c r="R28" s="688">
        <f t="shared" si="0"/>
        <v>129595241.00000001</v>
      </c>
      <c r="S28" s="985"/>
      <c r="T28" s="985"/>
    </row>
    <row r="29" spans="1:21" s="173" customFormat="1" ht="30" customHeight="1">
      <c r="A29" s="683">
        <v>22</v>
      </c>
      <c r="B29" s="1094" t="s">
        <v>43</v>
      </c>
      <c r="C29" s="1095"/>
      <c r="D29" s="1096"/>
      <c r="E29" s="688"/>
      <c r="F29" s="689"/>
      <c r="G29" s="689"/>
      <c r="H29" s="689"/>
      <c r="I29" s="689"/>
      <c r="J29" s="689"/>
      <c r="K29" s="689"/>
      <c r="L29" s="689"/>
      <c r="M29" s="689"/>
      <c r="N29" s="689"/>
      <c r="O29" s="689"/>
      <c r="P29" s="689"/>
      <c r="Q29" s="689"/>
      <c r="R29" s="688"/>
      <c r="S29" s="985"/>
      <c r="T29" s="985"/>
    </row>
    <row r="30" spans="1:21" s="173" customFormat="1" ht="30" customHeight="1">
      <c r="A30" s="683">
        <v>23</v>
      </c>
      <c r="B30" s="707"/>
      <c r="C30" s="708" t="s">
        <v>295</v>
      </c>
      <c r="D30" s="709"/>
      <c r="E30" s="688">
        <f>kiadások4!H94+1284255</f>
        <v>129932955</v>
      </c>
      <c r="F30" s="689"/>
      <c r="G30" s="689"/>
      <c r="H30" s="689"/>
      <c r="I30" s="689"/>
      <c r="J30" s="689"/>
      <c r="K30" s="689"/>
      <c r="L30" s="689">
        <v>21655493</v>
      </c>
      <c r="M30" s="689">
        <f>21441450+1284255</f>
        <v>22725705</v>
      </c>
      <c r="N30" s="689">
        <f>21441450</f>
        <v>21441450</v>
      </c>
      <c r="O30" s="689">
        <v>21441450</v>
      </c>
      <c r="P30" s="689">
        <f>21441450-214043</f>
        <v>21227407</v>
      </c>
      <c r="Q30" s="689">
        <v>21441450</v>
      </c>
      <c r="R30" s="688">
        <f t="shared" si="0"/>
        <v>129932955</v>
      </c>
      <c r="S30" s="985"/>
      <c r="T30" s="985"/>
    </row>
    <row r="31" spans="1:21" s="173" customFormat="1" ht="30" customHeight="1">
      <c r="A31" s="683">
        <v>24</v>
      </c>
      <c r="B31" s="707"/>
      <c r="C31" s="708" t="s">
        <v>70</v>
      </c>
      <c r="D31" s="709"/>
      <c r="E31" s="688">
        <f>kiadások4!H95</f>
        <v>31560265</v>
      </c>
      <c r="F31" s="689"/>
      <c r="G31" s="689"/>
      <c r="H31" s="689"/>
      <c r="I31" s="689"/>
      <c r="J31" s="689"/>
      <c r="K31" s="689"/>
      <c r="L31" s="689">
        <v>5260044</v>
      </c>
      <c r="M31" s="689">
        <v>5260045</v>
      </c>
      <c r="N31" s="689">
        <v>5260044</v>
      </c>
      <c r="O31" s="689">
        <v>5260044</v>
      </c>
      <c r="P31" s="689">
        <f>5260044+1</f>
        <v>5260045</v>
      </c>
      <c r="Q31" s="689">
        <v>5260044</v>
      </c>
      <c r="R31" s="688">
        <f t="shared" si="0"/>
        <v>31560266</v>
      </c>
      <c r="S31" s="985"/>
      <c r="T31" s="985"/>
    </row>
    <row r="32" spans="1:21" s="173" customFormat="1" ht="30" customHeight="1">
      <c r="A32" s="683">
        <v>25</v>
      </c>
      <c r="B32" s="1089" t="s">
        <v>323</v>
      </c>
      <c r="C32" s="1090"/>
      <c r="D32" s="1091"/>
      <c r="E32" s="700">
        <f>SUM(E23:E31)</f>
        <v>1345922245.8</v>
      </c>
      <c r="F32" s="700">
        <f>SUM(F23:F31)</f>
        <v>96914085.483333334</v>
      </c>
      <c r="G32" s="700">
        <f t="shared" ref="G32:Q32" si="11">SUM(G23:G31)</f>
        <v>96826585.483333334</v>
      </c>
      <c r="H32" s="700">
        <f t="shared" si="11"/>
        <v>96826585.483333334</v>
      </c>
      <c r="I32" s="700">
        <f t="shared" si="11"/>
        <v>92963625.594466671</v>
      </c>
      <c r="J32" s="700">
        <f t="shared" si="11"/>
        <v>89516766.594466671</v>
      </c>
      <c r="K32" s="700">
        <f t="shared" si="11"/>
        <v>91240196.594466671</v>
      </c>
      <c r="L32" s="700">
        <f t="shared" si="11"/>
        <v>190855733.59446666</v>
      </c>
      <c r="M32" s="700">
        <f t="shared" si="11"/>
        <v>119225946.59446667</v>
      </c>
      <c r="N32" s="700">
        <f t="shared" si="11"/>
        <v>117941690.59446667</v>
      </c>
      <c r="O32" s="700">
        <f t="shared" si="11"/>
        <v>117941690.59446667</v>
      </c>
      <c r="P32" s="700">
        <f t="shared" si="11"/>
        <v>117727648.59446667</v>
      </c>
      <c r="Q32" s="700">
        <f t="shared" si="11"/>
        <v>117941690.59446667</v>
      </c>
      <c r="R32" s="700">
        <f>SUM(R23:R31)</f>
        <v>1345922245.8002002</v>
      </c>
      <c r="S32" s="174"/>
    </row>
    <row r="33" spans="5:18">
      <c r="E33" s="172">
        <f>E20-E32</f>
        <v>-0.20000004768371582</v>
      </c>
      <c r="R33" s="172">
        <f>R20-R32</f>
        <v>0.39846658706665039</v>
      </c>
    </row>
    <row r="34" spans="5:18"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</row>
    <row r="36" spans="5:18"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</row>
  </sheetData>
  <mergeCells count="6">
    <mergeCell ref="B32:D32"/>
    <mergeCell ref="C8:D8"/>
    <mergeCell ref="B29:D29"/>
    <mergeCell ref="C2:I2"/>
    <mergeCell ref="A3:R3"/>
    <mergeCell ref="A4:R4"/>
  </mergeCells>
  <pageMargins left="0.2" right="0.2" top="1" bottom="1" header="0.5" footer="0.5"/>
  <pageSetup paperSize="8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38"/>
  <sheetViews>
    <sheetView topLeftCell="A7" zoomScaleNormal="100" workbookViewId="0">
      <selection activeCell="E14" sqref="E14"/>
    </sheetView>
  </sheetViews>
  <sheetFormatPr defaultRowHeight="12.75"/>
  <cols>
    <col min="1" max="1" width="7.7109375" customWidth="1"/>
    <col min="2" max="2" width="45.140625" customWidth="1"/>
    <col min="3" max="4" width="11.28515625" customWidth="1"/>
    <col min="5" max="5" width="13.140625" customWidth="1"/>
    <col min="6" max="6" width="11.42578125" customWidth="1"/>
    <col min="7" max="7" width="11" customWidth="1"/>
    <col min="8" max="9" width="12" customWidth="1"/>
    <col min="10" max="10" width="17.42578125" style="143" bestFit="1" customWidth="1"/>
    <col min="11" max="11" width="10" bestFit="1" customWidth="1"/>
  </cols>
  <sheetData>
    <row r="1" spans="1:10">
      <c r="A1" t="s">
        <v>374</v>
      </c>
    </row>
    <row r="3" spans="1:10" ht="15">
      <c r="A3" s="1100" t="s">
        <v>452</v>
      </c>
      <c r="B3" s="1100"/>
      <c r="C3" s="1100"/>
      <c r="D3" s="1100"/>
      <c r="E3" s="1100"/>
      <c r="F3" s="1100"/>
      <c r="G3" s="1100"/>
      <c r="H3" s="1100"/>
      <c r="I3" s="1100"/>
    </row>
    <row r="4" spans="1:10" ht="9" customHeight="1">
      <c r="B4" s="1106"/>
      <c r="C4" s="1106"/>
      <c r="D4" s="1106"/>
      <c r="E4" s="1106"/>
      <c r="F4" s="1106"/>
      <c r="G4" s="1106"/>
      <c r="H4" s="50"/>
      <c r="I4" s="50"/>
    </row>
    <row r="5" spans="1:10">
      <c r="G5" s="1105" t="s">
        <v>200</v>
      </c>
      <c r="H5" s="1105"/>
      <c r="I5" s="1105"/>
    </row>
    <row r="6" spans="1:10" s="2" customFormat="1" ht="14.25" customHeight="1">
      <c r="A6" s="1103" t="s">
        <v>350</v>
      </c>
      <c r="B6" s="1103" t="s">
        <v>0</v>
      </c>
      <c r="C6" s="1107" t="s">
        <v>14</v>
      </c>
      <c r="D6" s="1107"/>
      <c r="E6" s="1107"/>
      <c r="F6" s="1107"/>
      <c r="G6" s="1107"/>
      <c r="H6" s="124"/>
      <c r="I6" s="1101" t="s">
        <v>201</v>
      </c>
      <c r="J6" s="144"/>
    </row>
    <row r="7" spans="1:10" s="20" customFormat="1" ht="48.75" customHeight="1">
      <c r="A7" s="1104"/>
      <c r="B7" s="1104"/>
      <c r="C7" s="51" t="s">
        <v>25</v>
      </c>
      <c r="D7" s="51" t="s">
        <v>347</v>
      </c>
      <c r="E7" s="51" t="s">
        <v>5</v>
      </c>
      <c r="F7" s="51" t="s">
        <v>276</v>
      </c>
      <c r="G7" s="51" t="s">
        <v>348</v>
      </c>
      <c r="H7" s="51" t="s">
        <v>289</v>
      </c>
      <c r="I7" s="1102"/>
      <c r="J7" s="145"/>
    </row>
    <row r="8" spans="1:10" s="14" customFormat="1" ht="11.25">
      <c r="A8" s="130">
        <v>51050</v>
      </c>
      <c r="B8" s="13" t="s">
        <v>345</v>
      </c>
      <c r="C8" s="9"/>
      <c r="D8" s="9"/>
      <c r="E8" s="9">
        <v>1200000</v>
      </c>
      <c r="F8" s="9"/>
      <c r="G8" s="9"/>
      <c r="H8" s="9"/>
      <c r="I8" s="129">
        <f>SUM(C8:H8)</f>
        <v>1200000</v>
      </c>
      <c r="J8" s="146"/>
    </row>
    <row r="9" spans="1:10" s="14" customFormat="1" ht="11.25">
      <c r="A9" s="130">
        <v>63080</v>
      </c>
      <c r="B9" s="13" t="s">
        <v>353</v>
      </c>
      <c r="C9" s="9"/>
      <c r="D9" s="9"/>
      <c r="E9" s="9">
        <v>0</v>
      </c>
      <c r="F9" s="9"/>
      <c r="G9" s="9"/>
      <c r="H9" s="9"/>
      <c r="I9" s="129">
        <f t="shared" ref="I9:I30" si="0">SUM(C9:H9)</f>
        <v>0</v>
      </c>
      <c r="J9" s="146"/>
    </row>
    <row r="10" spans="1:10" s="14" customFormat="1" ht="11.25" customHeight="1">
      <c r="A10" s="130">
        <v>45150</v>
      </c>
      <c r="B10" s="13" t="s">
        <v>351</v>
      </c>
      <c r="C10" s="9">
        <v>500000</v>
      </c>
      <c r="D10" s="9">
        <v>105750</v>
      </c>
      <c r="E10" s="9">
        <v>1427000</v>
      </c>
      <c r="F10" s="9"/>
      <c r="G10" s="9"/>
      <c r="H10" s="9"/>
      <c r="I10" s="129">
        <f t="shared" si="0"/>
        <v>2032750</v>
      </c>
      <c r="J10" s="146"/>
    </row>
    <row r="11" spans="1:10" s="14" customFormat="1" ht="12" customHeight="1">
      <c r="A11" s="130">
        <v>45160</v>
      </c>
      <c r="B11" s="13" t="s">
        <v>352</v>
      </c>
      <c r="C11" s="9"/>
      <c r="D11" s="9"/>
      <c r="E11" s="9">
        <v>6617050</v>
      </c>
      <c r="F11" s="9"/>
      <c r="G11" s="9"/>
      <c r="H11" s="9"/>
      <c r="I11" s="129">
        <f t="shared" si="0"/>
        <v>6617050</v>
      </c>
      <c r="J11" s="146"/>
    </row>
    <row r="12" spans="1:10" s="14" customFormat="1" ht="11.25" customHeight="1">
      <c r="A12" s="130">
        <v>96015</v>
      </c>
      <c r="B12" s="16" t="s">
        <v>357</v>
      </c>
      <c r="C12" s="11"/>
      <c r="D12" s="11"/>
      <c r="E12" s="12">
        <v>52000000</v>
      </c>
      <c r="F12" s="11"/>
      <c r="G12" s="11"/>
      <c r="H12" s="11"/>
      <c r="I12" s="129">
        <f t="shared" si="0"/>
        <v>52000000</v>
      </c>
      <c r="J12" s="147"/>
    </row>
    <row r="13" spans="1:10" s="14" customFormat="1" ht="11.25" customHeight="1">
      <c r="A13" s="130">
        <v>104035</v>
      </c>
      <c r="B13" s="16" t="s">
        <v>63</v>
      </c>
      <c r="C13" s="11"/>
      <c r="D13" s="11"/>
      <c r="E13" s="11">
        <v>6500000</v>
      </c>
      <c r="F13" s="11"/>
      <c r="G13" s="11"/>
      <c r="H13" s="11"/>
      <c r="I13" s="129">
        <f t="shared" si="0"/>
        <v>6500000</v>
      </c>
      <c r="J13" s="147"/>
    </row>
    <row r="14" spans="1:10" s="14" customFormat="1" ht="11.25" customHeight="1">
      <c r="A14" s="130">
        <v>13350</v>
      </c>
      <c r="B14" s="13" t="s">
        <v>12</v>
      </c>
      <c r="C14" s="9"/>
      <c r="D14" s="9"/>
      <c r="E14" s="9">
        <v>500000</v>
      </c>
      <c r="F14" s="9"/>
      <c r="G14" s="9"/>
      <c r="H14" s="9"/>
      <c r="I14" s="129">
        <f t="shared" si="0"/>
        <v>500000</v>
      </c>
      <c r="J14" s="177"/>
    </row>
    <row r="15" spans="1:10" s="14" customFormat="1" ht="12.75" customHeight="1">
      <c r="A15" s="130">
        <v>13350</v>
      </c>
      <c r="B15" s="13" t="s">
        <v>358</v>
      </c>
      <c r="C15" s="9"/>
      <c r="D15" s="9"/>
      <c r="E15" s="9">
        <v>500000</v>
      </c>
      <c r="F15" s="9"/>
      <c r="G15" s="9"/>
      <c r="H15" s="9"/>
      <c r="I15" s="129">
        <f t="shared" si="0"/>
        <v>500000</v>
      </c>
      <c r="J15" s="177"/>
    </row>
    <row r="16" spans="1:10" s="14" customFormat="1" ht="11.25" customHeight="1">
      <c r="A16" s="130">
        <v>11130</v>
      </c>
      <c r="B16" s="13" t="s">
        <v>87</v>
      </c>
      <c r="C16" s="9">
        <v>21009444</v>
      </c>
      <c r="D16" s="9">
        <v>4093873</v>
      </c>
      <c r="E16" s="151">
        <v>12000000</v>
      </c>
      <c r="F16" s="9"/>
      <c r="G16" s="9"/>
      <c r="H16" s="9">
        <v>15918000</v>
      </c>
      <c r="I16" s="129">
        <f t="shared" si="0"/>
        <v>53021317</v>
      </c>
      <c r="J16" s="148"/>
    </row>
    <row r="17" spans="1:10" s="15" customFormat="1" ht="11.25" customHeight="1">
      <c r="A17" s="130">
        <v>66010</v>
      </c>
      <c r="B17" s="13" t="s">
        <v>46</v>
      </c>
      <c r="C17" s="10"/>
      <c r="D17" s="10"/>
      <c r="E17" s="10">
        <v>7200670</v>
      </c>
      <c r="F17" s="10"/>
      <c r="G17" s="10"/>
      <c r="H17" s="10"/>
      <c r="I17" s="129">
        <f t="shared" si="0"/>
        <v>7200670</v>
      </c>
      <c r="J17" s="149"/>
    </row>
    <row r="18" spans="1:10" s="15" customFormat="1" ht="11.25" customHeight="1">
      <c r="A18" s="130">
        <v>16080</v>
      </c>
      <c r="B18" s="13" t="s">
        <v>11</v>
      </c>
      <c r="C18" s="10"/>
      <c r="D18" s="10"/>
      <c r="E18" s="152">
        <v>5000000</v>
      </c>
      <c r="F18" s="10"/>
      <c r="G18" s="10"/>
      <c r="H18" s="10"/>
      <c r="I18" s="129">
        <f t="shared" si="0"/>
        <v>5000000</v>
      </c>
      <c r="J18" s="150"/>
    </row>
    <row r="19" spans="1:10" s="14" customFormat="1" ht="11.25" customHeight="1">
      <c r="A19" s="130">
        <v>64010</v>
      </c>
      <c r="B19" s="13" t="s">
        <v>10</v>
      </c>
      <c r="C19" s="10"/>
      <c r="D19" s="10"/>
      <c r="E19" s="10">
        <v>12100000</v>
      </c>
      <c r="F19" s="10"/>
      <c r="G19" s="10"/>
      <c r="H19" s="10"/>
      <c r="I19" s="129">
        <f t="shared" si="0"/>
        <v>12100000</v>
      </c>
      <c r="J19" s="146"/>
    </row>
    <row r="20" spans="1:10" s="14" customFormat="1" ht="11.25">
      <c r="A20" s="130">
        <v>66020</v>
      </c>
      <c r="B20" s="13" t="s">
        <v>4</v>
      </c>
      <c r="C20" s="9">
        <v>14357200</v>
      </c>
      <c r="D20" s="9">
        <v>3209908</v>
      </c>
      <c r="E20" s="9">
        <v>500000</v>
      </c>
      <c r="F20" s="9"/>
      <c r="G20" s="9"/>
      <c r="H20" s="9"/>
      <c r="I20" s="129">
        <f t="shared" si="0"/>
        <v>18067108</v>
      </c>
      <c r="J20" s="146"/>
    </row>
    <row r="21" spans="1:10" s="14" customFormat="1" ht="11.25">
      <c r="A21" s="130">
        <v>81071</v>
      </c>
      <c r="B21" s="13" t="s">
        <v>354</v>
      </c>
      <c r="C21" s="9"/>
      <c r="D21" s="9"/>
      <c r="E21" s="9">
        <v>500000</v>
      </c>
      <c r="F21" s="9"/>
      <c r="G21" s="9"/>
      <c r="H21" s="9"/>
      <c r="I21" s="129">
        <f t="shared" si="0"/>
        <v>500000</v>
      </c>
      <c r="J21" s="146"/>
    </row>
    <row r="22" spans="1:10" s="14" customFormat="1" ht="11.25" customHeight="1">
      <c r="A22" s="130">
        <v>11320</v>
      </c>
      <c r="B22" s="13" t="s">
        <v>346</v>
      </c>
      <c r="C22" s="9"/>
      <c r="D22" s="9"/>
      <c r="E22" s="9">
        <v>36000</v>
      </c>
      <c r="F22" s="9"/>
      <c r="G22" s="9"/>
      <c r="H22" s="9"/>
      <c r="I22" s="129">
        <f t="shared" si="0"/>
        <v>36000</v>
      </c>
      <c r="J22" s="146"/>
    </row>
    <row r="23" spans="1:10" s="14" customFormat="1" ht="11.25" customHeight="1">
      <c r="A23" s="130">
        <v>47410</v>
      </c>
      <c r="B23" s="13" t="s">
        <v>9</v>
      </c>
      <c r="C23" s="9"/>
      <c r="D23" s="9"/>
      <c r="E23" s="9">
        <v>150000</v>
      </c>
      <c r="F23" s="9"/>
      <c r="G23" s="9"/>
      <c r="H23" s="9"/>
      <c r="I23" s="129">
        <f t="shared" si="0"/>
        <v>150000</v>
      </c>
      <c r="J23" s="146"/>
    </row>
    <row r="24" spans="1:10" s="14" customFormat="1" ht="11.25" customHeight="1">
      <c r="A24" s="130">
        <v>74032</v>
      </c>
      <c r="B24" s="13" t="s">
        <v>8</v>
      </c>
      <c r="C24" s="9"/>
      <c r="D24" s="9"/>
      <c r="E24" s="9">
        <v>144000</v>
      </c>
      <c r="F24" s="9"/>
      <c r="G24" s="9"/>
      <c r="H24" s="9"/>
      <c r="I24" s="129">
        <f t="shared" si="0"/>
        <v>144000</v>
      </c>
      <c r="J24" s="146"/>
    </row>
    <row r="25" spans="1:10" s="14" customFormat="1" ht="11.25">
      <c r="A25" s="130">
        <v>107060</v>
      </c>
      <c r="B25" s="13" t="s">
        <v>276</v>
      </c>
      <c r="C25" s="9"/>
      <c r="D25" s="9"/>
      <c r="E25" s="9"/>
      <c r="F25" s="151">
        <v>28054000</v>
      </c>
      <c r="G25" s="9"/>
      <c r="H25" s="9"/>
      <c r="I25" s="129">
        <f t="shared" si="0"/>
        <v>28054000</v>
      </c>
      <c r="J25" s="146"/>
    </row>
    <row r="26" spans="1:10" s="14" customFormat="1" ht="11.25">
      <c r="A26" s="130"/>
      <c r="B26" s="13" t="s">
        <v>64</v>
      </c>
      <c r="C26" s="9"/>
      <c r="D26" s="9"/>
      <c r="E26" s="151">
        <v>0</v>
      </c>
      <c r="F26" s="9"/>
      <c r="G26" s="9"/>
      <c r="H26" s="9"/>
      <c r="I26" s="129">
        <f t="shared" si="0"/>
        <v>0</v>
      </c>
      <c r="J26" s="146"/>
    </row>
    <row r="27" spans="1:10" s="14" customFormat="1" ht="11.25" customHeight="1">
      <c r="A27" s="130"/>
      <c r="B27" s="13" t="s">
        <v>349</v>
      </c>
      <c r="C27" s="9">
        <v>28095353</v>
      </c>
      <c r="D27" s="151">
        <v>3792873</v>
      </c>
      <c r="E27" s="9">
        <v>6005013</v>
      </c>
      <c r="F27" s="9"/>
      <c r="G27" s="9"/>
      <c r="H27" s="9"/>
      <c r="I27" s="129">
        <f t="shared" si="0"/>
        <v>37893239</v>
      </c>
      <c r="J27" s="146"/>
    </row>
    <row r="28" spans="1:10" s="14" customFormat="1" ht="11.25" customHeight="1">
      <c r="A28" s="130">
        <v>82063</v>
      </c>
      <c r="B28" s="13" t="s">
        <v>7</v>
      </c>
      <c r="C28" s="9"/>
      <c r="D28" s="9"/>
      <c r="E28" s="9">
        <v>50000</v>
      </c>
      <c r="F28" s="9"/>
      <c r="G28" s="9"/>
      <c r="H28" s="9"/>
      <c r="I28" s="129">
        <f t="shared" si="0"/>
        <v>50000</v>
      </c>
      <c r="J28" s="146"/>
    </row>
    <row r="29" spans="1:10" s="14" customFormat="1" ht="11.25" customHeight="1">
      <c r="A29" s="130">
        <v>81030</v>
      </c>
      <c r="B29" s="13" t="s">
        <v>6</v>
      </c>
      <c r="C29" s="9"/>
      <c r="D29" s="9"/>
      <c r="E29" s="9">
        <v>2000000</v>
      </c>
      <c r="F29" s="9"/>
      <c r="G29" s="9"/>
      <c r="H29" s="9"/>
      <c r="I29" s="129">
        <f t="shared" si="0"/>
        <v>2000000</v>
      </c>
      <c r="J29" s="146"/>
    </row>
    <row r="30" spans="1:10" s="14" customFormat="1" ht="12" customHeight="1">
      <c r="A30" s="130">
        <v>13320</v>
      </c>
      <c r="B30" s="125" t="s">
        <v>3</v>
      </c>
      <c r="C30" s="126"/>
      <c r="D30" s="126"/>
      <c r="E30" s="126">
        <v>360000</v>
      </c>
      <c r="F30" s="126"/>
      <c r="G30" s="126"/>
      <c r="H30" s="126"/>
      <c r="I30" s="129">
        <f t="shared" si="0"/>
        <v>360000</v>
      </c>
      <c r="J30" s="146"/>
    </row>
    <row r="31" spans="1:10" s="14" customFormat="1" ht="12" customHeight="1">
      <c r="A31" s="131"/>
      <c r="B31" s="132" t="s">
        <v>201</v>
      </c>
      <c r="C31" s="133">
        <f>SUM(C8:C30)</f>
        <v>63961997</v>
      </c>
      <c r="D31" s="133">
        <f t="shared" ref="D31:I31" si="1">SUM(D8:D30)</f>
        <v>11202404</v>
      </c>
      <c r="E31" s="133">
        <f t="shared" si="1"/>
        <v>114789733</v>
      </c>
      <c r="F31" s="133">
        <f t="shared" si="1"/>
        <v>28054000</v>
      </c>
      <c r="G31" s="133">
        <f t="shared" si="1"/>
        <v>0</v>
      </c>
      <c r="H31" s="133">
        <f t="shared" si="1"/>
        <v>15918000</v>
      </c>
      <c r="I31" s="133">
        <f t="shared" si="1"/>
        <v>233926134</v>
      </c>
      <c r="J31" s="146"/>
    </row>
    <row r="32" spans="1:10" s="14" customFormat="1" ht="11.25">
      <c r="A32" s="130">
        <v>18030</v>
      </c>
      <c r="B32" s="13" t="s">
        <v>355</v>
      </c>
      <c r="C32" s="10"/>
      <c r="D32" s="10"/>
      <c r="E32" s="10"/>
      <c r="F32" s="10"/>
      <c r="G32" s="10">
        <f>'működési pe átad5'!D28</f>
        <v>194349950.80000001</v>
      </c>
      <c r="H32" s="10"/>
      <c r="I32" s="10">
        <f>SUM(C32:H32)</f>
        <v>194349950.80000001</v>
      </c>
      <c r="J32" s="146"/>
    </row>
    <row r="33" spans="1:11" s="14" customFormat="1" ht="11.25">
      <c r="A33" s="130">
        <v>18030</v>
      </c>
      <c r="B33" s="13" t="s">
        <v>356</v>
      </c>
      <c r="C33" s="10"/>
      <c r="D33" s="10"/>
      <c r="E33" s="10"/>
      <c r="F33" s="10"/>
      <c r="G33" s="10">
        <f>kiadások4!H23</f>
        <v>4804666</v>
      </c>
      <c r="H33" s="10"/>
      <c r="I33" s="10">
        <f t="shared" ref="I33:I34" si="2">SUM(C33:H33)</f>
        <v>4804666</v>
      </c>
      <c r="J33" s="146"/>
    </row>
    <row r="34" spans="1:11">
      <c r="A34" s="130">
        <v>18030</v>
      </c>
      <c r="B34" s="13" t="s">
        <v>252</v>
      </c>
      <c r="C34" s="127"/>
      <c r="D34" s="127"/>
      <c r="E34" s="128"/>
      <c r="F34" s="127"/>
      <c r="G34" s="127"/>
      <c r="H34" s="10">
        <f>kiadások4!H29</f>
        <v>113805236</v>
      </c>
      <c r="I34" s="10">
        <f t="shared" si="2"/>
        <v>113805236</v>
      </c>
      <c r="J34" s="153"/>
    </row>
    <row r="35" spans="1:11" s="14" customFormat="1" ht="26.25" customHeight="1">
      <c r="A35" s="131"/>
      <c r="B35" s="134" t="s">
        <v>359</v>
      </c>
      <c r="C35" s="135">
        <f t="shared" ref="C35:H35" si="3">SUM(C31:C34)</f>
        <v>63961997</v>
      </c>
      <c r="D35" s="135">
        <f t="shared" si="3"/>
        <v>11202404</v>
      </c>
      <c r="E35" s="135">
        <f t="shared" si="3"/>
        <v>114789733</v>
      </c>
      <c r="F35" s="135">
        <f t="shared" si="3"/>
        <v>28054000</v>
      </c>
      <c r="G35" s="135">
        <f t="shared" si="3"/>
        <v>199154616.80000001</v>
      </c>
      <c r="H35" s="135">
        <f t="shared" si="3"/>
        <v>129723236</v>
      </c>
      <c r="I35" s="135">
        <f>SUM(I31:I34)</f>
        <v>546885986.79999995</v>
      </c>
      <c r="J35" s="153"/>
    </row>
    <row r="36" spans="1:11">
      <c r="E36" s="8"/>
      <c r="J36" s="153"/>
    </row>
    <row r="37" spans="1:11">
      <c r="B37" s="8"/>
      <c r="J37" s="153"/>
      <c r="K37" s="14"/>
    </row>
    <row r="38" spans="1:11">
      <c r="J38" s="154"/>
    </row>
  </sheetData>
  <mergeCells count="7">
    <mergeCell ref="A3:I3"/>
    <mergeCell ref="I6:I7"/>
    <mergeCell ref="A6:A7"/>
    <mergeCell ref="G5:I5"/>
    <mergeCell ref="B4:G4"/>
    <mergeCell ref="B6:B7"/>
    <mergeCell ref="C6:G6"/>
  </mergeCells>
  <printOptions horizontalCentered="1"/>
  <pageMargins left="0.19685039370078741" right="0.23622047244094491" top="0.78740157480314965" bottom="0.27559055118110237" header="0.19685039370078741" footer="0.19685039370078741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5" sqref="G15"/>
    </sheetView>
  </sheetViews>
  <sheetFormatPr defaultRowHeight="12.75"/>
  <cols>
    <col min="3" max="3" width="10.5703125" customWidth="1"/>
    <col min="4" max="4" width="13.42578125" customWidth="1"/>
    <col min="6" max="6" width="10" customWidth="1"/>
    <col min="7" max="7" width="7.28515625" customWidth="1"/>
    <col min="8" max="8" width="8.5703125" customWidth="1"/>
    <col min="9" max="9" width="10.28515625" customWidth="1"/>
    <col min="10" max="10" width="13.42578125" customWidth="1"/>
    <col min="12" max="12" width="10.42578125" customWidth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E10" sqref="E10"/>
    </sheetView>
  </sheetViews>
  <sheetFormatPr defaultRowHeight="12.75"/>
  <cols>
    <col min="1" max="1" width="4" style="84" customWidth="1"/>
    <col min="2" max="2" width="14.42578125" style="84" customWidth="1"/>
    <col min="3" max="3" width="45.85546875" style="84" customWidth="1"/>
    <col min="4" max="4" width="24.5703125" style="84" customWidth="1"/>
    <col min="5" max="16384" width="9.140625" style="84"/>
  </cols>
  <sheetData>
    <row r="1" spans="1:8" ht="29.25" customHeight="1">
      <c r="A1" s="1111" t="s">
        <v>479</v>
      </c>
      <c r="B1" s="1111"/>
      <c r="C1" s="1111"/>
      <c r="D1" s="1111"/>
      <c r="E1" s="710"/>
      <c r="F1" s="92"/>
    </row>
    <row r="2" spans="1:8" ht="15.75">
      <c r="A2" s="710"/>
      <c r="B2" s="494"/>
      <c r="C2" s="494"/>
      <c r="D2" s="710"/>
      <c r="E2" s="710"/>
      <c r="F2" s="92"/>
    </row>
    <row r="3" spans="1:8" ht="18">
      <c r="A3" s="1108" t="s">
        <v>453</v>
      </c>
      <c r="B3" s="1108"/>
      <c r="C3" s="1108"/>
      <c r="D3" s="1108"/>
      <c r="E3" s="727"/>
      <c r="F3" s="85"/>
      <c r="G3" s="86"/>
    </row>
    <row r="4" spans="1:8" ht="18">
      <c r="A4" s="728"/>
      <c r="B4" s="728"/>
      <c r="C4" s="728"/>
      <c r="D4" s="728"/>
      <c r="E4" s="727"/>
      <c r="F4" s="85"/>
      <c r="G4" s="86"/>
    </row>
    <row r="5" spans="1:8" ht="16.5" thickBot="1">
      <c r="A5" s="494"/>
      <c r="B5" s="492"/>
      <c r="C5" s="492"/>
      <c r="D5" s="729" t="s">
        <v>200</v>
      </c>
      <c r="E5" s="730"/>
      <c r="G5" s="86"/>
      <c r="H5" s="87"/>
    </row>
    <row r="6" spans="1:8" ht="16.5" thickBot="1">
      <c r="A6" s="731"/>
      <c r="B6" s="732" t="s">
        <v>205</v>
      </c>
      <c r="C6" s="733"/>
      <c r="D6" s="734" t="s">
        <v>206</v>
      </c>
      <c r="E6" s="492"/>
    </row>
    <row r="7" spans="1:8" ht="16.5" thickBot="1">
      <c r="A7" s="735">
        <v>1</v>
      </c>
      <c r="B7" s="711" t="s">
        <v>196</v>
      </c>
      <c r="C7" s="712"/>
      <c r="D7" s="713" t="s">
        <v>71</v>
      </c>
      <c r="E7" s="277"/>
    </row>
    <row r="8" spans="1:8" ht="15.75">
      <c r="A8" s="736">
        <v>2</v>
      </c>
      <c r="B8" s="714" t="s">
        <v>48</v>
      </c>
      <c r="C8" s="715"/>
      <c r="D8" s="716">
        <f>SUM(D9:D11)</f>
        <v>74511739</v>
      </c>
      <c r="E8" s="492"/>
    </row>
    <row r="9" spans="1:8" ht="15.75">
      <c r="A9" s="737">
        <v>3</v>
      </c>
      <c r="B9" s="717"/>
      <c r="C9" s="718" t="s">
        <v>329</v>
      </c>
      <c r="D9" s="719">
        <v>68505248</v>
      </c>
      <c r="E9" s="277"/>
    </row>
    <row r="10" spans="1:8" ht="15.75">
      <c r="A10" s="737"/>
      <c r="B10" s="717"/>
      <c r="C10" s="718" t="s">
        <v>458</v>
      </c>
      <c r="D10" s="719">
        <v>1000000</v>
      </c>
      <c r="E10" s="277"/>
    </row>
    <row r="11" spans="1:8" ht="15.75">
      <c r="A11" s="737">
        <v>4</v>
      </c>
      <c r="B11" s="717" t="s">
        <v>330</v>
      </c>
      <c r="C11" s="718" t="s">
        <v>331</v>
      </c>
      <c r="D11" s="719">
        <v>5006491</v>
      </c>
      <c r="E11" s="277"/>
    </row>
    <row r="12" spans="1:8" ht="15.75">
      <c r="A12" s="737">
        <v>5</v>
      </c>
      <c r="B12" s="720" t="s">
        <v>318</v>
      </c>
      <c r="C12" s="721"/>
      <c r="D12" s="722">
        <v>101000</v>
      </c>
      <c r="E12" s="277"/>
    </row>
    <row r="13" spans="1:8" ht="15.75">
      <c r="A13" s="737">
        <v>6</v>
      </c>
      <c r="B13" s="717" t="s">
        <v>319</v>
      </c>
      <c r="C13" s="718"/>
      <c r="D13" s="719">
        <v>0</v>
      </c>
      <c r="E13" s="277"/>
    </row>
    <row r="14" spans="1:8" ht="30.75" customHeight="1">
      <c r="A14" s="737">
        <v>7</v>
      </c>
      <c r="B14" s="1109" t="s">
        <v>51</v>
      </c>
      <c r="C14" s="1110"/>
      <c r="D14" s="719">
        <v>0</v>
      </c>
      <c r="E14" s="277"/>
    </row>
    <row r="15" spans="1:8" ht="15.75">
      <c r="A15" s="737">
        <v>8</v>
      </c>
      <c r="B15" s="717" t="s">
        <v>52</v>
      </c>
      <c r="C15" s="718"/>
      <c r="D15" s="719">
        <v>0</v>
      </c>
      <c r="E15" s="277"/>
    </row>
    <row r="16" spans="1:8" ht="15.75">
      <c r="A16" s="737">
        <v>9</v>
      </c>
      <c r="B16" s="717" t="s">
        <v>320</v>
      </c>
      <c r="C16" s="718"/>
      <c r="D16" s="719">
        <v>0</v>
      </c>
      <c r="E16" s="723"/>
    </row>
    <row r="17" spans="1:6" ht="15.75">
      <c r="A17" s="737">
        <v>10</v>
      </c>
      <c r="B17" s="717" t="s">
        <v>54</v>
      </c>
      <c r="C17" s="718"/>
      <c r="D17" s="719">
        <v>0</v>
      </c>
      <c r="E17" s="723"/>
    </row>
    <row r="18" spans="1:6" ht="15.75">
      <c r="A18" s="737">
        <v>11</v>
      </c>
      <c r="B18" s="720" t="s">
        <v>101</v>
      </c>
      <c r="C18" s="721"/>
      <c r="D18" s="722">
        <f>SUM(D8,D12)</f>
        <v>74612739</v>
      </c>
      <c r="E18" s="723"/>
    </row>
    <row r="19" spans="1:6" ht="16.5" thickBot="1">
      <c r="A19" s="738">
        <v>12</v>
      </c>
      <c r="B19" s="724" t="s">
        <v>324</v>
      </c>
      <c r="C19" s="725"/>
      <c r="D19" s="726">
        <f>+D18/2</f>
        <v>37306369.5</v>
      </c>
      <c r="E19" s="723"/>
    </row>
    <row r="20" spans="1:6" ht="15.75">
      <c r="A20" s="494"/>
      <c r="B20" s="277"/>
      <c r="C20" s="277"/>
      <c r="D20" s="278"/>
      <c r="E20" s="277"/>
      <c r="F20" s="91"/>
    </row>
    <row r="21" spans="1:6" ht="15.75">
      <c r="A21" s="494"/>
      <c r="B21" s="494"/>
      <c r="C21" s="494"/>
      <c r="D21" s="494"/>
      <c r="E21" s="494"/>
    </row>
  </sheetData>
  <mergeCells count="3">
    <mergeCell ref="A3:D3"/>
    <mergeCell ref="B14:C14"/>
    <mergeCell ref="A1:D1"/>
  </mergeCells>
  <pageMargins left="2.7165354330708662" right="0.74803149606299213" top="1.3779527559055118" bottom="0.98425196850393704" header="0.51181102362204722" footer="0.51181102362204722"/>
  <pageSetup paperSize="9" fitToHeight="0" orientation="landscape" r:id="rId1"/>
  <headerFooter alignWithMargins="0">
    <oddHeader xml:space="preserve">&amp;C&amp;"Arial,Félkövér"&amp;14&amp;U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2"/>
  <sheetViews>
    <sheetView topLeftCell="A16" zoomScaleNormal="100" workbookViewId="0">
      <selection activeCell="G29" sqref="G29"/>
    </sheetView>
  </sheetViews>
  <sheetFormatPr defaultRowHeight="15"/>
  <cols>
    <col min="1" max="1" width="6.28515625" style="155" customWidth="1"/>
    <col min="2" max="3" width="15.7109375" style="155" customWidth="1"/>
    <col min="4" max="4" width="38.42578125" style="155" customWidth="1"/>
    <col min="5" max="5" width="17.85546875" style="155" customWidth="1"/>
    <col min="6" max="7" width="9.140625" style="155"/>
    <col min="8" max="8" width="15.7109375" style="155" bestFit="1" customWidth="1"/>
    <col min="9" max="16384" width="9.140625" style="155"/>
  </cols>
  <sheetData>
    <row r="1" spans="1:8" ht="33" customHeight="1">
      <c r="A1" s="1112" t="s">
        <v>480</v>
      </c>
      <c r="B1" s="1112"/>
      <c r="C1" s="1112"/>
      <c r="D1" s="1112"/>
      <c r="E1" s="1112"/>
    </row>
    <row r="2" spans="1:8" ht="15.75">
      <c r="A2" s="739"/>
      <c r="B2" s="739"/>
      <c r="C2" s="739"/>
      <c r="D2" s="739"/>
      <c r="E2" s="739"/>
    </row>
    <row r="3" spans="1:8" ht="16.5">
      <c r="A3" s="1122" t="s">
        <v>377</v>
      </c>
      <c r="B3" s="1122"/>
      <c r="C3" s="1122"/>
      <c r="D3" s="1122"/>
      <c r="E3" s="1122"/>
    </row>
    <row r="4" spans="1:8" ht="21" customHeight="1">
      <c r="A4" s="1121" t="s">
        <v>455</v>
      </c>
      <c r="B4" s="1121"/>
      <c r="C4" s="1121"/>
      <c r="D4" s="1121"/>
      <c r="E4" s="1121"/>
      <c r="F4" s="160"/>
    </row>
    <row r="5" spans="1:8" ht="14.25" customHeight="1">
      <c r="A5" s="740"/>
      <c r="B5" s="740"/>
      <c r="C5" s="740"/>
      <c r="D5" s="740"/>
      <c r="E5" s="740"/>
      <c r="F5" s="156"/>
    </row>
    <row r="6" spans="1:8" ht="15.75">
      <c r="A6" s="739"/>
      <c r="B6" s="739"/>
      <c r="C6" s="739"/>
      <c r="D6" s="739"/>
      <c r="E6" s="754" t="s">
        <v>200</v>
      </c>
    </row>
    <row r="7" spans="1:8" ht="19.5" customHeight="1">
      <c r="A7" s="741"/>
      <c r="B7" s="742" t="s">
        <v>205</v>
      </c>
      <c r="C7" s="742" t="s">
        <v>206</v>
      </c>
      <c r="D7" s="742" t="s">
        <v>207</v>
      </c>
      <c r="E7" s="742" t="s">
        <v>208</v>
      </c>
    </row>
    <row r="8" spans="1:8" ht="39.950000000000003" customHeight="1">
      <c r="A8" s="743">
        <v>1</v>
      </c>
      <c r="B8" s="744" t="s">
        <v>216</v>
      </c>
      <c r="C8" s="745" t="s">
        <v>217</v>
      </c>
      <c r="D8" s="746" t="s">
        <v>381</v>
      </c>
      <c r="E8" s="747" t="s">
        <v>71</v>
      </c>
    </row>
    <row r="9" spans="1:8" ht="39.950000000000003" customHeight="1">
      <c r="A9" s="743">
        <v>2</v>
      </c>
      <c r="B9" s="1118" t="s">
        <v>281</v>
      </c>
      <c r="C9" s="1119"/>
      <c r="D9" s="1120"/>
      <c r="E9" s="748"/>
    </row>
    <row r="10" spans="1:8" s="157" customFormat="1" ht="39.950000000000003" customHeight="1">
      <c r="A10" s="743">
        <v>3</v>
      </c>
      <c r="B10" s="749"/>
      <c r="C10" s="1113" t="s">
        <v>287</v>
      </c>
      <c r="D10" s="1114"/>
      <c r="E10" s="750">
        <v>500000</v>
      </c>
      <c r="G10" s="175"/>
      <c r="H10" s="176"/>
    </row>
    <row r="11" spans="1:8" s="157" customFormat="1" ht="39.950000000000003" customHeight="1">
      <c r="A11" s="743">
        <v>4</v>
      </c>
      <c r="B11" s="749"/>
      <c r="C11" s="751"/>
      <c r="D11" s="493" t="s">
        <v>459</v>
      </c>
      <c r="E11" s="750">
        <v>500000</v>
      </c>
      <c r="G11" s="175"/>
      <c r="H11" s="176"/>
    </row>
    <row r="12" spans="1:8" s="158" customFormat="1" ht="39.950000000000003" customHeight="1">
      <c r="A12" s="743">
        <v>6</v>
      </c>
      <c r="B12" s="751"/>
      <c r="C12" s="751"/>
      <c r="D12" s="493" t="s">
        <v>378</v>
      </c>
      <c r="E12" s="752">
        <v>0</v>
      </c>
    </row>
    <row r="13" spans="1:8" s="158" customFormat="1" ht="39.950000000000003" customHeight="1">
      <c r="A13" s="743">
        <v>7</v>
      </c>
      <c r="B13" s="493"/>
      <c r="C13" s="751"/>
      <c r="D13" s="493" t="s">
        <v>379</v>
      </c>
      <c r="E13" s="752">
        <v>0</v>
      </c>
    </row>
    <row r="14" spans="1:8" s="158" customFormat="1" ht="39.950000000000003" customHeight="1">
      <c r="A14" s="743">
        <v>8</v>
      </c>
      <c r="B14" s="751"/>
      <c r="C14" s="751"/>
      <c r="D14" s="493" t="s">
        <v>380</v>
      </c>
      <c r="E14" s="752">
        <v>0</v>
      </c>
    </row>
    <row r="15" spans="1:8" s="159" customFormat="1" ht="39.950000000000003" customHeight="1">
      <c r="A15" s="743">
        <v>9</v>
      </c>
      <c r="B15" s="1115" t="s">
        <v>44</v>
      </c>
      <c r="C15" s="1116"/>
      <c r="D15" s="1117"/>
      <c r="E15" s="753">
        <f>SUM(E11:E14)</f>
        <v>500000</v>
      </c>
    </row>
    <row r="16" spans="1:8" ht="15.75">
      <c r="A16" s="739"/>
      <c r="B16" s="739"/>
      <c r="C16" s="739"/>
      <c r="D16" s="739"/>
      <c r="E16" s="739"/>
    </row>
    <row r="17" spans="1:6" ht="15.75">
      <c r="A17" s="739"/>
      <c r="B17" s="739"/>
      <c r="C17" s="739"/>
      <c r="D17" s="739"/>
      <c r="E17" s="739"/>
    </row>
    <row r="18" spans="1:6" ht="15.75">
      <c r="A18" s="739"/>
      <c r="B18" s="739"/>
      <c r="C18" s="739"/>
      <c r="D18" s="739"/>
      <c r="E18" s="739"/>
    </row>
    <row r="19" spans="1:6" ht="15.75">
      <c r="A19" s="739"/>
      <c r="B19" s="739"/>
      <c r="C19" s="739"/>
      <c r="D19" s="739"/>
      <c r="E19" s="739"/>
    </row>
    <row r="20" spans="1:6" ht="15.75">
      <c r="A20" s="739"/>
      <c r="B20" s="739"/>
      <c r="C20" s="739"/>
      <c r="D20" s="739"/>
      <c r="E20" s="739"/>
    </row>
    <row r="21" spans="1:6" ht="15.75">
      <c r="A21" s="739"/>
      <c r="B21" s="739"/>
      <c r="C21" s="739"/>
      <c r="D21" s="739"/>
      <c r="E21" s="739"/>
    </row>
    <row r="22" spans="1:6">
      <c r="F22" s="155" t="s">
        <v>95</v>
      </c>
    </row>
  </sheetData>
  <mergeCells count="6">
    <mergeCell ref="A1:E1"/>
    <mergeCell ref="C10:D10"/>
    <mergeCell ref="B15:D15"/>
    <mergeCell ref="B9:D9"/>
    <mergeCell ref="A4:E4"/>
    <mergeCell ref="A3:E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7" sqref="D17"/>
    </sheetView>
  </sheetViews>
  <sheetFormatPr defaultRowHeight="12.75"/>
  <cols>
    <col min="2" max="2" width="8.5703125" style="270" bestFit="1" customWidth="1"/>
    <col min="3" max="3" width="46.5703125" bestFit="1" customWidth="1"/>
  </cols>
  <sheetData>
    <row r="1" spans="1:5" ht="31.5" customHeight="1">
      <c r="A1" s="1123" t="s">
        <v>522</v>
      </c>
      <c r="B1" s="1123"/>
      <c r="C1" s="1123"/>
      <c r="D1" s="1123"/>
      <c r="E1" s="1123"/>
    </row>
    <row r="2" spans="1:5" ht="15.75">
      <c r="A2" s="321"/>
      <c r="B2" s="759"/>
      <c r="C2" s="321"/>
      <c r="D2" s="321"/>
      <c r="E2" s="321"/>
    </row>
    <row r="3" spans="1:5" ht="15.75">
      <c r="A3" s="1108" t="s">
        <v>481</v>
      </c>
      <c r="B3" s="1108"/>
      <c r="C3" s="1108"/>
      <c r="D3" s="321"/>
      <c r="E3" s="321"/>
    </row>
    <row r="4" spans="1:5" ht="15.75">
      <c r="A4" s="728"/>
      <c r="B4" s="760"/>
      <c r="C4" s="728"/>
      <c r="D4" s="321"/>
      <c r="E4" s="321"/>
    </row>
    <row r="5" spans="1:5" ht="16.5" thickBot="1">
      <c r="A5" s="494"/>
      <c r="B5" s="755"/>
      <c r="C5" s="492"/>
      <c r="D5" s="321"/>
      <c r="E5" s="321"/>
    </row>
    <row r="6" spans="1:5" s="272" customFormat="1" ht="18.75" thickBot="1">
      <c r="A6" s="761" t="s">
        <v>482</v>
      </c>
      <c r="B6" s="762" t="s">
        <v>483</v>
      </c>
      <c r="C6" s="763" t="s">
        <v>484</v>
      </c>
      <c r="D6" s="764"/>
      <c r="E6" s="764"/>
    </row>
    <row r="7" spans="1:5" s="271" customFormat="1" ht="15.75">
      <c r="A7" s="756" t="s">
        <v>485</v>
      </c>
      <c r="B7" s="757"/>
      <c r="C7" s="756" t="s">
        <v>495</v>
      </c>
      <c r="D7" s="764"/>
      <c r="E7" s="764"/>
    </row>
    <row r="8" spans="1:5" s="269" customFormat="1" ht="15.75">
      <c r="A8" s="717"/>
      <c r="B8" s="758" t="s">
        <v>486</v>
      </c>
      <c r="C8" s="717" t="s">
        <v>495</v>
      </c>
      <c r="D8" s="321"/>
      <c r="E8" s="321"/>
    </row>
    <row r="9" spans="1:5" s="269" customFormat="1" ht="15.75">
      <c r="A9" s="717"/>
      <c r="B9" s="758" t="s">
        <v>491</v>
      </c>
      <c r="C9" s="717" t="s">
        <v>65</v>
      </c>
      <c r="D9" s="321"/>
      <c r="E9" s="321"/>
    </row>
    <row r="10" spans="1:5" s="269" customFormat="1" ht="15.75">
      <c r="A10" s="717"/>
      <c r="B10" s="758" t="s">
        <v>492</v>
      </c>
      <c r="C10" s="717" t="s">
        <v>1</v>
      </c>
      <c r="D10" s="321"/>
      <c r="E10" s="321"/>
    </row>
    <row r="11" spans="1:5" s="269" customFormat="1" ht="15.75">
      <c r="A11" s="717"/>
      <c r="B11" s="758" t="s">
        <v>493</v>
      </c>
      <c r="C11" s="717" t="s">
        <v>92</v>
      </c>
      <c r="D11" s="321"/>
      <c r="E11" s="321"/>
    </row>
    <row r="12" spans="1:5" s="269" customFormat="1" ht="15.75">
      <c r="A12" s="321"/>
      <c r="B12" s="759"/>
      <c r="C12" s="321"/>
      <c r="D12" s="321"/>
      <c r="E12" s="321"/>
    </row>
    <row r="13" spans="1:5" ht="15.75">
      <c r="A13" s="321"/>
      <c r="B13" s="759"/>
      <c r="C13" s="321"/>
      <c r="D13" s="321"/>
      <c r="E13" s="321"/>
    </row>
    <row r="14" spans="1:5" ht="15.75">
      <c r="A14" s="321"/>
      <c r="B14" s="759"/>
      <c r="C14" s="321"/>
      <c r="D14" s="321"/>
      <c r="E14" s="321"/>
    </row>
    <row r="15" spans="1:5" ht="15.75">
      <c r="A15" s="321"/>
      <c r="B15" s="759"/>
      <c r="C15" s="321"/>
      <c r="D15" s="321"/>
      <c r="E15" s="321"/>
    </row>
    <row r="16" spans="1:5" ht="15.75">
      <c r="A16" s="321"/>
      <c r="B16" s="759"/>
      <c r="C16" s="321"/>
      <c r="D16" s="321"/>
      <c r="E16" s="321"/>
    </row>
    <row r="17" spans="1:5" ht="15.75">
      <c r="A17" s="321"/>
      <c r="B17" s="759"/>
      <c r="C17" s="321"/>
      <c r="D17" s="321"/>
      <c r="E17" s="321"/>
    </row>
    <row r="18" spans="1:5" ht="15.75">
      <c r="A18" s="321"/>
      <c r="B18" s="759"/>
      <c r="C18" s="321"/>
      <c r="D18" s="321"/>
      <c r="E18" s="321"/>
    </row>
    <row r="19" spans="1:5" ht="15.75">
      <c r="A19" s="321"/>
      <c r="B19" s="759"/>
      <c r="C19" s="321"/>
      <c r="D19" s="321"/>
      <c r="E19" s="321"/>
    </row>
    <row r="20" spans="1:5" ht="15.75">
      <c r="A20" s="321"/>
      <c r="B20" s="759"/>
      <c r="C20" s="321"/>
      <c r="D20" s="321"/>
      <c r="E20" s="321"/>
    </row>
    <row r="21" spans="1:5" ht="15.75">
      <c r="A21" s="321"/>
      <c r="B21" s="759"/>
      <c r="C21" s="321"/>
      <c r="D21" s="321"/>
      <c r="E21" s="321"/>
    </row>
  </sheetData>
  <mergeCells count="2">
    <mergeCell ref="A3:C3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G71"/>
  <sheetViews>
    <sheetView zoomScale="85" zoomScaleNormal="85" workbookViewId="0">
      <selection sqref="A1:D1"/>
    </sheetView>
  </sheetViews>
  <sheetFormatPr defaultRowHeight="12.75"/>
  <cols>
    <col min="1" max="1" width="4.28515625" style="222" customWidth="1"/>
    <col min="2" max="2" width="9.7109375" style="223" bestFit="1" customWidth="1"/>
    <col min="3" max="3" width="52.5703125" style="224" customWidth="1"/>
    <col min="4" max="4" width="21.85546875" style="223" bestFit="1" customWidth="1"/>
    <col min="5" max="5" width="19.42578125" style="223" bestFit="1" customWidth="1"/>
    <col min="6" max="6" width="18.42578125" style="223" customWidth="1"/>
    <col min="7" max="7" width="19.7109375" style="223" customWidth="1"/>
    <col min="8" max="16384" width="9.140625" style="223"/>
  </cols>
  <sheetData>
    <row r="1" spans="1:7" s="182" customFormat="1" ht="38.25" customHeight="1">
      <c r="A1" s="999" t="s">
        <v>516</v>
      </c>
      <c r="B1" s="999"/>
      <c r="C1" s="999"/>
      <c r="D1" s="999"/>
    </row>
    <row r="2" spans="1:7" s="181" customFormat="1">
      <c r="A2" s="183"/>
      <c r="C2" s="182"/>
    </row>
    <row r="3" spans="1:7" s="181" customFormat="1" ht="35.25" customHeight="1">
      <c r="A3" s="998" t="s">
        <v>443</v>
      </c>
      <c r="B3" s="998"/>
      <c r="C3" s="998"/>
      <c r="D3" s="998"/>
    </row>
    <row r="4" spans="1:7" s="181" customFormat="1" ht="15.75">
      <c r="A4" s="183"/>
      <c r="B4" s="997"/>
      <c r="C4" s="997"/>
      <c r="D4" s="997"/>
    </row>
    <row r="5" spans="1:7" s="181" customFormat="1" ht="16.5" thickBot="1">
      <c r="A5" s="183"/>
      <c r="B5" s="184"/>
      <c r="C5" s="185"/>
      <c r="D5" s="186" t="s">
        <v>200</v>
      </c>
    </row>
    <row r="6" spans="1:7" s="181" customFormat="1" ht="16.5" thickBot="1">
      <c r="A6" s="187"/>
      <c r="B6" s="188" t="s">
        <v>205</v>
      </c>
      <c r="C6" s="189" t="s">
        <v>206</v>
      </c>
      <c r="D6" s="888" t="s">
        <v>207</v>
      </c>
      <c r="E6" s="902" t="s">
        <v>496</v>
      </c>
      <c r="F6" s="1000" t="s">
        <v>498</v>
      </c>
      <c r="G6" s="902"/>
    </row>
    <row r="7" spans="1:7" s="193" customFormat="1" ht="16.5" thickBot="1">
      <c r="A7" s="190">
        <v>1</v>
      </c>
      <c r="B7" s="191" t="s">
        <v>196</v>
      </c>
      <c r="C7" s="192" t="s">
        <v>198</v>
      </c>
      <c r="D7" s="889" t="s">
        <v>199</v>
      </c>
      <c r="E7" s="577" t="s">
        <v>497</v>
      </c>
      <c r="F7" s="1000"/>
      <c r="G7" s="577"/>
    </row>
    <row r="8" spans="1:7" s="181" customFormat="1" ht="18.75">
      <c r="A8" s="194">
        <v>2</v>
      </c>
      <c r="B8" s="195" t="s">
        <v>109</v>
      </c>
      <c r="C8" s="196" t="s">
        <v>110</v>
      </c>
      <c r="D8" s="890">
        <v>88714600</v>
      </c>
      <c r="E8" s="902"/>
      <c r="F8" s="969">
        <f>D8+E8</f>
        <v>88714600</v>
      </c>
      <c r="G8" s="903">
        <f>F8-D8</f>
        <v>0</v>
      </c>
    </row>
    <row r="9" spans="1:7" s="181" customFormat="1" ht="15.75">
      <c r="A9" s="197">
        <v>3</v>
      </c>
      <c r="B9" s="198" t="s">
        <v>111</v>
      </c>
      <c r="C9" s="199" t="s">
        <v>112</v>
      </c>
      <c r="D9" s="891">
        <v>7200670</v>
      </c>
      <c r="E9" s="902"/>
      <c r="F9" s="969">
        <f t="shared" ref="F9:F15" si="0">D9+E9</f>
        <v>7200670</v>
      </c>
      <c r="G9" s="903">
        <f t="shared" ref="G9:G69" si="1">F9-D9</f>
        <v>0</v>
      </c>
    </row>
    <row r="10" spans="1:7" s="181" customFormat="1" ht="15.75">
      <c r="A10" s="197">
        <v>4</v>
      </c>
      <c r="B10" s="200" t="s">
        <v>113</v>
      </c>
      <c r="C10" s="201" t="s">
        <v>114</v>
      </c>
      <c r="D10" s="892">
        <v>9952000</v>
      </c>
      <c r="E10" s="902"/>
      <c r="F10" s="969">
        <f t="shared" si="0"/>
        <v>9952000</v>
      </c>
      <c r="G10" s="903">
        <f t="shared" si="1"/>
        <v>0</v>
      </c>
    </row>
    <row r="11" spans="1:7" s="181" customFormat="1" ht="15.75">
      <c r="A11" s="197">
        <v>5</v>
      </c>
      <c r="B11" s="200" t="s">
        <v>115</v>
      </c>
      <c r="C11" s="201" t="s">
        <v>116</v>
      </c>
      <c r="D11" s="892">
        <v>100000</v>
      </c>
      <c r="E11" s="902"/>
      <c r="F11" s="969">
        <f t="shared" si="0"/>
        <v>100000</v>
      </c>
      <c r="G11" s="903">
        <f t="shared" si="1"/>
        <v>0</v>
      </c>
    </row>
    <row r="12" spans="1:7" s="181" customFormat="1" ht="15.75">
      <c r="A12" s="197">
        <v>6</v>
      </c>
      <c r="B12" s="200" t="s">
        <v>117</v>
      </c>
      <c r="C12" s="201" t="s">
        <v>118</v>
      </c>
      <c r="D12" s="892">
        <v>6617050</v>
      </c>
      <c r="E12" s="902"/>
      <c r="F12" s="969">
        <f t="shared" si="0"/>
        <v>6617050</v>
      </c>
      <c r="G12" s="903">
        <f t="shared" si="1"/>
        <v>0</v>
      </c>
    </row>
    <row r="13" spans="1:7" s="181" customFormat="1" ht="15.75">
      <c r="A13" s="197">
        <v>7</v>
      </c>
      <c r="B13" s="200" t="s">
        <v>119</v>
      </c>
      <c r="C13" s="201" t="s">
        <v>120</v>
      </c>
      <c r="D13" s="892">
        <v>6424094</v>
      </c>
      <c r="E13" s="902"/>
      <c r="F13" s="969">
        <f t="shared" si="0"/>
        <v>6424094</v>
      </c>
      <c r="G13" s="903">
        <f t="shared" si="1"/>
        <v>0</v>
      </c>
    </row>
    <row r="14" spans="1:7" s="181" customFormat="1" ht="15.75">
      <c r="A14" s="197">
        <v>8</v>
      </c>
      <c r="B14" s="200" t="s">
        <v>121</v>
      </c>
      <c r="C14" s="201" t="s">
        <v>122</v>
      </c>
      <c r="D14" s="892">
        <v>40800</v>
      </c>
      <c r="E14" s="902"/>
      <c r="F14" s="969">
        <f t="shared" si="0"/>
        <v>40800</v>
      </c>
      <c r="G14" s="903">
        <f t="shared" si="1"/>
        <v>0</v>
      </c>
    </row>
    <row r="15" spans="1:7" s="181" customFormat="1" ht="18.75">
      <c r="A15" s="197">
        <v>9</v>
      </c>
      <c r="B15" s="200" t="s">
        <v>428</v>
      </c>
      <c r="C15" s="201" t="s">
        <v>429</v>
      </c>
      <c r="D15" s="893">
        <v>3360</v>
      </c>
      <c r="E15" s="902"/>
      <c r="F15" s="969">
        <f t="shared" si="0"/>
        <v>3360</v>
      </c>
      <c r="G15" s="903">
        <f t="shared" si="1"/>
        <v>0</v>
      </c>
    </row>
    <row r="16" spans="1:7" s="181" customFormat="1" ht="18.75">
      <c r="A16" s="197">
        <v>10</v>
      </c>
      <c r="B16" s="202" t="s">
        <v>123</v>
      </c>
      <c r="C16" s="203" t="s">
        <v>124</v>
      </c>
      <c r="D16" s="894">
        <f>SUM(D9:D15)</f>
        <v>30337974</v>
      </c>
      <c r="E16" s="894">
        <f t="shared" ref="E16:F16" si="2">SUM(E9:E15)</f>
        <v>0</v>
      </c>
      <c r="F16" s="894">
        <f t="shared" si="2"/>
        <v>30337974</v>
      </c>
      <c r="G16" s="903">
        <f t="shared" si="1"/>
        <v>0</v>
      </c>
    </row>
    <row r="17" spans="1:7" s="181" customFormat="1" ht="18.75">
      <c r="A17" s="197">
        <v>11</v>
      </c>
      <c r="B17" s="204" t="s">
        <v>125</v>
      </c>
      <c r="C17" s="205" t="s">
        <v>126</v>
      </c>
      <c r="D17" s="895">
        <f>+D8+D16</f>
        <v>119052574</v>
      </c>
      <c r="E17" s="895">
        <f t="shared" ref="E17:F17" si="3">+E8+E16</f>
        <v>0</v>
      </c>
      <c r="F17" s="895">
        <f t="shared" si="3"/>
        <v>119052574</v>
      </c>
      <c r="G17" s="903">
        <f t="shared" si="1"/>
        <v>0</v>
      </c>
    </row>
    <row r="18" spans="1:7" s="181" customFormat="1" ht="18.75">
      <c r="A18" s="197">
        <v>12</v>
      </c>
      <c r="B18" s="204" t="s">
        <v>127</v>
      </c>
      <c r="C18" s="205" t="s">
        <v>128</v>
      </c>
      <c r="D18" s="895">
        <v>0</v>
      </c>
      <c r="E18" s="895">
        <v>0</v>
      </c>
      <c r="F18" s="895">
        <v>0</v>
      </c>
      <c r="G18" s="903">
        <f t="shared" si="1"/>
        <v>0</v>
      </c>
    </row>
    <row r="19" spans="1:7" s="181" customFormat="1" ht="18.75">
      <c r="A19" s="197">
        <v>13</v>
      </c>
      <c r="B19" s="204" t="s">
        <v>129</v>
      </c>
      <c r="C19" s="205" t="s">
        <v>430</v>
      </c>
      <c r="D19" s="895">
        <v>1041000</v>
      </c>
      <c r="E19" s="895"/>
      <c r="F19" s="895">
        <v>1041000</v>
      </c>
      <c r="G19" s="903">
        <f t="shared" si="1"/>
        <v>0</v>
      </c>
    </row>
    <row r="20" spans="1:7" s="181" customFormat="1" ht="31.5">
      <c r="A20" s="197">
        <v>14</v>
      </c>
      <c r="B20" s="206" t="s">
        <v>130</v>
      </c>
      <c r="C20" s="207" t="s">
        <v>197</v>
      </c>
      <c r="D20" s="896">
        <f>SUM(D17:D19)</f>
        <v>120093574</v>
      </c>
      <c r="E20" s="896">
        <f t="shared" ref="E20:F20" si="4">SUM(E17:E19)</f>
        <v>0</v>
      </c>
      <c r="F20" s="896">
        <f t="shared" si="4"/>
        <v>120093574</v>
      </c>
      <c r="G20" s="903">
        <f t="shared" si="1"/>
        <v>0</v>
      </c>
    </row>
    <row r="21" spans="1:7" s="181" customFormat="1" ht="18.75">
      <c r="A21" s="197">
        <v>15</v>
      </c>
      <c r="B21" s="208" t="s">
        <v>131</v>
      </c>
      <c r="C21" s="201" t="s">
        <v>132</v>
      </c>
      <c r="D21" s="893">
        <v>30638400</v>
      </c>
      <c r="E21" s="902"/>
      <c r="F21" s="969">
        <f t="shared" ref="F21:F26" si="5">D21+E21</f>
        <v>30638400</v>
      </c>
      <c r="G21" s="903">
        <f t="shared" si="1"/>
        <v>0</v>
      </c>
    </row>
    <row r="22" spans="1:7" s="181" customFormat="1" ht="18.75">
      <c r="A22" s="197">
        <v>16</v>
      </c>
      <c r="B22" s="208" t="s">
        <v>133</v>
      </c>
      <c r="C22" s="201" t="s">
        <v>134</v>
      </c>
      <c r="D22" s="893">
        <v>14140800</v>
      </c>
      <c r="E22" s="902"/>
      <c r="F22" s="969">
        <f t="shared" si="5"/>
        <v>14140800</v>
      </c>
      <c r="G22" s="903">
        <f t="shared" si="1"/>
        <v>0</v>
      </c>
    </row>
    <row r="23" spans="1:7" s="181" customFormat="1" ht="28.5">
      <c r="A23" s="197">
        <v>17</v>
      </c>
      <c r="B23" s="209"/>
      <c r="C23" s="210" t="s">
        <v>135</v>
      </c>
      <c r="D23" s="897">
        <f>SUM(D21:D22)</f>
        <v>44779200</v>
      </c>
      <c r="E23" s="902"/>
      <c r="F23" s="969">
        <f t="shared" si="5"/>
        <v>44779200</v>
      </c>
      <c r="G23" s="903">
        <f t="shared" si="1"/>
        <v>0</v>
      </c>
    </row>
    <row r="24" spans="1:7" s="181" customFormat="1" ht="18.75">
      <c r="A24" s="197">
        <v>18</v>
      </c>
      <c r="B24" s="200" t="s">
        <v>136</v>
      </c>
      <c r="C24" s="201" t="s">
        <v>137</v>
      </c>
      <c r="D24" s="893">
        <v>10290000</v>
      </c>
      <c r="E24" s="902"/>
      <c r="F24" s="969">
        <f t="shared" si="5"/>
        <v>10290000</v>
      </c>
      <c r="G24" s="903">
        <f t="shared" si="1"/>
        <v>0</v>
      </c>
    </row>
    <row r="25" spans="1:7" s="181" customFormat="1" ht="18.75">
      <c r="A25" s="197">
        <v>19</v>
      </c>
      <c r="B25" s="200" t="s">
        <v>138</v>
      </c>
      <c r="C25" s="201" t="s">
        <v>139</v>
      </c>
      <c r="D25" s="893">
        <v>5145000</v>
      </c>
      <c r="E25" s="902"/>
      <c r="F25" s="969">
        <f t="shared" si="5"/>
        <v>5145000</v>
      </c>
      <c r="G25" s="903">
        <f t="shared" si="1"/>
        <v>0</v>
      </c>
    </row>
    <row r="26" spans="1:7" s="181" customFormat="1" ht="42.75">
      <c r="A26" s="197">
        <v>20</v>
      </c>
      <c r="B26" s="211"/>
      <c r="C26" s="210" t="s">
        <v>140</v>
      </c>
      <c r="D26" s="897">
        <f>SUM(D24:D25)</f>
        <v>15435000</v>
      </c>
      <c r="E26" s="902"/>
      <c r="F26" s="969">
        <f t="shared" si="5"/>
        <v>15435000</v>
      </c>
      <c r="G26" s="903">
        <f t="shared" si="1"/>
        <v>0</v>
      </c>
    </row>
    <row r="27" spans="1:7" s="181" customFormat="1" ht="28.5">
      <c r="A27" s="197">
        <v>21</v>
      </c>
      <c r="B27" s="212"/>
      <c r="C27" s="213" t="s">
        <v>141</v>
      </c>
      <c r="D27" s="898">
        <f>SUM(D23,D26)</f>
        <v>60214200</v>
      </c>
      <c r="E27" s="898">
        <f t="shared" ref="E27:F27" si="6">SUM(E23,E26)</f>
        <v>0</v>
      </c>
      <c r="F27" s="898">
        <f t="shared" si="6"/>
        <v>60214200</v>
      </c>
      <c r="G27" s="903">
        <f t="shared" si="1"/>
        <v>0</v>
      </c>
    </row>
    <row r="28" spans="1:7" s="181" customFormat="1" ht="18.75">
      <c r="A28" s="197">
        <v>22</v>
      </c>
      <c r="B28" s="200" t="s">
        <v>142</v>
      </c>
      <c r="C28" s="201" t="s">
        <v>143</v>
      </c>
      <c r="D28" s="893">
        <v>5991333</v>
      </c>
      <c r="E28" s="902"/>
      <c r="F28" s="969">
        <f t="shared" ref="F28:F29" si="7">D28+E28</f>
        <v>5991333</v>
      </c>
      <c r="G28" s="903">
        <f t="shared" si="1"/>
        <v>0</v>
      </c>
    </row>
    <row r="29" spans="1:7" s="181" customFormat="1" ht="18.75">
      <c r="A29" s="197">
        <v>23</v>
      </c>
      <c r="B29" s="200" t="s">
        <v>144</v>
      </c>
      <c r="C29" s="201" t="s">
        <v>145</v>
      </c>
      <c r="D29" s="893">
        <v>2805033</v>
      </c>
      <c r="E29" s="902"/>
      <c r="F29" s="969">
        <f t="shared" si="7"/>
        <v>2805033</v>
      </c>
      <c r="G29" s="903">
        <f t="shared" si="1"/>
        <v>0</v>
      </c>
    </row>
    <row r="30" spans="1:7" s="181" customFormat="1" ht="18.75">
      <c r="A30" s="197">
        <v>24</v>
      </c>
      <c r="B30" s="214"/>
      <c r="C30" s="215" t="s">
        <v>146</v>
      </c>
      <c r="D30" s="899">
        <f>SUM(D28:D29)</f>
        <v>8796366</v>
      </c>
      <c r="E30" s="899">
        <f t="shared" ref="E30:F30" si="8">SUM(E28:E29)</f>
        <v>0</v>
      </c>
      <c r="F30" s="899">
        <f t="shared" si="8"/>
        <v>8796366</v>
      </c>
      <c r="G30" s="903">
        <f t="shared" si="1"/>
        <v>0</v>
      </c>
    </row>
    <row r="31" spans="1:7" s="181" customFormat="1" ht="18.75">
      <c r="A31" s="197">
        <v>25</v>
      </c>
      <c r="B31" s="200" t="s">
        <v>147</v>
      </c>
      <c r="C31" s="201" t="s">
        <v>148</v>
      </c>
      <c r="D31" s="893">
        <v>1386000</v>
      </c>
      <c r="E31" s="902"/>
      <c r="F31" s="969">
        <f t="shared" ref="F31:F32" si="9">D31+E31</f>
        <v>1386000</v>
      </c>
      <c r="G31" s="903">
        <f t="shared" si="1"/>
        <v>0</v>
      </c>
    </row>
    <row r="32" spans="1:7" s="181" customFormat="1" ht="18.75">
      <c r="A32" s="197">
        <v>26</v>
      </c>
      <c r="B32" s="200" t="s">
        <v>149</v>
      </c>
      <c r="C32" s="201" t="s">
        <v>150</v>
      </c>
      <c r="D32" s="893">
        <v>441000</v>
      </c>
      <c r="E32" s="902"/>
      <c r="F32" s="969">
        <f t="shared" si="9"/>
        <v>441000</v>
      </c>
      <c r="G32" s="903">
        <f t="shared" si="1"/>
        <v>0</v>
      </c>
    </row>
    <row r="33" spans="1:7" s="181" customFormat="1" ht="28.5">
      <c r="A33" s="197">
        <v>27</v>
      </c>
      <c r="B33" s="214"/>
      <c r="C33" s="215" t="s">
        <v>151</v>
      </c>
      <c r="D33" s="899">
        <f>SUM(D31:D32)</f>
        <v>1827000</v>
      </c>
      <c r="E33" s="899">
        <f t="shared" ref="E33:F33" si="10">SUM(E31:E32)</f>
        <v>0</v>
      </c>
      <c r="F33" s="899">
        <f t="shared" si="10"/>
        <v>1827000</v>
      </c>
      <c r="G33" s="903">
        <f t="shared" si="1"/>
        <v>0</v>
      </c>
    </row>
    <row r="34" spans="1:7" s="181" customFormat="1" ht="28.5">
      <c r="A34" s="197">
        <v>28</v>
      </c>
      <c r="B34" s="214"/>
      <c r="C34" s="215" t="s">
        <v>152</v>
      </c>
      <c r="D34" s="899">
        <v>0</v>
      </c>
      <c r="E34" s="899">
        <v>0</v>
      </c>
      <c r="F34" s="899">
        <v>0</v>
      </c>
      <c r="G34" s="903">
        <f t="shared" si="1"/>
        <v>0</v>
      </c>
    </row>
    <row r="35" spans="1:7" s="181" customFormat="1" ht="38.25">
      <c r="A35" s="197">
        <v>29</v>
      </c>
      <c r="B35" s="200" t="s">
        <v>434</v>
      </c>
      <c r="C35" s="201" t="s">
        <v>433</v>
      </c>
      <c r="D35" s="893">
        <v>401000</v>
      </c>
      <c r="E35" s="902"/>
      <c r="F35" s="969">
        <f t="shared" ref="F35:F36" si="11">D35+E35</f>
        <v>401000</v>
      </c>
      <c r="G35" s="903">
        <f t="shared" si="1"/>
        <v>0</v>
      </c>
    </row>
    <row r="36" spans="1:7" s="181" customFormat="1" ht="38.25">
      <c r="A36" s="197">
        <v>30</v>
      </c>
      <c r="B36" s="200" t="s">
        <v>432</v>
      </c>
      <c r="C36" s="201" t="s">
        <v>431</v>
      </c>
      <c r="D36" s="893">
        <v>1463000</v>
      </c>
      <c r="E36" s="902"/>
      <c r="F36" s="969">
        <f t="shared" si="11"/>
        <v>1463000</v>
      </c>
      <c r="G36" s="903">
        <f t="shared" si="1"/>
        <v>0</v>
      </c>
    </row>
    <row r="37" spans="1:7" s="181" customFormat="1" ht="28.5">
      <c r="A37" s="197">
        <v>31</v>
      </c>
      <c r="B37" s="216"/>
      <c r="C37" s="215" t="s">
        <v>153</v>
      </c>
      <c r="D37" s="899">
        <f>SUM(D35:D36)</f>
        <v>1864000</v>
      </c>
      <c r="E37" s="899">
        <f t="shared" ref="E37:F37" si="12">SUM(E35:E36)</f>
        <v>0</v>
      </c>
      <c r="F37" s="899">
        <f t="shared" si="12"/>
        <v>1864000</v>
      </c>
      <c r="G37" s="903">
        <f t="shared" si="1"/>
        <v>0</v>
      </c>
    </row>
    <row r="38" spans="1:7" s="181" customFormat="1" ht="47.25">
      <c r="A38" s="197">
        <v>32</v>
      </c>
      <c r="B38" s="206" t="s">
        <v>154</v>
      </c>
      <c r="C38" s="207" t="s">
        <v>202</v>
      </c>
      <c r="D38" s="896">
        <f>SUM(D27,D30,D33,D34,D37)</f>
        <v>72701566</v>
      </c>
      <c r="E38" s="896">
        <f t="shared" ref="E38:F38" si="13">SUM(E27,E30,E33,E34,E37)</f>
        <v>0</v>
      </c>
      <c r="F38" s="896">
        <f t="shared" si="13"/>
        <v>72701566</v>
      </c>
      <c r="G38" s="903">
        <f t="shared" si="1"/>
        <v>0</v>
      </c>
    </row>
    <row r="39" spans="1:7" s="181" customFormat="1" ht="28.5">
      <c r="A39" s="197">
        <v>33</v>
      </c>
      <c r="B39" s="216" t="s">
        <v>155</v>
      </c>
      <c r="C39" s="215" t="s">
        <v>156</v>
      </c>
      <c r="D39" s="899">
        <v>35781000</v>
      </c>
      <c r="E39" s="902"/>
      <c r="F39" s="969">
        <f t="shared" ref="F39:F48" si="14">D39+E39</f>
        <v>35781000</v>
      </c>
      <c r="G39" s="903">
        <f t="shared" si="1"/>
        <v>0</v>
      </c>
    </row>
    <row r="40" spans="1:7" s="181" customFormat="1" ht="18.75">
      <c r="A40" s="197">
        <v>34</v>
      </c>
      <c r="B40" s="208"/>
      <c r="C40" s="201" t="s">
        <v>157</v>
      </c>
      <c r="D40" s="893">
        <f>SUM(D41,D42)</f>
        <v>6800000</v>
      </c>
      <c r="E40" s="902"/>
      <c r="F40" s="969">
        <f t="shared" si="14"/>
        <v>6800000</v>
      </c>
      <c r="G40" s="903">
        <f t="shared" si="1"/>
        <v>0</v>
      </c>
    </row>
    <row r="41" spans="1:7" s="181" customFormat="1" ht="15.75">
      <c r="A41" s="197">
        <v>35</v>
      </c>
      <c r="B41" s="208" t="s">
        <v>158</v>
      </c>
      <c r="C41" s="217" t="s">
        <v>159</v>
      </c>
      <c r="D41" s="892">
        <v>6800000</v>
      </c>
      <c r="E41" s="902"/>
      <c r="F41" s="969">
        <f t="shared" si="14"/>
        <v>6800000</v>
      </c>
      <c r="G41" s="903">
        <f t="shared" si="1"/>
        <v>0</v>
      </c>
    </row>
    <row r="42" spans="1:7" s="181" customFormat="1" ht="15.75">
      <c r="A42" s="197">
        <v>36</v>
      </c>
      <c r="B42" s="208" t="s">
        <v>160</v>
      </c>
      <c r="C42" s="217" t="s">
        <v>161</v>
      </c>
      <c r="D42" s="892">
        <v>0</v>
      </c>
      <c r="E42" s="902"/>
      <c r="F42" s="969">
        <f t="shared" si="14"/>
        <v>0</v>
      </c>
      <c r="G42" s="903">
        <f t="shared" si="1"/>
        <v>0</v>
      </c>
    </row>
    <row r="43" spans="1:7" s="181" customFormat="1" ht="18.75">
      <c r="A43" s="197">
        <v>37</v>
      </c>
      <c r="B43" s="208" t="s">
        <v>162</v>
      </c>
      <c r="C43" s="201" t="s">
        <v>89</v>
      </c>
      <c r="D43" s="893">
        <v>0</v>
      </c>
      <c r="E43" s="902"/>
      <c r="F43" s="969">
        <f t="shared" si="14"/>
        <v>0</v>
      </c>
      <c r="G43" s="903">
        <f t="shared" si="1"/>
        <v>0</v>
      </c>
    </row>
    <row r="44" spans="1:7" s="181" customFormat="1" ht="18.75">
      <c r="A44" s="197">
        <v>38</v>
      </c>
      <c r="B44" s="208" t="s">
        <v>163</v>
      </c>
      <c r="C44" s="201" t="s">
        <v>164</v>
      </c>
      <c r="D44" s="893">
        <v>5785120</v>
      </c>
      <c r="E44" s="902"/>
      <c r="F44" s="969">
        <f t="shared" si="14"/>
        <v>5785120</v>
      </c>
      <c r="G44" s="903">
        <f t="shared" si="1"/>
        <v>0</v>
      </c>
    </row>
    <row r="45" spans="1:7" s="181" customFormat="1" ht="18.75">
      <c r="A45" s="197">
        <v>39</v>
      </c>
      <c r="B45" s="208" t="s">
        <v>165</v>
      </c>
      <c r="C45" s="201" t="s">
        <v>166</v>
      </c>
      <c r="D45" s="893">
        <v>550000</v>
      </c>
      <c r="E45" s="902"/>
      <c r="F45" s="969">
        <f t="shared" si="14"/>
        <v>550000</v>
      </c>
      <c r="G45" s="903">
        <f t="shared" si="1"/>
        <v>0</v>
      </c>
    </row>
    <row r="46" spans="1:7" s="181" customFormat="1" ht="18.75">
      <c r="A46" s="197">
        <v>40</v>
      </c>
      <c r="B46" s="208" t="s">
        <v>167</v>
      </c>
      <c r="C46" s="201" t="s">
        <v>168</v>
      </c>
      <c r="D46" s="893">
        <v>0</v>
      </c>
      <c r="E46" s="902"/>
      <c r="F46" s="969">
        <f t="shared" si="14"/>
        <v>0</v>
      </c>
      <c r="G46" s="903">
        <f t="shared" si="1"/>
        <v>0</v>
      </c>
    </row>
    <row r="47" spans="1:7" s="181" customFormat="1" ht="25.5">
      <c r="A47" s="197">
        <v>41</v>
      </c>
      <c r="B47" s="208" t="s">
        <v>169</v>
      </c>
      <c r="C47" s="201" t="s">
        <v>170</v>
      </c>
      <c r="D47" s="893">
        <v>17589000</v>
      </c>
      <c r="E47" s="903"/>
      <c r="F47" s="969">
        <f t="shared" si="14"/>
        <v>17589000</v>
      </c>
      <c r="G47" s="903">
        <f t="shared" si="1"/>
        <v>0</v>
      </c>
    </row>
    <row r="48" spans="1:7" s="181" customFormat="1" ht="18.75">
      <c r="A48" s="197">
        <v>42</v>
      </c>
      <c r="B48" s="208" t="s">
        <v>171</v>
      </c>
      <c r="C48" s="201" t="s">
        <v>172</v>
      </c>
      <c r="D48" s="893">
        <v>22236000</v>
      </c>
      <c r="E48" s="902"/>
      <c r="F48" s="969">
        <f t="shared" si="14"/>
        <v>22236000</v>
      </c>
      <c r="G48" s="903">
        <f t="shared" si="1"/>
        <v>0</v>
      </c>
    </row>
    <row r="49" spans="1:7" s="181" customFormat="1" ht="28.5">
      <c r="A49" s="197">
        <v>43</v>
      </c>
      <c r="B49" s="216" t="s">
        <v>173</v>
      </c>
      <c r="C49" s="215" t="s">
        <v>174</v>
      </c>
      <c r="D49" s="899">
        <f>SUM(D40,D43:D48)</f>
        <v>52960120</v>
      </c>
      <c r="E49" s="899">
        <f t="shared" ref="E49:F49" si="15">SUM(E40,E43:E48)</f>
        <v>0</v>
      </c>
      <c r="F49" s="899">
        <f t="shared" si="15"/>
        <v>52960120</v>
      </c>
      <c r="G49" s="903">
        <f t="shared" si="1"/>
        <v>0</v>
      </c>
    </row>
    <row r="50" spans="1:7" s="181" customFormat="1" ht="25.5">
      <c r="A50" s="197">
        <v>44</v>
      </c>
      <c r="B50" s="208" t="s">
        <v>175</v>
      </c>
      <c r="C50" s="201" t="s">
        <v>96</v>
      </c>
      <c r="D50" s="893">
        <v>11392000</v>
      </c>
      <c r="E50" s="902"/>
      <c r="F50" s="969">
        <f t="shared" ref="F50:F51" si="16">D50+E50</f>
        <v>11392000</v>
      </c>
      <c r="G50" s="903">
        <f t="shared" si="1"/>
        <v>0</v>
      </c>
    </row>
    <row r="51" spans="1:7" s="181" customFormat="1" ht="18.75">
      <c r="A51" s="197">
        <v>45</v>
      </c>
      <c r="B51" s="208" t="s">
        <v>176</v>
      </c>
      <c r="C51" s="201" t="s">
        <v>177</v>
      </c>
      <c r="D51" s="893">
        <v>3534000</v>
      </c>
      <c r="E51" s="902"/>
      <c r="F51" s="969">
        <f t="shared" si="16"/>
        <v>3534000</v>
      </c>
      <c r="G51" s="903">
        <f t="shared" si="1"/>
        <v>0</v>
      </c>
    </row>
    <row r="52" spans="1:7" s="181" customFormat="1" ht="57">
      <c r="A52" s="197">
        <v>46</v>
      </c>
      <c r="B52" s="216" t="s">
        <v>178</v>
      </c>
      <c r="C52" s="215" t="s">
        <v>179</v>
      </c>
      <c r="D52" s="899">
        <f>SUM(D50:D51)</f>
        <v>14926000</v>
      </c>
      <c r="E52" s="899">
        <f t="shared" ref="E52:F52" si="17">SUM(E50:E51)</f>
        <v>0</v>
      </c>
      <c r="F52" s="899">
        <f t="shared" si="17"/>
        <v>14926000</v>
      </c>
      <c r="G52" s="903">
        <f t="shared" si="1"/>
        <v>0</v>
      </c>
    </row>
    <row r="53" spans="1:7" s="181" customFormat="1" ht="18.75">
      <c r="A53" s="197">
        <v>47</v>
      </c>
      <c r="B53" s="208" t="s">
        <v>180</v>
      </c>
      <c r="C53" s="201" t="s">
        <v>181</v>
      </c>
      <c r="D53" s="893">
        <v>14706000</v>
      </c>
      <c r="E53" s="902"/>
      <c r="F53" s="969">
        <f>D53</f>
        <v>14706000</v>
      </c>
      <c r="G53" s="903">
        <f t="shared" si="1"/>
        <v>0</v>
      </c>
    </row>
    <row r="54" spans="1:7" s="181" customFormat="1" ht="18.75">
      <c r="A54" s="197">
        <v>48</v>
      </c>
      <c r="B54" s="208" t="s">
        <v>182</v>
      </c>
      <c r="C54" s="201" t="s">
        <v>93</v>
      </c>
      <c r="D54" s="893">
        <v>25346375</v>
      </c>
      <c r="E54" s="902"/>
      <c r="F54" s="969">
        <f>D54</f>
        <v>25346375</v>
      </c>
      <c r="G54" s="903">
        <f t="shared" si="1"/>
        <v>0</v>
      </c>
    </row>
    <row r="55" spans="1:7" s="181" customFormat="1" ht="18.75">
      <c r="A55" s="197">
        <v>49</v>
      </c>
      <c r="B55" s="216" t="s">
        <v>183</v>
      </c>
      <c r="C55" s="215" t="s">
        <v>184</v>
      </c>
      <c r="D55" s="899">
        <f>SUM(D53:D54)</f>
        <v>40052375</v>
      </c>
      <c r="E55" s="899">
        <f t="shared" ref="E55:F55" si="18">SUM(E53:E54)</f>
        <v>0</v>
      </c>
      <c r="F55" s="899">
        <f t="shared" si="18"/>
        <v>40052375</v>
      </c>
      <c r="G55" s="903">
        <f t="shared" si="1"/>
        <v>0</v>
      </c>
    </row>
    <row r="56" spans="1:7" s="181" customFormat="1" ht="28.5">
      <c r="A56" s="197">
        <v>50</v>
      </c>
      <c r="B56" s="216" t="s">
        <v>185</v>
      </c>
      <c r="C56" s="215" t="s">
        <v>186</v>
      </c>
      <c r="D56" s="899">
        <v>1497960</v>
      </c>
      <c r="E56" s="899">
        <v>0</v>
      </c>
      <c r="F56" s="899">
        <v>1497960</v>
      </c>
      <c r="G56" s="903">
        <f t="shared" si="1"/>
        <v>0</v>
      </c>
    </row>
    <row r="57" spans="1:7" s="181" customFormat="1" ht="25.5">
      <c r="A57" s="197">
        <v>51</v>
      </c>
      <c r="B57" s="208" t="s">
        <v>435</v>
      </c>
      <c r="C57" s="201" t="s">
        <v>439</v>
      </c>
      <c r="D57" s="893">
        <v>19001700</v>
      </c>
      <c r="E57" s="902"/>
      <c r="F57" s="969">
        <f t="shared" ref="F57:F59" si="19">D57+E57</f>
        <v>19001700</v>
      </c>
      <c r="G57" s="903">
        <f t="shared" si="1"/>
        <v>0</v>
      </c>
    </row>
    <row r="58" spans="1:7" s="181" customFormat="1" ht="25.5">
      <c r="A58" s="197">
        <v>52</v>
      </c>
      <c r="B58" s="208" t="s">
        <v>437</v>
      </c>
      <c r="C58" s="201" t="s">
        <v>440</v>
      </c>
      <c r="D58" s="893">
        <v>5986000</v>
      </c>
      <c r="E58" s="902"/>
      <c r="F58" s="969">
        <f t="shared" si="19"/>
        <v>5986000</v>
      </c>
      <c r="G58" s="903">
        <f t="shared" si="1"/>
        <v>0</v>
      </c>
    </row>
    <row r="59" spans="1:7" s="181" customFormat="1" ht="18.75">
      <c r="A59" s="197">
        <v>53</v>
      </c>
      <c r="B59" s="208" t="s">
        <v>438</v>
      </c>
      <c r="C59" s="201" t="s">
        <v>441</v>
      </c>
      <c r="D59" s="893">
        <v>1110000</v>
      </c>
      <c r="E59" s="902"/>
      <c r="F59" s="969">
        <f t="shared" si="19"/>
        <v>1110000</v>
      </c>
      <c r="G59" s="903">
        <f t="shared" si="1"/>
        <v>0</v>
      </c>
    </row>
    <row r="60" spans="1:7" s="181" customFormat="1" ht="18.75">
      <c r="A60" s="197">
        <v>54</v>
      </c>
      <c r="B60" s="216" t="s">
        <v>436</v>
      </c>
      <c r="C60" s="215" t="s">
        <v>442</v>
      </c>
      <c r="D60" s="899">
        <f>SUM(D57:D59)</f>
        <v>26097700</v>
      </c>
      <c r="E60" s="899">
        <f t="shared" ref="E60:F60" si="20">SUM(E57:E59)</f>
        <v>0</v>
      </c>
      <c r="F60" s="899">
        <f t="shared" si="20"/>
        <v>26097700</v>
      </c>
      <c r="G60" s="903">
        <f t="shared" si="1"/>
        <v>0</v>
      </c>
    </row>
    <row r="61" spans="1:7" s="181" customFormat="1" ht="18.75">
      <c r="A61" s="197"/>
      <c r="B61" s="216"/>
      <c r="C61" s="215" t="s">
        <v>501</v>
      </c>
      <c r="D61" s="899"/>
      <c r="E61" s="899">
        <v>6839865</v>
      </c>
      <c r="F61" s="899">
        <f>D61+E61</f>
        <v>6839865</v>
      </c>
      <c r="G61" s="903">
        <f t="shared" si="1"/>
        <v>6839865</v>
      </c>
    </row>
    <row r="62" spans="1:7" s="181" customFormat="1" ht="63">
      <c r="A62" s="197">
        <v>55</v>
      </c>
      <c r="B62" s="206" t="s">
        <v>187</v>
      </c>
      <c r="C62" s="207" t="s">
        <v>203</v>
      </c>
      <c r="D62" s="896">
        <f>+D39+D49+D52+D55+D56+D60+D61</f>
        <v>171315155</v>
      </c>
      <c r="E62" s="896">
        <f t="shared" ref="E62:F62" si="21">+E39+E49+E52+E55+E56+E60+E61</f>
        <v>6839865</v>
      </c>
      <c r="F62" s="896">
        <f t="shared" si="21"/>
        <v>178155020</v>
      </c>
      <c r="G62" s="903">
        <f t="shared" si="1"/>
        <v>6839865</v>
      </c>
    </row>
    <row r="63" spans="1:7" s="181" customFormat="1" ht="25.5">
      <c r="A63" s="197">
        <v>56</v>
      </c>
      <c r="B63" s="208" t="s">
        <v>188</v>
      </c>
      <c r="C63" s="201" t="s">
        <v>189</v>
      </c>
      <c r="D63" s="893">
        <v>3584020</v>
      </c>
      <c r="E63" s="902"/>
      <c r="F63" s="969">
        <f t="shared" ref="F63:F64" si="22">D63+E63</f>
        <v>3584020</v>
      </c>
      <c r="G63" s="903">
        <f t="shared" si="1"/>
        <v>0</v>
      </c>
    </row>
    <row r="64" spans="1:7" s="181" customFormat="1" ht="18.75">
      <c r="A64" s="197"/>
      <c r="B64" s="208"/>
      <c r="C64" s="201" t="s">
        <v>499</v>
      </c>
      <c r="D64" s="893"/>
      <c r="E64" s="904">
        <v>835082</v>
      </c>
      <c r="F64" s="969">
        <f t="shared" si="22"/>
        <v>835082</v>
      </c>
      <c r="G64" s="903">
        <f t="shared" si="1"/>
        <v>835082</v>
      </c>
    </row>
    <row r="65" spans="1:7" s="181" customFormat="1" ht="28.5">
      <c r="A65" s="197">
        <v>57</v>
      </c>
      <c r="B65" s="216" t="s">
        <v>190</v>
      </c>
      <c r="C65" s="215" t="s">
        <v>191</v>
      </c>
      <c r="D65" s="899">
        <f t="shared" ref="D65:E65" si="23">SUM(D63:D64)</f>
        <v>3584020</v>
      </c>
      <c r="E65" s="899">
        <f t="shared" si="23"/>
        <v>835082</v>
      </c>
      <c r="F65" s="899">
        <f>SUM(F63:F64)</f>
        <v>4419102</v>
      </c>
      <c r="G65" s="903">
        <f t="shared" si="1"/>
        <v>835082</v>
      </c>
    </row>
    <row r="66" spans="1:7" s="181" customFormat="1" ht="28.5">
      <c r="A66" s="197">
        <v>58</v>
      </c>
      <c r="B66" s="216" t="s">
        <v>192</v>
      </c>
      <c r="C66" s="215" t="s">
        <v>193</v>
      </c>
      <c r="D66" s="899">
        <v>0</v>
      </c>
      <c r="E66" s="899">
        <v>0</v>
      </c>
      <c r="F66" s="899">
        <v>0</v>
      </c>
      <c r="G66" s="903">
        <f t="shared" si="1"/>
        <v>0</v>
      </c>
    </row>
    <row r="67" spans="1:7" s="181" customFormat="1" ht="31.5">
      <c r="A67" s="197">
        <v>59</v>
      </c>
      <c r="B67" s="218" t="s">
        <v>194</v>
      </c>
      <c r="C67" s="219" t="s">
        <v>204</v>
      </c>
      <c r="D67" s="900">
        <f t="shared" ref="D67:F67" si="24">SUM(D66,D65)</f>
        <v>3584020</v>
      </c>
      <c r="E67" s="900">
        <f t="shared" si="24"/>
        <v>835082</v>
      </c>
      <c r="F67" s="900">
        <f t="shared" si="24"/>
        <v>4419102</v>
      </c>
      <c r="G67" s="903">
        <f t="shared" si="1"/>
        <v>835082</v>
      </c>
    </row>
    <row r="68" spans="1:7" s="181" customFormat="1" ht="19.5" thickBot="1">
      <c r="A68" s="197"/>
      <c r="B68" s="907" t="s">
        <v>502</v>
      </c>
      <c r="C68" s="908" t="s">
        <v>503</v>
      </c>
      <c r="D68" s="909"/>
      <c r="E68" s="909">
        <v>75378770</v>
      </c>
      <c r="F68" s="900">
        <f>D68+E68</f>
        <v>75378770</v>
      </c>
      <c r="G68" s="903">
        <f t="shared" si="1"/>
        <v>75378770</v>
      </c>
    </row>
    <row r="69" spans="1:7" s="181" customFormat="1" ht="18.75">
      <c r="A69" s="197">
        <v>60</v>
      </c>
      <c r="B69" s="220"/>
      <c r="C69" s="221" t="s">
        <v>195</v>
      </c>
      <c r="D69" s="901">
        <f>+D20+D38+D62+D67</f>
        <v>367694315</v>
      </c>
      <c r="E69" s="901">
        <f>+E20+E38+E62+E67+E68</f>
        <v>83053717</v>
      </c>
      <c r="F69" s="901">
        <f>+F20+F38+F62+F67+F68</f>
        <v>450748032</v>
      </c>
      <c r="G69" s="903">
        <f t="shared" si="1"/>
        <v>83053717</v>
      </c>
    </row>
    <row r="70" spans="1:7">
      <c r="D70" s="225"/>
      <c r="G70" s="225">
        <f>E69-G69</f>
        <v>0</v>
      </c>
    </row>
    <row r="71" spans="1:7">
      <c r="D71" s="225"/>
    </row>
  </sheetData>
  <mergeCells count="4">
    <mergeCell ref="B4:D4"/>
    <mergeCell ref="A3:D3"/>
    <mergeCell ref="A1:D1"/>
    <mergeCell ref="F6:F7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M316"/>
  <sheetViews>
    <sheetView zoomScale="70" zoomScaleNormal="70" workbookViewId="0"/>
  </sheetViews>
  <sheetFormatPr defaultRowHeight="16.5"/>
  <cols>
    <col min="1" max="1" width="10.7109375" style="21" customWidth="1"/>
    <col min="2" max="6" width="13.7109375" style="21" customWidth="1"/>
    <col min="7" max="7" width="100.7109375" style="21" customWidth="1"/>
    <col min="8" max="12" width="25.7109375" style="21" customWidth="1"/>
    <col min="13" max="13" width="24.85546875" style="21" customWidth="1"/>
    <col min="14" max="16384" width="9.140625" style="21"/>
  </cols>
  <sheetData>
    <row r="1" spans="1:13" customFormat="1" ht="15.75">
      <c r="A1" s="321" t="s">
        <v>517</v>
      </c>
      <c r="B1" s="322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3" ht="18.75">
      <c r="A2" s="1002" t="s">
        <v>273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</row>
    <row r="3" spans="1:13" ht="17.25" thickBot="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4" t="s">
        <v>200</v>
      </c>
    </row>
    <row r="4" spans="1:13" ht="17.25" thickBot="1">
      <c r="A4" s="325"/>
      <c r="B4" s="326" t="s">
        <v>205</v>
      </c>
      <c r="C4" s="327" t="s">
        <v>206</v>
      </c>
      <c r="D4" s="326" t="s">
        <v>207</v>
      </c>
      <c r="E4" s="326" t="s">
        <v>208</v>
      </c>
      <c r="F4" s="328" t="s">
        <v>209</v>
      </c>
      <c r="G4" s="328" t="s">
        <v>210</v>
      </c>
      <c r="H4" s="328" t="s">
        <v>211</v>
      </c>
      <c r="I4" s="328"/>
      <c r="J4" s="328" t="s">
        <v>212</v>
      </c>
      <c r="K4" s="329" t="s">
        <v>213</v>
      </c>
      <c r="L4" s="328" t="s">
        <v>214</v>
      </c>
      <c r="M4" s="1001" t="s">
        <v>509</v>
      </c>
    </row>
    <row r="5" spans="1:13" ht="50.25" thickBot="1">
      <c r="A5" s="1003">
        <v>1</v>
      </c>
      <c r="B5" s="1005" t="s">
        <v>215</v>
      </c>
      <c r="C5" s="1005" t="s">
        <v>216</v>
      </c>
      <c r="D5" s="1005" t="s">
        <v>217</v>
      </c>
      <c r="E5" s="1005" t="s">
        <v>215</v>
      </c>
      <c r="F5" s="1007" t="s">
        <v>216</v>
      </c>
      <c r="G5" s="1008"/>
      <c r="H5" s="330" t="s">
        <v>218</v>
      </c>
      <c r="I5" s="330" t="s">
        <v>505</v>
      </c>
      <c r="J5" s="331" t="s">
        <v>219</v>
      </c>
      <c r="K5" s="331" t="s">
        <v>220</v>
      </c>
      <c r="L5" s="331" t="s">
        <v>221</v>
      </c>
      <c r="M5" s="1001"/>
    </row>
    <row r="6" spans="1:13" ht="18" thickTop="1" thickBot="1">
      <c r="A6" s="1004"/>
      <c r="B6" s="1006"/>
      <c r="C6" s="1006"/>
      <c r="D6" s="1006"/>
      <c r="E6" s="1006"/>
      <c r="F6" s="332"/>
      <c r="G6" s="333" t="s">
        <v>217</v>
      </c>
      <c r="H6" s="334">
        <v>2018</v>
      </c>
      <c r="I6" s="334"/>
      <c r="J6" s="334">
        <v>2018</v>
      </c>
      <c r="K6" s="334">
        <v>2018</v>
      </c>
      <c r="L6" s="334">
        <v>2018</v>
      </c>
      <c r="M6" s="1001"/>
    </row>
    <row r="7" spans="1:13" s="22" customFormat="1" ht="18.75">
      <c r="A7" s="335">
        <v>2</v>
      </c>
      <c r="B7" s="336" t="s">
        <v>487</v>
      </c>
      <c r="C7" s="337"/>
      <c r="D7" s="337"/>
      <c r="E7" s="337"/>
      <c r="F7" s="338"/>
      <c r="G7" s="339"/>
      <c r="H7" s="340"/>
      <c r="I7" s="341"/>
      <c r="J7" s="341"/>
      <c r="K7" s="340"/>
      <c r="L7" s="341"/>
      <c r="M7" s="966"/>
    </row>
    <row r="8" spans="1:13" s="23" customFormat="1">
      <c r="A8" s="342">
        <v>3</v>
      </c>
      <c r="B8" s="343">
        <v>1</v>
      </c>
      <c r="C8" s="344"/>
      <c r="D8" s="344"/>
      <c r="E8" s="344" t="s">
        <v>222</v>
      </c>
      <c r="F8" s="345"/>
      <c r="G8" s="346"/>
      <c r="H8" s="347">
        <f>SUM(H9+H16+H21+H33+H37)</f>
        <v>720455575.60000002</v>
      </c>
      <c r="I8" s="347">
        <f>SUM(I9+I16+I21+I33+I37)</f>
        <v>902496490.60000002</v>
      </c>
      <c r="J8" s="348">
        <f>SUM(J9+J16+J21+J33+J37)</f>
        <v>1061127442.6</v>
      </c>
      <c r="K8" s="347">
        <f>SUM(K9+K16+K21+K33+K37)</f>
        <v>0</v>
      </c>
      <c r="L8" s="348">
        <f>SUM(L9+L16+L21+L33+L37)</f>
        <v>0</v>
      </c>
      <c r="M8" s="967">
        <f>I8-H8</f>
        <v>182040915</v>
      </c>
    </row>
    <row r="9" spans="1:13">
      <c r="A9" s="342">
        <v>4</v>
      </c>
      <c r="B9" s="349"/>
      <c r="C9" s="350">
        <v>1</v>
      </c>
      <c r="D9" s="350"/>
      <c r="E9" s="350"/>
      <c r="F9" s="351" t="s">
        <v>223</v>
      </c>
      <c r="G9" s="352"/>
      <c r="H9" s="353">
        <f>SUM(H10:H15)</f>
        <v>598145661</v>
      </c>
      <c r="I9" s="353">
        <f>SUM(I10:I15)</f>
        <v>695134579</v>
      </c>
      <c r="J9" s="354">
        <f>SUM(J10:J15)</f>
        <v>695134579</v>
      </c>
      <c r="K9" s="353">
        <f>SUM(K10:K15)</f>
        <v>0</v>
      </c>
      <c r="L9" s="354">
        <f>SUM(L10:L15)</f>
        <v>0</v>
      </c>
      <c r="M9" s="967">
        <f t="shared" ref="M9:M72" si="0">I9-H9</f>
        <v>96988918</v>
      </c>
    </row>
    <row r="10" spans="1:13">
      <c r="A10" s="342">
        <v>5</v>
      </c>
      <c r="B10" s="349"/>
      <c r="C10" s="355"/>
      <c r="D10" s="355">
        <v>1</v>
      </c>
      <c r="E10" s="355"/>
      <c r="F10" s="356"/>
      <c r="G10" s="357" t="s">
        <v>224</v>
      </c>
      <c r="H10" s="358">
        <v>367694315</v>
      </c>
      <c r="I10" s="359">
        <f>J10+K10</f>
        <v>450748032</v>
      </c>
      <c r="J10" s="359">
        <f>'feladatalapú tám.2'!F69</f>
        <v>450748032</v>
      </c>
      <c r="K10" s="358">
        <v>0</v>
      </c>
      <c r="L10" s="359">
        <v>0</v>
      </c>
      <c r="M10" s="967">
        <f>I10-H10</f>
        <v>83053717</v>
      </c>
    </row>
    <row r="11" spans="1:13">
      <c r="A11" s="342">
        <v>6</v>
      </c>
      <c r="B11" s="349"/>
      <c r="C11" s="355"/>
      <c r="D11" s="355">
        <v>3</v>
      </c>
      <c r="E11" s="355"/>
      <c r="F11" s="356"/>
      <c r="G11" s="357" t="s">
        <v>225</v>
      </c>
      <c r="H11" s="358">
        <v>0</v>
      </c>
      <c r="I11" s="359">
        <f t="shared" ref="I11:I74" si="1">J11+K11</f>
        <v>0</v>
      </c>
      <c r="J11" s="359">
        <v>0</v>
      </c>
      <c r="K11" s="358">
        <v>0</v>
      </c>
      <c r="L11" s="359">
        <v>0</v>
      </c>
      <c r="M11" s="967">
        <f t="shared" si="0"/>
        <v>0</v>
      </c>
    </row>
    <row r="12" spans="1:13">
      <c r="A12" s="342">
        <v>7</v>
      </c>
      <c r="B12" s="349"/>
      <c r="C12" s="355"/>
      <c r="D12" s="355">
        <v>4</v>
      </c>
      <c r="E12" s="355"/>
      <c r="F12" s="356"/>
      <c r="G12" s="360" t="s">
        <v>226</v>
      </c>
      <c r="H12" s="358">
        <v>0</v>
      </c>
      <c r="I12" s="359">
        <f t="shared" si="1"/>
        <v>0</v>
      </c>
      <c r="J12" s="359">
        <v>0</v>
      </c>
      <c r="K12" s="358">
        <v>0</v>
      </c>
      <c r="L12" s="359">
        <v>0</v>
      </c>
      <c r="M12" s="967">
        <f t="shared" si="0"/>
        <v>0</v>
      </c>
    </row>
    <row r="13" spans="1:13">
      <c r="A13" s="342">
        <v>8</v>
      </c>
      <c r="B13" s="349"/>
      <c r="C13" s="355"/>
      <c r="D13" s="355">
        <v>5</v>
      </c>
      <c r="E13" s="355"/>
      <c r="F13" s="356"/>
      <c r="G13" s="360" t="s">
        <v>227</v>
      </c>
      <c r="H13" s="358">
        <v>0</v>
      </c>
      <c r="I13" s="359">
        <f t="shared" si="1"/>
        <v>0</v>
      </c>
      <c r="J13" s="359">
        <v>0</v>
      </c>
      <c r="K13" s="358">
        <v>0</v>
      </c>
      <c r="L13" s="359">
        <v>0</v>
      </c>
      <c r="M13" s="967">
        <f t="shared" si="0"/>
        <v>0</v>
      </c>
    </row>
    <row r="14" spans="1:13" s="23" customFormat="1">
      <c r="A14" s="342">
        <v>9</v>
      </c>
      <c r="B14" s="343"/>
      <c r="C14" s="344"/>
      <c r="D14" s="355">
        <v>6</v>
      </c>
      <c r="E14" s="344"/>
      <c r="F14" s="345"/>
      <c r="G14" s="360" t="s">
        <v>228</v>
      </c>
      <c r="H14" s="358">
        <v>0</v>
      </c>
      <c r="I14" s="359">
        <f t="shared" si="1"/>
        <v>0</v>
      </c>
      <c r="J14" s="359">
        <v>0</v>
      </c>
      <c r="K14" s="358">
        <v>0</v>
      </c>
      <c r="L14" s="359">
        <v>0</v>
      </c>
      <c r="M14" s="967">
        <f t="shared" si="0"/>
        <v>0</v>
      </c>
    </row>
    <row r="15" spans="1:13">
      <c r="A15" s="342">
        <v>10</v>
      </c>
      <c r="B15" s="349"/>
      <c r="C15" s="355"/>
      <c r="D15" s="355">
        <v>7</v>
      </c>
      <c r="E15" s="355"/>
      <c r="F15" s="356"/>
      <c r="G15" s="357" t="s">
        <v>229</v>
      </c>
      <c r="H15" s="358">
        <f>114978125+38130021+139200+7780000/2+214000+400000+72700000</f>
        <v>230451346</v>
      </c>
      <c r="I15" s="359">
        <f t="shared" si="1"/>
        <v>244386547</v>
      </c>
      <c r="J15" s="358">
        <f>114978125+38130021+139200+7780000/2+214000+400000+72700000+10950701+2984500</f>
        <v>244386547</v>
      </c>
      <c r="K15" s="358">
        <v>0</v>
      </c>
      <c r="L15" s="359">
        <v>0</v>
      </c>
      <c r="M15" s="967">
        <f t="shared" si="0"/>
        <v>13935201</v>
      </c>
    </row>
    <row r="16" spans="1:13" s="23" customFormat="1">
      <c r="A16" s="342">
        <v>11</v>
      </c>
      <c r="B16" s="343"/>
      <c r="C16" s="350">
        <v>2</v>
      </c>
      <c r="D16" s="350"/>
      <c r="E16" s="350"/>
      <c r="F16" s="351" t="s">
        <v>230</v>
      </c>
      <c r="G16" s="352"/>
      <c r="H16" s="353">
        <f t="shared" ref="H16:L16" si="2">SUM(H17:H20)</f>
        <v>74612739</v>
      </c>
      <c r="I16" s="359">
        <f t="shared" si="1"/>
        <v>74612739</v>
      </c>
      <c r="J16" s="354">
        <f t="shared" si="2"/>
        <v>74612739</v>
      </c>
      <c r="K16" s="353">
        <f t="shared" si="2"/>
        <v>0</v>
      </c>
      <c r="L16" s="354">
        <f t="shared" si="2"/>
        <v>0</v>
      </c>
      <c r="M16" s="967">
        <f t="shared" si="0"/>
        <v>0</v>
      </c>
    </row>
    <row r="17" spans="1:13">
      <c r="A17" s="342">
        <v>12</v>
      </c>
      <c r="B17" s="349"/>
      <c r="C17" s="355"/>
      <c r="D17" s="355">
        <v>1</v>
      </c>
      <c r="E17" s="355"/>
      <c r="F17" s="356"/>
      <c r="G17" s="357" t="s">
        <v>231</v>
      </c>
      <c r="H17" s="358">
        <v>0</v>
      </c>
      <c r="I17" s="359">
        <f t="shared" si="1"/>
        <v>0</v>
      </c>
      <c r="J17" s="359">
        <v>0</v>
      </c>
      <c r="K17" s="358">
        <v>0</v>
      </c>
      <c r="L17" s="359">
        <v>0</v>
      </c>
      <c r="M17" s="967">
        <f t="shared" si="0"/>
        <v>0</v>
      </c>
    </row>
    <row r="18" spans="1:13">
      <c r="A18" s="342">
        <v>13</v>
      </c>
      <c r="B18" s="349"/>
      <c r="C18" s="355"/>
      <c r="D18" s="355">
        <v>2</v>
      </c>
      <c r="E18" s="355"/>
      <c r="F18" s="356"/>
      <c r="G18" s="357" t="s">
        <v>274</v>
      </c>
      <c r="H18" s="358">
        <f>adósságkel.11!C9</f>
        <v>69505248</v>
      </c>
      <c r="I18" s="359">
        <f t="shared" si="1"/>
        <v>69505248</v>
      </c>
      <c r="J18" s="359">
        <f>H18</f>
        <v>69505248</v>
      </c>
      <c r="K18" s="358">
        <v>0</v>
      </c>
      <c r="L18" s="359">
        <v>0</v>
      </c>
      <c r="M18" s="967">
        <f t="shared" si="0"/>
        <v>0</v>
      </c>
    </row>
    <row r="19" spans="1:13" s="23" customFormat="1">
      <c r="A19" s="342">
        <v>14</v>
      </c>
      <c r="B19" s="361"/>
      <c r="C19" s="362"/>
      <c r="D19" s="363">
        <v>3</v>
      </c>
      <c r="E19" s="362"/>
      <c r="F19" s="364"/>
      <c r="G19" s="365" t="s">
        <v>232</v>
      </c>
      <c r="H19" s="358">
        <f>adósságkel.11!C10</f>
        <v>5006491</v>
      </c>
      <c r="I19" s="359">
        <f t="shared" si="1"/>
        <v>5006491</v>
      </c>
      <c r="J19" s="359">
        <f t="shared" ref="J19:J20" si="3">H19</f>
        <v>5006491</v>
      </c>
      <c r="K19" s="358">
        <v>0</v>
      </c>
      <c r="L19" s="359">
        <v>0</v>
      </c>
      <c r="M19" s="967">
        <f t="shared" si="0"/>
        <v>0</v>
      </c>
    </row>
    <row r="20" spans="1:13">
      <c r="A20" s="342">
        <v>15</v>
      </c>
      <c r="B20" s="349"/>
      <c r="C20" s="355"/>
      <c r="D20" s="355">
        <v>4</v>
      </c>
      <c r="E20" s="355"/>
      <c r="F20" s="356"/>
      <c r="G20" s="357" t="s">
        <v>233</v>
      </c>
      <c r="H20" s="358">
        <f>adósságkel.11!C12</f>
        <v>101000</v>
      </c>
      <c r="I20" s="359">
        <f t="shared" si="1"/>
        <v>101000</v>
      </c>
      <c r="J20" s="359">
        <f t="shared" si="3"/>
        <v>101000</v>
      </c>
      <c r="K20" s="358">
        <v>0</v>
      </c>
      <c r="L20" s="359">
        <v>0</v>
      </c>
      <c r="M20" s="967">
        <f t="shared" si="0"/>
        <v>0</v>
      </c>
    </row>
    <row r="21" spans="1:13">
      <c r="A21" s="342">
        <v>16</v>
      </c>
      <c r="B21" s="366"/>
      <c r="C21" s="350">
        <v>3</v>
      </c>
      <c r="D21" s="350"/>
      <c r="E21" s="350"/>
      <c r="F21" s="351" t="s">
        <v>100</v>
      </c>
      <c r="G21" s="352"/>
      <c r="H21" s="353">
        <f t="shared" ref="H21:L21" si="4">SUM(H22:H32)</f>
        <v>32965236.600000001</v>
      </c>
      <c r="I21" s="359">
        <f t="shared" si="1"/>
        <v>47178660.600000001</v>
      </c>
      <c r="J21" s="354">
        <f t="shared" si="4"/>
        <v>47178660.600000001</v>
      </c>
      <c r="K21" s="353">
        <f t="shared" si="4"/>
        <v>0</v>
      </c>
      <c r="L21" s="354">
        <f t="shared" si="4"/>
        <v>0</v>
      </c>
      <c r="M21" s="967">
        <f t="shared" si="0"/>
        <v>14213424</v>
      </c>
    </row>
    <row r="22" spans="1:13">
      <c r="A22" s="342">
        <v>17</v>
      </c>
      <c r="B22" s="349"/>
      <c r="C22" s="355"/>
      <c r="D22" s="355">
        <v>1</v>
      </c>
      <c r="E22" s="355"/>
      <c r="F22" s="356"/>
      <c r="G22" s="365" t="s">
        <v>234</v>
      </c>
      <c r="H22" s="358">
        <v>0</v>
      </c>
      <c r="I22" s="359">
        <f t="shared" si="1"/>
        <v>0</v>
      </c>
      <c r="J22" s="359">
        <v>0</v>
      </c>
      <c r="K22" s="358">
        <v>0</v>
      </c>
      <c r="L22" s="359">
        <v>0</v>
      </c>
      <c r="M22" s="967">
        <f t="shared" si="0"/>
        <v>0</v>
      </c>
    </row>
    <row r="23" spans="1:13" s="23" customFormat="1">
      <c r="A23" s="342">
        <v>18</v>
      </c>
      <c r="B23" s="343"/>
      <c r="C23" s="344"/>
      <c r="D23" s="355">
        <v>2</v>
      </c>
      <c r="E23" s="355"/>
      <c r="F23" s="356"/>
      <c r="G23" s="357" t="s">
        <v>235</v>
      </c>
      <c r="H23" s="358">
        <v>15335942</v>
      </c>
      <c r="I23" s="359">
        <f t="shared" si="1"/>
        <v>15335942</v>
      </c>
      <c r="J23" s="358">
        <v>15335942</v>
      </c>
      <c r="K23" s="358">
        <v>0</v>
      </c>
      <c r="L23" s="359">
        <v>0</v>
      </c>
      <c r="M23" s="967">
        <f t="shared" si="0"/>
        <v>0</v>
      </c>
    </row>
    <row r="24" spans="1:13">
      <c r="A24" s="342">
        <v>19</v>
      </c>
      <c r="B24" s="349"/>
      <c r="C24" s="355"/>
      <c r="D24" s="355">
        <v>3</v>
      </c>
      <c r="E24" s="355"/>
      <c r="F24" s="356"/>
      <c r="G24" s="365" t="s">
        <v>236</v>
      </c>
      <c r="H24" s="323">
        <v>0</v>
      </c>
      <c r="I24" s="359">
        <f t="shared" si="1"/>
        <v>0</v>
      </c>
      <c r="J24" s="323">
        <v>0</v>
      </c>
      <c r="K24" s="358">
        <v>0</v>
      </c>
      <c r="L24" s="359">
        <v>0</v>
      </c>
      <c r="M24" s="967">
        <f t="shared" si="0"/>
        <v>0</v>
      </c>
    </row>
    <row r="25" spans="1:13">
      <c r="A25" s="367">
        <v>20</v>
      </c>
      <c r="B25" s="368"/>
      <c r="C25" s="369"/>
      <c r="D25" s="369">
        <v>4</v>
      </c>
      <c r="E25" s="369"/>
      <c r="F25" s="370"/>
      <c r="G25" s="371" t="s">
        <v>237</v>
      </c>
      <c r="H25" s="358">
        <v>1736368.6</v>
      </c>
      <c r="I25" s="359">
        <f t="shared" si="1"/>
        <v>1736368.6</v>
      </c>
      <c r="J25" s="358">
        <v>1736368.6</v>
      </c>
      <c r="K25" s="372">
        <v>0</v>
      </c>
      <c r="L25" s="965">
        <v>0</v>
      </c>
      <c r="M25" s="967">
        <f t="shared" si="0"/>
        <v>0</v>
      </c>
    </row>
    <row r="26" spans="1:13">
      <c r="A26" s="342">
        <v>21</v>
      </c>
      <c r="B26" s="349"/>
      <c r="C26" s="355"/>
      <c r="D26" s="355">
        <v>5</v>
      </c>
      <c r="E26" s="355"/>
      <c r="F26" s="356"/>
      <c r="G26" s="357" t="s">
        <v>238</v>
      </c>
      <c r="H26" s="358">
        <v>3687780</v>
      </c>
      <c r="I26" s="359">
        <f t="shared" si="1"/>
        <v>3687780</v>
      </c>
      <c r="J26" s="358">
        <v>3687780</v>
      </c>
      <c r="K26" s="358">
        <v>0</v>
      </c>
      <c r="L26" s="359">
        <v>0</v>
      </c>
      <c r="M26" s="967">
        <f t="shared" si="0"/>
        <v>0</v>
      </c>
    </row>
    <row r="27" spans="1:13">
      <c r="A27" s="342">
        <v>22</v>
      </c>
      <c r="B27" s="349"/>
      <c r="C27" s="355"/>
      <c r="D27" s="355">
        <v>6</v>
      </c>
      <c r="E27" s="355"/>
      <c r="F27" s="373"/>
      <c r="G27" s="365" t="s">
        <v>239</v>
      </c>
      <c r="H27" s="358">
        <v>4729781</v>
      </c>
      <c r="I27" s="359">
        <f t="shared" si="1"/>
        <v>4729781</v>
      </c>
      <c r="J27" s="358">
        <v>4729781</v>
      </c>
      <c r="K27" s="358">
        <v>0</v>
      </c>
      <c r="L27" s="359">
        <v>0</v>
      </c>
      <c r="M27" s="967">
        <f t="shared" si="0"/>
        <v>0</v>
      </c>
    </row>
    <row r="28" spans="1:13">
      <c r="A28" s="342">
        <v>23</v>
      </c>
      <c r="B28" s="349"/>
      <c r="C28" s="356"/>
      <c r="D28" s="356">
        <v>7</v>
      </c>
      <c r="E28" s="356"/>
      <c r="F28" s="374"/>
      <c r="G28" s="375" t="s">
        <v>240</v>
      </c>
      <c r="H28" s="358">
        <v>7475365</v>
      </c>
      <c r="I28" s="359">
        <f t="shared" si="1"/>
        <v>21014365</v>
      </c>
      <c r="J28" s="358">
        <f>7475365+13539000</f>
        <v>21014365</v>
      </c>
      <c r="K28" s="358">
        <v>0</v>
      </c>
      <c r="L28" s="359">
        <v>0</v>
      </c>
      <c r="M28" s="967">
        <f t="shared" si="0"/>
        <v>13539000</v>
      </c>
    </row>
    <row r="29" spans="1:13">
      <c r="A29" s="342">
        <v>24</v>
      </c>
      <c r="B29" s="349"/>
      <c r="C29" s="356"/>
      <c r="D29" s="356">
        <v>8</v>
      </c>
      <c r="E29" s="356"/>
      <c r="F29" s="376"/>
      <c r="G29" s="365" t="s">
        <v>241</v>
      </c>
      <c r="H29" s="358">
        <v>0</v>
      </c>
      <c r="I29" s="359">
        <f t="shared" si="1"/>
        <v>0</v>
      </c>
      <c r="J29" s="358">
        <v>0</v>
      </c>
      <c r="K29" s="358">
        <v>0</v>
      </c>
      <c r="L29" s="359">
        <v>0</v>
      </c>
      <c r="M29" s="967">
        <f t="shared" si="0"/>
        <v>0</v>
      </c>
    </row>
    <row r="30" spans="1:13" s="23" customFormat="1">
      <c r="A30" s="342">
        <v>25</v>
      </c>
      <c r="B30" s="343"/>
      <c r="C30" s="345"/>
      <c r="D30" s="356">
        <v>9</v>
      </c>
      <c r="E30" s="356"/>
      <c r="F30" s="377"/>
      <c r="G30" s="357" t="s">
        <v>242</v>
      </c>
      <c r="H30" s="358">
        <v>0</v>
      </c>
      <c r="I30" s="359">
        <f t="shared" si="1"/>
        <v>0</v>
      </c>
      <c r="J30" s="358">
        <v>0</v>
      </c>
      <c r="K30" s="358">
        <v>0</v>
      </c>
      <c r="L30" s="359">
        <v>0</v>
      </c>
      <c r="M30" s="967">
        <f t="shared" si="0"/>
        <v>0</v>
      </c>
    </row>
    <row r="31" spans="1:13" s="23" customFormat="1">
      <c r="A31" s="342">
        <v>26</v>
      </c>
      <c r="B31" s="343"/>
      <c r="C31" s="345"/>
      <c r="D31" s="356">
        <v>10</v>
      </c>
      <c r="E31" s="356"/>
      <c r="F31" s="377"/>
      <c r="G31" s="357" t="s">
        <v>243</v>
      </c>
      <c r="H31" s="358">
        <v>0</v>
      </c>
      <c r="I31" s="359">
        <f t="shared" si="1"/>
        <v>0</v>
      </c>
      <c r="J31" s="358">
        <v>0</v>
      </c>
      <c r="K31" s="358">
        <v>0</v>
      </c>
      <c r="L31" s="359">
        <v>0</v>
      </c>
      <c r="M31" s="967">
        <f t="shared" si="0"/>
        <v>0</v>
      </c>
    </row>
    <row r="32" spans="1:13">
      <c r="A32" s="342">
        <v>27</v>
      </c>
      <c r="B32" s="349"/>
      <c r="C32" s="356"/>
      <c r="D32" s="356">
        <v>11</v>
      </c>
      <c r="E32" s="356"/>
      <c r="F32" s="377"/>
      <c r="G32" s="378" t="s">
        <v>244</v>
      </c>
      <c r="H32" s="358">
        <v>0</v>
      </c>
      <c r="I32" s="359">
        <f t="shared" si="1"/>
        <v>674424</v>
      </c>
      <c r="J32" s="358">
        <v>674424</v>
      </c>
      <c r="K32" s="358">
        <v>0</v>
      </c>
      <c r="L32" s="359">
        <v>0</v>
      </c>
      <c r="M32" s="967">
        <f t="shared" si="0"/>
        <v>674424</v>
      </c>
    </row>
    <row r="33" spans="1:13">
      <c r="A33" s="342">
        <v>28</v>
      </c>
      <c r="B33" s="349"/>
      <c r="C33" s="351">
        <v>4</v>
      </c>
      <c r="D33" s="351"/>
      <c r="E33" s="351"/>
      <c r="F33" s="379" t="s">
        <v>245</v>
      </c>
      <c r="G33" s="380"/>
      <c r="H33" s="353">
        <f>SUM(H34:H36)</f>
        <v>0</v>
      </c>
      <c r="I33" s="359">
        <v>0</v>
      </c>
      <c r="J33" s="354">
        <v>0</v>
      </c>
      <c r="K33" s="353">
        <f t="shared" ref="K33:L33" si="5">SUM(K34:K36)</f>
        <v>0</v>
      </c>
      <c r="L33" s="354">
        <f t="shared" si="5"/>
        <v>0</v>
      </c>
      <c r="M33" s="967">
        <f t="shared" si="0"/>
        <v>0</v>
      </c>
    </row>
    <row r="34" spans="1:13">
      <c r="A34" s="342">
        <v>29</v>
      </c>
      <c r="B34" s="349"/>
      <c r="C34" s="355"/>
      <c r="D34" s="355">
        <v>1</v>
      </c>
      <c r="E34" s="355"/>
      <c r="F34" s="356"/>
      <c r="G34" s="381" t="s">
        <v>246</v>
      </c>
      <c r="H34" s="358">
        <v>0</v>
      </c>
      <c r="I34" s="359">
        <f t="shared" si="1"/>
        <v>0</v>
      </c>
      <c r="J34" s="359">
        <v>0</v>
      </c>
      <c r="K34" s="358">
        <v>0</v>
      </c>
      <c r="L34" s="359">
        <v>0</v>
      </c>
      <c r="M34" s="967">
        <f t="shared" si="0"/>
        <v>0</v>
      </c>
    </row>
    <row r="35" spans="1:13">
      <c r="A35" s="342">
        <v>30</v>
      </c>
      <c r="B35" s="349"/>
      <c r="C35" s="355"/>
      <c r="D35" s="355">
        <v>2</v>
      </c>
      <c r="E35" s="355"/>
      <c r="F35" s="356"/>
      <c r="G35" s="381" t="s">
        <v>247</v>
      </c>
      <c r="H35" s="358">
        <v>0</v>
      </c>
      <c r="I35" s="359">
        <f t="shared" si="1"/>
        <v>0</v>
      </c>
      <c r="J35" s="359">
        <v>0</v>
      </c>
      <c r="K35" s="358">
        <v>0</v>
      </c>
      <c r="L35" s="359">
        <v>0</v>
      </c>
      <c r="M35" s="967">
        <f t="shared" si="0"/>
        <v>0</v>
      </c>
    </row>
    <row r="36" spans="1:13" s="23" customFormat="1">
      <c r="A36" s="342">
        <v>31</v>
      </c>
      <c r="B36" s="343"/>
      <c r="C36" s="344"/>
      <c r="D36" s="355">
        <v>3</v>
      </c>
      <c r="E36" s="355"/>
      <c r="F36" s="356"/>
      <c r="G36" s="357" t="s">
        <v>504</v>
      </c>
      <c r="H36" s="358">
        <v>0</v>
      </c>
      <c r="I36" s="359">
        <f t="shared" si="1"/>
        <v>9205661</v>
      </c>
      <c r="J36" s="359">
        <v>9205661</v>
      </c>
      <c r="K36" s="358">
        <v>0</v>
      </c>
      <c r="L36" s="359">
        <v>0</v>
      </c>
      <c r="M36" s="967">
        <f t="shared" si="0"/>
        <v>9205661</v>
      </c>
    </row>
    <row r="37" spans="1:13">
      <c r="A37" s="342">
        <v>32</v>
      </c>
      <c r="B37" s="349"/>
      <c r="C37" s="350">
        <v>5</v>
      </c>
      <c r="D37" s="350"/>
      <c r="E37" s="350"/>
      <c r="F37" s="351" t="s">
        <v>248</v>
      </c>
      <c r="G37" s="352"/>
      <c r="H37" s="353">
        <f>SUM(H38:H41)</f>
        <v>14731939</v>
      </c>
      <c r="I37" s="359">
        <f>J37+K37-I42</f>
        <v>85570512</v>
      </c>
      <c r="J37" s="354">
        <f>SUM(J38:J41)</f>
        <v>244201464</v>
      </c>
      <c r="K37" s="353">
        <f t="shared" ref="K37:L37" si="6">SUM(K38:K41)</f>
        <v>0</v>
      </c>
      <c r="L37" s="354">
        <f t="shared" si="6"/>
        <v>0</v>
      </c>
      <c r="M37" s="967">
        <f t="shared" si="0"/>
        <v>70838573</v>
      </c>
    </row>
    <row r="38" spans="1:13">
      <c r="A38" s="342">
        <v>33</v>
      </c>
      <c r="B38" s="349"/>
      <c r="C38" s="355"/>
      <c r="D38" s="355">
        <v>1</v>
      </c>
      <c r="E38" s="355"/>
      <c r="F38" s="356"/>
      <c r="G38" s="382" t="s">
        <v>249</v>
      </c>
      <c r="H38" s="358">
        <v>0</v>
      </c>
      <c r="I38" s="359">
        <f t="shared" si="1"/>
        <v>0</v>
      </c>
      <c r="J38" s="359">
        <v>0</v>
      </c>
      <c r="K38" s="358">
        <v>0</v>
      </c>
      <c r="L38" s="359">
        <v>0</v>
      </c>
      <c r="M38" s="967">
        <f t="shared" si="0"/>
        <v>0</v>
      </c>
    </row>
    <row r="39" spans="1:13">
      <c r="A39" s="342">
        <v>34</v>
      </c>
      <c r="B39" s="349"/>
      <c r="C39" s="355"/>
      <c r="D39" s="355">
        <v>2</v>
      </c>
      <c r="E39" s="355"/>
      <c r="F39" s="356"/>
      <c r="G39" s="375" t="s">
        <v>250</v>
      </c>
      <c r="H39" s="358">
        <v>0</v>
      </c>
      <c r="I39" s="359">
        <f t="shared" si="1"/>
        <v>0</v>
      </c>
      <c r="J39" s="359">
        <v>0</v>
      </c>
      <c r="K39" s="358">
        <v>0</v>
      </c>
      <c r="L39" s="359">
        <v>0</v>
      </c>
      <c r="M39" s="967">
        <f t="shared" si="0"/>
        <v>0</v>
      </c>
    </row>
    <row r="40" spans="1:13" s="917" customFormat="1">
      <c r="A40" s="910">
        <v>35</v>
      </c>
      <c r="B40" s="911"/>
      <c r="C40" s="912"/>
      <c r="D40" s="912">
        <v>3</v>
      </c>
      <c r="E40" s="912"/>
      <c r="F40" s="913"/>
      <c r="G40" s="914" t="s">
        <v>251</v>
      </c>
      <c r="H40" s="915">
        <f>13731939+500000+500000</f>
        <v>14731939</v>
      </c>
      <c r="I40" s="916">
        <f>J40+K40</f>
        <v>244201464</v>
      </c>
      <c r="J40" s="915">
        <v>244201464</v>
      </c>
      <c r="K40" s="915">
        <v>0</v>
      </c>
      <c r="L40" s="916">
        <v>0</v>
      </c>
      <c r="M40" s="968">
        <f t="shared" si="0"/>
        <v>229469525</v>
      </c>
    </row>
    <row r="41" spans="1:13" s="23" customFormat="1">
      <c r="A41" s="342">
        <v>36</v>
      </c>
      <c r="B41" s="343"/>
      <c r="C41" s="344"/>
      <c r="D41" s="355">
        <v>4</v>
      </c>
      <c r="E41" s="355"/>
      <c r="F41" s="383"/>
      <c r="G41" s="384" t="s">
        <v>252</v>
      </c>
      <c r="H41" s="385">
        <v>0</v>
      </c>
      <c r="I41" s="359">
        <f t="shared" si="1"/>
        <v>0</v>
      </c>
      <c r="J41" s="386">
        <v>0</v>
      </c>
      <c r="K41" s="385">
        <v>0</v>
      </c>
      <c r="L41" s="386">
        <v>0</v>
      </c>
      <c r="M41" s="967">
        <f t="shared" si="0"/>
        <v>0</v>
      </c>
    </row>
    <row r="42" spans="1:13">
      <c r="A42" s="342">
        <v>37</v>
      </c>
      <c r="B42" s="343">
        <v>2</v>
      </c>
      <c r="C42" s="344"/>
      <c r="D42" s="344"/>
      <c r="E42" s="344" t="s">
        <v>253</v>
      </c>
      <c r="F42" s="345"/>
      <c r="G42" s="346"/>
      <c r="H42" s="387">
        <f t="shared" ref="H42:L42" si="7">SUM(H43+H46+H52+H56)</f>
        <v>158630952</v>
      </c>
      <c r="I42" s="359">
        <f t="shared" si="1"/>
        <v>158630952</v>
      </c>
      <c r="J42" s="388">
        <f>SUM(J43+J46+J52+J56)</f>
        <v>158630952</v>
      </c>
      <c r="K42" s="387">
        <f t="shared" si="7"/>
        <v>0</v>
      </c>
      <c r="L42" s="388">
        <f t="shared" si="7"/>
        <v>0</v>
      </c>
      <c r="M42" s="967">
        <f t="shared" si="0"/>
        <v>0</v>
      </c>
    </row>
    <row r="43" spans="1:13" s="23" customFormat="1">
      <c r="A43" s="342">
        <v>38</v>
      </c>
      <c r="B43" s="343"/>
      <c r="C43" s="350">
        <v>1</v>
      </c>
      <c r="D43" s="350"/>
      <c r="E43" s="350"/>
      <c r="F43" s="351" t="s">
        <v>254</v>
      </c>
      <c r="G43" s="352"/>
      <c r="H43" s="353">
        <f t="shared" ref="H43:L43" si="8">SUM(H44:H45)</f>
        <v>0</v>
      </c>
      <c r="I43" s="359">
        <f t="shared" si="1"/>
        <v>0</v>
      </c>
      <c r="J43" s="354">
        <f t="shared" si="8"/>
        <v>0</v>
      </c>
      <c r="K43" s="353">
        <f t="shared" si="8"/>
        <v>0</v>
      </c>
      <c r="L43" s="354">
        <f t="shared" si="8"/>
        <v>0</v>
      </c>
      <c r="M43" s="967">
        <f t="shared" si="0"/>
        <v>0</v>
      </c>
    </row>
    <row r="44" spans="1:13">
      <c r="A44" s="342">
        <v>39</v>
      </c>
      <c r="B44" s="349"/>
      <c r="C44" s="355"/>
      <c r="D44" s="355">
        <v>1</v>
      </c>
      <c r="E44" s="355"/>
      <c r="F44" s="356"/>
      <c r="G44" s="357" t="s">
        <v>255</v>
      </c>
      <c r="H44" s="358">
        <v>0</v>
      </c>
      <c r="I44" s="359">
        <f t="shared" si="1"/>
        <v>0</v>
      </c>
      <c r="J44" s="359">
        <v>0</v>
      </c>
      <c r="K44" s="358">
        <v>0</v>
      </c>
      <c r="L44" s="359">
        <v>0</v>
      </c>
      <c r="M44" s="967">
        <f t="shared" si="0"/>
        <v>0</v>
      </c>
    </row>
    <row r="45" spans="1:13">
      <c r="A45" s="342">
        <v>40</v>
      </c>
      <c r="B45" s="349"/>
      <c r="C45" s="355"/>
      <c r="D45" s="355">
        <v>2</v>
      </c>
      <c r="E45" s="355"/>
      <c r="F45" s="356"/>
      <c r="G45" s="357" t="s">
        <v>256</v>
      </c>
      <c r="H45" s="358">
        <v>0</v>
      </c>
      <c r="I45" s="359">
        <f t="shared" si="1"/>
        <v>0</v>
      </c>
      <c r="J45" s="359">
        <v>0</v>
      </c>
      <c r="K45" s="358">
        <v>0</v>
      </c>
      <c r="L45" s="359">
        <v>0</v>
      </c>
      <c r="M45" s="967">
        <f t="shared" si="0"/>
        <v>0</v>
      </c>
    </row>
    <row r="46" spans="1:13">
      <c r="A46" s="342">
        <v>41</v>
      </c>
      <c r="B46" s="349"/>
      <c r="C46" s="350">
        <v>2</v>
      </c>
      <c r="D46" s="350"/>
      <c r="E46" s="350"/>
      <c r="F46" s="351" t="s">
        <v>257</v>
      </c>
      <c r="G46" s="352"/>
      <c r="H46" s="353">
        <f t="shared" ref="H46:L46" si="9">SUM(H47:H51)</f>
        <v>0</v>
      </c>
      <c r="I46" s="359">
        <f t="shared" si="1"/>
        <v>0</v>
      </c>
      <c r="J46" s="354">
        <f t="shared" si="9"/>
        <v>0</v>
      </c>
      <c r="K46" s="353">
        <f t="shared" si="9"/>
        <v>0</v>
      </c>
      <c r="L46" s="354">
        <f t="shared" si="9"/>
        <v>0</v>
      </c>
      <c r="M46" s="967">
        <f t="shared" si="0"/>
        <v>0</v>
      </c>
    </row>
    <row r="47" spans="1:13">
      <c r="A47" s="342">
        <v>42</v>
      </c>
      <c r="B47" s="349"/>
      <c r="C47" s="355"/>
      <c r="D47" s="355">
        <v>1</v>
      </c>
      <c r="E47" s="355"/>
      <c r="F47" s="356"/>
      <c r="G47" s="357" t="s">
        <v>258</v>
      </c>
      <c r="H47" s="358">
        <v>0</v>
      </c>
      <c r="I47" s="359">
        <f t="shared" si="1"/>
        <v>0</v>
      </c>
      <c r="J47" s="359">
        <v>0</v>
      </c>
      <c r="K47" s="358">
        <v>0</v>
      </c>
      <c r="L47" s="359">
        <v>0</v>
      </c>
      <c r="M47" s="967">
        <f t="shared" si="0"/>
        <v>0</v>
      </c>
    </row>
    <row r="48" spans="1:13">
      <c r="A48" s="342">
        <v>43</v>
      </c>
      <c r="B48" s="349"/>
      <c r="C48" s="355"/>
      <c r="D48" s="355">
        <v>2</v>
      </c>
      <c r="E48" s="355"/>
      <c r="F48" s="356"/>
      <c r="G48" s="389" t="s">
        <v>259</v>
      </c>
      <c r="H48" s="358"/>
      <c r="I48" s="359">
        <f t="shared" si="1"/>
        <v>0</v>
      </c>
      <c r="J48" s="359">
        <v>0</v>
      </c>
      <c r="K48" s="358">
        <v>0</v>
      </c>
      <c r="L48" s="359">
        <v>0</v>
      </c>
      <c r="M48" s="967">
        <f t="shared" si="0"/>
        <v>0</v>
      </c>
    </row>
    <row r="49" spans="1:13" s="23" customFormat="1">
      <c r="A49" s="342">
        <v>44</v>
      </c>
      <c r="B49" s="343"/>
      <c r="C49" s="344"/>
      <c r="D49" s="355">
        <v>3</v>
      </c>
      <c r="E49" s="390"/>
      <c r="F49" s="391"/>
      <c r="G49" s="389" t="s">
        <v>260</v>
      </c>
      <c r="H49" s="358">
        <v>0</v>
      </c>
      <c r="I49" s="359">
        <f t="shared" si="1"/>
        <v>0</v>
      </c>
      <c r="J49" s="359">
        <v>0</v>
      </c>
      <c r="K49" s="358">
        <v>0</v>
      </c>
      <c r="L49" s="359">
        <v>0</v>
      </c>
      <c r="M49" s="967">
        <f t="shared" si="0"/>
        <v>0</v>
      </c>
    </row>
    <row r="50" spans="1:13">
      <c r="A50" s="342">
        <v>45</v>
      </c>
      <c r="B50" s="349"/>
      <c r="C50" s="355"/>
      <c r="D50" s="355">
        <v>4</v>
      </c>
      <c r="E50" s="355"/>
      <c r="F50" s="356"/>
      <c r="G50" s="389" t="s">
        <v>261</v>
      </c>
      <c r="H50" s="358">
        <v>0</v>
      </c>
      <c r="I50" s="359">
        <f t="shared" si="1"/>
        <v>0</v>
      </c>
      <c r="J50" s="359">
        <v>0</v>
      </c>
      <c r="K50" s="358">
        <v>0</v>
      </c>
      <c r="L50" s="359">
        <v>0</v>
      </c>
      <c r="M50" s="967">
        <f t="shared" si="0"/>
        <v>0</v>
      </c>
    </row>
    <row r="51" spans="1:13">
      <c r="A51" s="342">
        <v>46</v>
      </c>
      <c r="B51" s="349"/>
      <c r="C51" s="355"/>
      <c r="D51" s="355">
        <v>5</v>
      </c>
      <c r="E51" s="355"/>
      <c r="F51" s="345"/>
      <c r="G51" s="378" t="s">
        <v>262</v>
      </c>
      <c r="H51" s="358">
        <v>0</v>
      </c>
      <c r="I51" s="359">
        <f t="shared" si="1"/>
        <v>0</v>
      </c>
      <c r="J51" s="359">
        <v>0</v>
      </c>
      <c r="K51" s="358">
        <v>0</v>
      </c>
      <c r="L51" s="359">
        <v>0</v>
      </c>
      <c r="M51" s="967">
        <f t="shared" si="0"/>
        <v>0</v>
      </c>
    </row>
    <row r="52" spans="1:13" s="23" customFormat="1">
      <c r="A52" s="342">
        <v>47</v>
      </c>
      <c r="B52" s="361"/>
      <c r="C52" s="350">
        <v>3</v>
      </c>
      <c r="D52" s="350"/>
      <c r="E52" s="350"/>
      <c r="F52" s="351" t="s">
        <v>263</v>
      </c>
      <c r="G52" s="352"/>
      <c r="H52" s="353">
        <f>SUM(H53:H55)</f>
        <v>0</v>
      </c>
      <c r="I52" s="359">
        <f t="shared" si="1"/>
        <v>0</v>
      </c>
      <c r="J52" s="354">
        <f>SUM(J53:J55)</f>
        <v>0</v>
      </c>
      <c r="K52" s="353">
        <f>SUM(K53:K55)</f>
        <v>0</v>
      </c>
      <c r="L52" s="354">
        <f>SUM(L53:L55)</f>
        <v>0</v>
      </c>
      <c r="M52" s="967">
        <f t="shared" si="0"/>
        <v>0</v>
      </c>
    </row>
    <row r="53" spans="1:13">
      <c r="A53" s="342">
        <v>48</v>
      </c>
      <c r="B53" s="349"/>
      <c r="C53" s="355"/>
      <c r="D53" s="355">
        <v>1</v>
      </c>
      <c r="E53" s="355"/>
      <c r="F53" s="356"/>
      <c r="G53" s="389" t="s">
        <v>264</v>
      </c>
      <c r="H53" s="358">
        <v>0</v>
      </c>
      <c r="I53" s="359">
        <f t="shared" si="1"/>
        <v>0</v>
      </c>
      <c r="J53" s="359">
        <v>0</v>
      </c>
      <c r="K53" s="358">
        <v>0</v>
      </c>
      <c r="L53" s="359">
        <v>0</v>
      </c>
      <c r="M53" s="967">
        <f t="shared" si="0"/>
        <v>0</v>
      </c>
    </row>
    <row r="54" spans="1:13" s="23" customFormat="1">
      <c r="A54" s="342">
        <v>49</v>
      </c>
      <c r="B54" s="343"/>
      <c r="C54" s="344"/>
      <c r="D54" s="355">
        <v>2</v>
      </c>
      <c r="E54" s="390"/>
      <c r="F54" s="391"/>
      <c r="G54" s="389" t="s">
        <v>265</v>
      </c>
      <c r="H54" s="358">
        <v>0</v>
      </c>
      <c r="I54" s="359">
        <f t="shared" si="1"/>
        <v>0</v>
      </c>
      <c r="J54" s="359">
        <v>0</v>
      </c>
      <c r="K54" s="358">
        <v>0</v>
      </c>
      <c r="L54" s="359">
        <v>0</v>
      </c>
      <c r="M54" s="967">
        <f t="shared" si="0"/>
        <v>0</v>
      </c>
    </row>
    <row r="55" spans="1:13">
      <c r="A55" s="342">
        <v>50</v>
      </c>
      <c r="B55" s="349"/>
      <c r="C55" s="355"/>
      <c r="D55" s="355">
        <v>3</v>
      </c>
      <c r="E55" s="355"/>
      <c r="F55" s="356"/>
      <c r="G55" s="357" t="s">
        <v>266</v>
      </c>
      <c r="H55" s="358">
        <v>0</v>
      </c>
      <c r="I55" s="359">
        <f t="shared" si="1"/>
        <v>0</v>
      </c>
      <c r="J55" s="359">
        <v>0</v>
      </c>
      <c r="K55" s="358">
        <v>0</v>
      </c>
      <c r="L55" s="359">
        <v>0</v>
      </c>
      <c r="M55" s="967">
        <f t="shared" si="0"/>
        <v>0</v>
      </c>
    </row>
    <row r="56" spans="1:13">
      <c r="A56" s="342">
        <v>51</v>
      </c>
      <c r="B56" s="349"/>
      <c r="C56" s="350">
        <v>4</v>
      </c>
      <c r="D56" s="350"/>
      <c r="E56" s="350"/>
      <c r="F56" s="351" t="s">
        <v>248</v>
      </c>
      <c r="G56" s="352"/>
      <c r="H56" s="353">
        <f t="shared" ref="H56:L56" si="10">SUM(H57:H60)</f>
        <v>158630952</v>
      </c>
      <c r="I56" s="359">
        <f t="shared" si="1"/>
        <v>158630952</v>
      </c>
      <c r="J56" s="354">
        <f t="shared" si="10"/>
        <v>158630952</v>
      </c>
      <c r="K56" s="353">
        <f t="shared" si="10"/>
        <v>0</v>
      </c>
      <c r="L56" s="354">
        <f t="shared" si="10"/>
        <v>0</v>
      </c>
      <c r="M56" s="967">
        <f t="shared" si="0"/>
        <v>0</v>
      </c>
    </row>
    <row r="57" spans="1:13" s="22" customFormat="1">
      <c r="A57" s="342">
        <v>52</v>
      </c>
      <c r="B57" s="392"/>
      <c r="C57" s="393"/>
      <c r="D57" s="355">
        <v>1</v>
      </c>
      <c r="E57" s="355"/>
      <c r="F57" s="356"/>
      <c r="G57" s="357" t="s">
        <v>249</v>
      </c>
      <c r="H57" s="358">
        <v>0</v>
      </c>
      <c r="I57" s="359">
        <f t="shared" si="1"/>
        <v>0</v>
      </c>
      <c r="J57" s="359">
        <v>0</v>
      </c>
      <c r="K57" s="358">
        <v>0</v>
      </c>
      <c r="L57" s="359">
        <v>0</v>
      </c>
      <c r="M57" s="967">
        <f t="shared" si="0"/>
        <v>0</v>
      </c>
    </row>
    <row r="58" spans="1:13" s="23" customFormat="1">
      <c r="A58" s="342">
        <v>53</v>
      </c>
      <c r="B58" s="343"/>
      <c r="C58" s="344"/>
      <c r="D58" s="355">
        <v>2</v>
      </c>
      <c r="E58" s="355"/>
      <c r="F58" s="356"/>
      <c r="G58" s="357" t="s">
        <v>250</v>
      </c>
      <c r="H58" s="358">
        <v>0</v>
      </c>
      <c r="I58" s="359">
        <f t="shared" si="1"/>
        <v>0</v>
      </c>
      <c r="J58" s="359">
        <v>0</v>
      </c>
      <c r="K58" s="358">
        <v>0</v>
      </c>
      <c r="L58" s="359">
        <v>0</v>
      </c>
      <c r="M58" s="967">
        <f t="shared" si="0"/>
        <v>0</v>
      </c>
    </row>
    <row r="59" spans="1:13" s="23" customFormat="1">
      <c r="A59" s="342">
        <v>54</v>
      </c>
      <c r="B59" s="343"/>
      <c r="C59" s="344"/>
      <c r="D59" s="355">
        <v>3</v>
      </c>
      <c r="E59" s="355"/>
      <c r="F59" s="356"/>
      <c r="G59" s="394" t="s">
        <v>251</v>
      </c>
      <c r="H59" s="358">
        <f>173362891-13731939-500000-500000</f>
        <v>158630952</v>
      </c>
      <c r="I59" s="359">
        <f t="shared" si="1"/>
        <v>158630952</v>
      </c>
      <c r="J59" s="358">
        <f>173362891-13731939-500000-500000</f>
        <v>158630952</v>
      </c>
      <c r="K59" s="358">
        <v>0</v>
      </c>
      <c r="L59" s="359">
        <v>0</v>
      </c>
      <c r="M59" s="967">
        <f t="shared" si="0"/>
        <v>0</v>
      </c>
    </row>
    <row r="60" spans="1:13" s="23" customFormat="1">
      <c r="A60" s="342">
        <v>55</v>
      </c>
      <c r="B60" s="343"/>
      <c r="C60" s="344"/>
      <c r="D60" s="355">
        <v>4</v>
      </c>
      <c r="E60" s="355"/>
      <c r="F60" s="356"/>
      <c r="G60" s="357" t="s">
        <v>252</v>
      </c>
      <c r="H60" s="358">
        <v>0</v>
      </c>
      <c r="I60" s="359">
        <f t="shared" si="1"/>
        <v>0</v>
      </c>
      <c r="J60" s="359">
        <v>0</v>
      </c>
      <c r="K60" s="358">
        <v>0</v>
      </c>
      <c r="L60" s="359">
        <v>0</v>
      </c>
      <c r="M60" s="967">
        <f t="shared" si="0"/>
        <v>0</v>
      </c>
    </row>
    <row r="61" spans="1:13" s="23" customFormat="1">
      <c r="A61" s="342">
        <v>56</v>
      </c>
      <c r="B61" s="343"/>
      <c r="C61" s="344"/>
      <c r="D61" s="344"/>
      <c r="E61" s="344" t="s">
        <v>67</v>
      </c>
      <c r="F61" s="345"/>
      <c r="G61" s="395"/>
      <c r="H61" s="387">
        <f>SUM(H8+H42)</f>
        <v>879086527.60000002</v>
      </c>
      <c r="I61" s="387">
        <f t="shared" ref="I61:J61" si="11">SUM(I8+I42)</f>
        <v>1061127442.6</v>
      </c>
      <c r="J61" s="387">
        <f t="shared" si="11"/>
        <v>1219758394.5999999</v>
      </c>
      <c r="K61" s="387">
        <f>SUM(K8+K42)</f>
        <v>0</v>
      </c>
      <c r="L61" s="388">
        <f>SUM(L8+L42)</f>
        <v>0</v>
      </c>
      <c r="M61" s="967">
        <f t="shared" si="0"/>
        <v>182040915</v>
      </c>
    </row>
    <row r="62" spans="1:13" s="23" customFormat="1">
      <c r="A62" s="342">
        <v>57</v>
      </c>
      <c r="B62" s="392" t="s">
        <v>488</v>
      </c>
      <c r="C62" s="393"/>
      <c r="D62" s="393"/>
      <c r="E62" s="393"/>
      <c r="F62" s="345"/>
      <c r="G62" s="395"/>
      <c r="H62" s="387"/>
      <c r="I62" s="359">
        <f t="shared" si="1"/>
        <v>0</v>
      </c>
      <c r="J62" s="388"/>
      <c r="K62" s="387"/>
      <c r="L62" s="388"/>
      <c r="M62" s="967">
        <f t="shared" si="0"/>
        <v>0</v>
      </c>
    </row>
    <row r="63" spans="1:13" s="23" customFormat="1">
      <c r="A63" s="342">
        <v>58</v>
      </c>
      <c r="B63" s="343"/>
      <c r="C63" s="350">
        <v>1</v>
      </c>
      <c r="D63" s="350"/>
      <c r="E63" s="350"/>
      <c r="F63" s="351" t="s">
        <v>230</v>
      </c>
      <c r="G63" s="396"/>
      <c r="H63" s="353">
        <f t="shared" ref="H63:L63" si="12">SUM(H64:H66)</f>
        <v>0</v>
      </c>
      <c r="I63" s="359">
        <f t="shared" si="1"/>
        <v>0</v>
      </c>
      <c r="J63" s="354">
        <f t="shared" si="12"/>
        <v>0</v>
      </c>
      <c r="K63" s="353">
        <f t="shared" si="12"/>
        <v>0</v>
      </c>
      <c r="L63" s="354">
        <f t="shared" si="12"/>
        <v>0</v>
      </c>
      <c r="M63" s="967">
        <f t="shared" si="0"/>
        <v>0</v>
      </c>
    </row>
    <row r="64" spans="1:13" s="23" customFormat="1">
      <c r="A64" s="342">
        <v>59</v>
      </c>
      <c r="B64" s="349"/>
      <c r="C64" s="355"/>
      <c r="D64" s="355">
        <v>1</v>
      </c>
      <c r="E64" s="355"/>
      <c r="F64" s="356"/>
      <c r="G64" s="357" t="s">
        <v>231</v>
      </c>
      <c r="H64" s="358">
        <v>0</v>
      </c>
      <c r="I64" s="359">
        <f t="shared" si="1"/>
        <v>0</v>
      </c>
      <c r="J64" s="359">
        <v>0</v>
      </c>
      <c r="K64" s="358">
        <v>0</v>
      </c>
      <c r="L64" s="359">
        <v>0</v>
      </c>
      <c r="M64" s="967">
        <f t="shared" si="0"/>
        <v>0</v>
      </c>
    </row>
    <row r="65" spans="1:13" s="23" customFormat="1">
      <c r="A65" s="342">
        <v>60</v>
      </c>
      <c r="B65" s="361"/>
      <c r="C65" s="362"/>
      <c r="D65" s="363">
        <v>2</v>
      </c>
      <c r="E65" s="362"/>
      <c r="F65" s="364"/>
      <c r="G65" s="365" t="s">
        <v>232</v>
      </c>
      <c r="H65" s="358">
        <v>0</v>
      </c>
      <c r="I65" s="359">
        <f t="shared" si="1"/>
        <v>0</v>
      </c>
      <c r="J65" s="359">
        <v>0</v>
      </c>
      <c r="K65" s="358">
        <v>0</v>
      </c>
      <c r="L65" s="359">
        <v>0</v>
      </c>
      <c r="M65" s="967">
        <f t="shared" si="0"/>
        <v>0</v>
      </c>
    </row>
    <row r="66" spans="1:13" s="23" customFormat="1">
      <c r="A66" s="342">
        <v>61</v>
      </c>
      <c r="B66" s="349"/>
      <c r="C66" s="355"/>
      <c r="D66" s="355">
        <v>3</v>
      </c>
      <c r="E66" s="355"/>
      <c r="F66" s="356"/>
      <c r="G66" s="357" t="s">
        <v>233</v>
      </c>
      <c r="H66" s="358">
        <v>0</v>
      </c>
      <c r="I66" s="359">
        <f t="shared" si="1"/>
        <v>0</v>
      </c>
      <c r="J66" s="359">
        <v>0</v>
      </c>
      <c r="K66" s="358">
        <v>0</v>
      </c>
      <c r="L66" s="359">
        <v>0</v>
      </c>
      <c r="M66" s="967">
        <f t="shared" si="0"/>
        <v>0</v>
      </c>
    </row>
    <row r="67" spans="1:13" s="23" customFormat="1">
      <c r="A67" s="342">
        <v>62</v>
      </c>
      <c r="B67" s="366"/>
      <c r="C67" s="350">
        <v>2</v>
      </c>
      <c r="D67" s="350"/>
      <c r="E67" s="350"/>
      <c r="F67" s="397" t="s">
        <v>100</v>
      </c>
      <c r="G67" s="352"/>
      <c r="H67" s="398">
        <f>SUM(H68:H77)</f>
        <v>0</v>
      </c>
      <c r="I67" s="359">
        <f t="shared" si="1"/>
        <v>0</v>
      </c>
      <c r="J67" s="399">
        <f t="shared" ref="J67:K67" si="13">SUM(J68:J77)</f>
        <v>0</v>
      </c>
      <c r="K67" s="398">
        <f t="shared" si="13"/>
        <v>0</v>
      </c>
      <c r="L67" s="399">
        <f t="shared" ref="L67" si="14">SUM(L68:L77)</f>
        <v>0</v>
      </c>
      <c r="M67" s="967">
        <f t="shared" si="0"/>
        <v>0</v>
      </c>
    </row>
    <row r="68" spans="1:13" s="23" customFormat="1">
      <c r="A68" s="342">
        <v>63</v>
      </c>
      <c r="B68" s="349"/>
      <c r="C68" s="355"/>
      <c r="D68" s="355">
        <v>1</v>
      </c>
      <c r="E68" s="355"/>
      <c r="F68" s="356"/>
      <c r="G68" s="365" t="s">
        <v>234</v>
      </c>
      <c r="H68" s="358">
        <v>0</v>
      </c>
      <c r="I68" s="359">
        <f t="shared" si="1"/>
        <v>0</v>
      </c>
      <c r="J68" s="359">
        <v>0</v>
      </c>
      <c r="K68" s="358">
        <v>0</v>
      </c>
      <c r="L68" s="359">
        <v>0</v>
      </c>
      <c r="M68" s="967">
        <f t="shared" si="0"/>
        <v>0</v>
      </c>
    </row>
    <row r="69" spans="1:13" s="23" customFormat="1">
      <c r="A69" s="342">
        <v>64</v>
      </c>
      <c r="B69" s="343"/>
      <c r="C69" s="344"/>
      <c r="D69" s="355">
        <v>2</v>
      </c>
      <c r="E69" s="355"/>
      <c r="F69" s="356"/>
      <c r="G69" s="357" t="s">
        <v>235</v>
      </c>
      <c r="H69" s="358">
        <v>0</v>
      </c>
      <c r="I69" s="359">
        <f t="shared" si="1"/>
        <v>0</v>
      </c>
      <c r="J69" s="359">
        <v>0</v>
      </c>
      <c r="K69" s="358">
        <v>0</v>
      </c>
      <c r="L69" s="359">
        <v>0</v>
      </c>
      <c r="M69" s="967">
        <f t="shared" si="0"/>
        <v>0</v>
      </c>
    </row>
    <row r="70" spans="1:13" s="23" customFormat="1">
      <c r="A70" s="342">
        <v>65</v>
      </c>
      <c r="B70" s="349"/>
      <c r="C70" s="355"/>
      <c r="D70" s="355">
        <v>3</v>
      </c>
      <c r="E70" s="355"/>
      <c r="F70" s="356"/>
      <c r="G70" s="365" t="s">
        <v>236</v>
      </c>
      <c r="H70" s="358">
        <v>0</v>
      </c>
      <c r="I70" s="359">
        <f t="shared" si="1"/>
        <v>0</v>
      </c>
      <c r="J70" s="359">
        <v>0</v>
      </c>
      <c r="K70" s="358">
        <v>0</v>
      </c>
      <c r="L70" s="359">
        <v>0</v>
      </c>
      <c r="M70" s="967">
        <f t="shared" si="0"/>
        <v>0</v>
      </c>
    </row>
    <row r="71" spans="1:13" s="23" customFormat="1">
      <c r="A71" s="342">
        <v>66</v>
      </c>
      <c r="B71" s="349"/>
      <c r="C71" s="355"/>
      <c r="D71" s="355">
        <v>4</v>
      </c>
      <c r="E71" s="355"/>
      <c r="F71" s="356"/>
      <c r="G71" s="365" t="s">
        <v>237</v>
      </c>
      <c r="H71" s="358">
        <v>0</v>
      </c>
      <c r="I71" s="359">
        <f t="shared" si="1"/>
        <v>0</v>
      </c>
      <c r="J71" s="359">
        <v>0</v>
      </c>
      <c r="K71" s="358">
        <v>0</v>
      </c>
      <c r="L71" s="359">
        <v>0</v>
      </c>
      <c r="M71" s="967">
        <f t="shared" si="0"/>
        <v>0</v>
      </c>
    </row>
    <row r="72" spans="1:13" s="23" customFormat="1">
      <c r="A72" s="342">
        <v>67</v>
      </c>
      <c r="B72" s="349"/>
      <c r="C72" s="355"/>
      <c r="D72" s="355">
        <v>5</v>
      </c>
      <c r="E72" s="355"/>
      <c r="F72" s="356"/>
      <c r="G72" s="357" t="s">
        <v>238</v>
      </c>
      <c r="H72" s="358">
        <v>0</v>
      </c>
      <c r="I72" s="359">
        <f t="shared" si="1"/>
        <v>0</v>
      </c>
      <c r="J72" s="359">
        <v>0</v>
      </c>
      <c r="K72" s="358">
        <v>0</v>
      </c>
      <c r="L72" s="359">
        <v>0</v>
      </c>
      <c r="M72" s="967">
        <f t="shared" si="0"/>
        <v>0</v>
      </c>
    </row>
    <row r="73" spans="1:13" s="23" customFormat="1">
      <c r="A73" s="342">
        <v>68</v>
      </c>
      <c r="B73" s="349"/>
      <c r="C73" s="355"/>
      <c r="D73" s="355">
        <v>6</v>
      </c>
      <c r="E73" s="355"/>
      <c r="F73" s="373"/>
      <c r="G73" s="365" t="s">
        <v>239</v>
      </c>
      <c r="H73" s="358">
        <v>0</v>
      </c>
      <c r="I73" s="359">
        <f t="shared" si="1"/>
        <v>0</v>
      </c>
      <c r="J73" s="359">
        <v>0</v>
      </c>
      <c r="K73" s="358">
        <v>0</v>
      </c>
      <c r="L73" s="359">
        <v>0</v>
      </c>
      <c r="M73" s="967">
        <f t="shared" ref="M73:M136" si="15">I73-H73</f>
        <v>0</v>
      </c>
    </row>
    <row r="74" spans="1:13" s="23" customFormat="1">
      <c r="A74" s="342">
        <v>69</v>
      </c>
      <c r="B74" s="349"/>
      <c r="C74" s="356"/>
      <c r="D74" s="356">
        <v>7</v>
      </c>
      <c r="E74" s="356"/>
      <c r="F74" s="374"/>
      <c r="G74" s="375" t="s">
        <v>240</v>
      </c>
      <c r="H74" s="358">
        <v>0</v>
      </c>
      <c r="I74" s="359">
        <f t="shared" si="1"/>
        <v>0</v>
      </c>
      <c r="J74" s="359">
        <v>0</v>
      </c>
      <c r="K74" s="358">
        <v>0</v>
      </c>
      <c r="L74" s="359">
        <v>0</v>
      </c>
      <c r="M74" s="967">
        <f t="shared" si="15"/>
        <v>0</v>
      </c>
    </row>
    <row r="75" spans="1:13" s="23" customFormat="1">
      <c r="A75" s="342">
        <v>70</v>
      </c>
      <c r="B75" s="349"/>
      <c r="C75" s="356"/>
      <c r="D75" s="356">
        <v>8</v>
      </c>
      <c r="E75" s="356"/>
      <c r="F75" s="376"/>
      <c r="G75" s="365" t="s">
        <v>241</v>
      </c>
      <c r="H75" s="358">
        <v>0</v>
      </c>
      <c r="I75" s="359">
        <f t="shared" ref="I75:I137" si="16">J75+K75</f>
        <v>0</v>
      </c>
      <c r="J75" s="359">
        <v>0</v>
      </c>
      <c r="K75" s="358">
        <v>0</v>
      </c>
      <c r="L75" s="359">
        <v>0</v>
      </c>
      <c r="M75" s="967">
        <f t="shared" si="15"/>
        <v>0</v>
      </c>
    </row>
    <row r="76" spans="1:13" s="23" customFormat="1">
      <c r="A76" s="342">
        <v>71</v>
      </c>
      <c r="B76" s="343"/>
      <c r="C76" s="345"/>
      <c r="D76" s="356">
        <v>9</v>
      </c>
      <c r="E76" s="356"/>
      <c r="F76" s="377"/>
      <c r="G76" s="357" t="s">
        <v>242</v>
      </c>
      <c r="H76" s="358">
        <v>0</v>
      </c>
      <c r="I76" s="359">
        <f t="shared" si="16"/>
        <v>0</v>
      </c>
      <c r="J76" s="359">
        <v>0</v>
      </c>
      <c r="K76" s="358">
        <v>0</v>
      </c>
      <c r="L76" s="359">
        <v>0</v>
      </c>
      <c r="M76" s="967">
        <f t="shared" si="15"/>
        <v>0</v>
      </c>
    </row>
    <row r="77" spans="1:13" s="23" customFormat="1">
      <c r="A77" s="342">
        <v>72</v>
      </c>
      <c r="B77" s="349"/>
      <c r="C77" s="356"/>
      <c r="D77" s="356">
        <v>10</v>
      </c>
      <c r="E77" s="356"/>
      <c r="F77" s="377"/>
      <c r="G77" s="378" t="s">
        <v>244</v>
      </c>
      <c r="H77" s="358">
        <v>0</v>
      </c>
      <c r="I77" s="359">
        <f t="shared" si="16"/>
        <v>0</v>
      </c>
      <c r="J77" s="359">
        <v>0</v>
      </c>
      <c r="K77" s="358">
        <v>0</v>
      </c>
      <c r="L77" s="359">
        <v>0</v>
      </c>
      <c r="M77" s="967">
        <f t="shared" si="15"/>
        <v>0</v>
      </c>
    </row>
    <row r="78" spans="1:13">
      <c r="A78" s="342">
        <v>73</v>
      </c>
      <c r="B78" s="349"/>
      <c r="C78" s="351">
        <v>3</v>
      </c>
      <c r="D78" s="351"/>
      <c r="E78" s="351"/>
      <c r="F78" s="379" t="s">
        <v>245</v>
      </c>
      <c r="G78" s="380"/>
      <c r="H78" s="353">
        <f>SUM(H79:H81)</f>
        <v>5817850</v>
      </c>
      <c r="I78" s="359">
        <f t="shared" si="16"/>
        <v>7625612</v>
      </c>
      <c r="J78" s="353">
        <f>SUM(J79:J81)</f>
        <v>7625612</v>
      </c>
      <c r="K78" s="353">
        <f t="shared" ref="K78:L78" si="17">SUM(K79:K81)</f>
        <v>0</v>
      </c>
      <c r="L78" s="354">
        <f t="shared" si="17"/>
        <v>0</v>
      </c>
      <c r="M78" s="967">
        <f t="shared" si="15"/>
        <v>1807762</v>
      </c>
    </row>
    <row r="79" spans="1:13">
      <c r="A79" s="342">
        <v>74</v>
      </c>
      <c r="B79" s="349"/>
      <c r="C79" s="355"/>
      <c r="D79" s="355">
        <v>1</v>
      </c>
      <c r="E79" s="355"/>
      <c r="F79" s="356"/>
      <c r="G79" s="381" t="s">
        <v>246</v>
      </c>
      <c r="H79" s="358">
        <v>0</v>
      </c>
      <c r="I79" s="359">
        <f t="shared" si="16"/>
        <v>0</v>
      </c>
      <c r="J79" s="359">
        <v>0</v>
      </c>
      <c r="K79" s="358">
        <v>0</v>
      </c>
      <c r="L79" s="359">
        <v>0</v>
      </c>
      <c r="M79" s="967">
        <f t="shared" si="15"/>
        <v>0</v>
      </c>
    </row>
    <row r="80" spans="1:13">
      <c r="A80" s="342">
        <v>75</v>
      </c>
      <c r="B80" s="349"/>
      <c r="C80" s="355"/>
      <c r="D80" s="355">
        <v>2</v>
      </c>
      <c r="E80" s="355"/>
      <c r="F80" s="356"/>
      <c r="G80" s="381" t="s">
        <v>247</v>
      </c>
      <c r="H80" s="400">
        <v>0</v>
      </c>
      <c r="I80" s="359">
        <f t="shared" si="16"/>
        <v>0</v>
      </c>
      <c r="J80" s="401">
        <v>0</v>
      </c>
      <c r="K80" s="358">
        <v>0</v>
      </c>
      <c r="L80" s="359">
        <v>0</v>
      </c>
      <c r="M80" s="967">
        <f t="shared" si="15"/>
        <v>0</v>
      </c>
    </row>
    <row r="81" spans="1:13" s="23" customFormat="1">
      <c r="A81" s="342">
        <v>76</v>
      </c>
      <c r="B81" s="343"/>
      <c r="C81" s="344"/>
      <c r="D81" s="355">
        <v>3</v>
      </c>
      <c r="E81" s="355"/>
      <c r="F81" s="356"/>
      <c r="G81" s="357" t="s">
        <v>506</v>
      </c>
      <c r="H81" s="358">
        <v>5817850</v>
      </c>
      <c r="I81" s="359">
        <f t="shared" si="16"/>
        <v>7625612</v>
      </c>
      <c r="J81" s="358">
        <f>5817850+1807762</f>
        <v>7625612</v>
      </c>
      <c r="K81" s="358">
        <v>0</v>
      </c>
      <c r="L81" s="359">
        <v>0</v>
      </c>
      <c r="M81" s="967">
        <f t="shared" si="15"/>
        <v>1807762</v>
      </c>
    </row>
    <row r="82" spans="1:13">
      <c r="A82" s="342">
        <v>77</v>
      </c>
      <c r="B82" s="349"/>
      <c r="C82" s="350">
        <v>4</v>
      </c>
      <c r="D82" s="350"/>
      <c r="E82" s="350"/>
      <c r="F82" s="351" t="s">
        <v>248</v>
      </c>
      <c r="G82" s="352"/>
      <c r="H82" s="402">
        <f>SUM(H83:H86)</f>
        <v>88714600</v>
      </c>
      <c r="I82" s="359">
        <f t="shared" si="16"/>
        <v>89809074</v>
      </c>
      <c r="J82" s="403">
        <f>SUM(J83:J86)</f>
        <v>89809074</v>
      </c>
      <c r="K82" s="353">
        <f t="shared" ref="K82" si="18">SUM(K83:K86)</f>
        <v>0</v>
      </c>
      <c r="L82" s="354">
        <f t="shared" ref="L82" si="19">SUM(L83:L86)</f>
        <v>0</v>
      </c>
      <c r="M82" s="967">
        <f t="shared" si="15"/>
        <v>1094474</v>
      </c>
    </row>
    <row r="83" spans="1:13">
      <c r="A83" s="342">
        <v>78</v>
      </c>
      <c r="B83" s="392"/>
      <c r="C83" s="393"/>
      <c r="D83" s="355">
        <v>1</v>
      </c>
      <c r="E83" s="355"/>
      <c r="F83" s="356"/>
      <c r="G83" s="357" t="s">
        <v>249</v>
      </c>
      <c r="H83" s="358">
        <v>0</v>
      </c>
      <c r="I83" s="359">
        <f t="shared" si="16"/>
        <v>0</v>
      </c>
      <c r="J83" s="359">
        <v>0</v>
      </c>
      <c r="K83" s="358">
        <v>0</v>
      </c>
      <c r="L83" s="359">
        <v>0</v>
      </c>
      <c r="M83" s="967">
        <f t="shared" si="15"/>
        <v>0</v>
      </c>
    </row>
    <row r="84" spans="1:13">
      <c r="A84" s="342">
        <v>79</v>
      </c>
      <c r="B84" s="343"/>
      <c r="C84" s="344"/>
      <c r="D84" s="355">
        <v>2</v>
      </c>
      <c r="E84" s="355"/>
      <c r="F84" s="356"/>
      <c r="G84" s="357" t="s">
        <v>250</v>
      </c>
      <c r="H84" s="358">
        <v>0</v>
      </c>
      <c r="I84" s="359">
        <f t="shared" si="16"/>
        <v>0</v>
      </c>
      <c r="J84" s="359">
        <v>0</v>
      </c>
      <c r="K84" s="358">
        <v>0</v>
      </c>
      <c r="L84" s="359">
        <v>0</v>
      </c>
      <c r="M84" s="967">
        <f t="shared" si="15"/>
        <v>0</v>
      </c>
    </row>
    <row r="85" spans="1:13">
      <c r="A85" s="342">
        <v>80</v>
      </c>
      <c r="B85" s="343"/>
      <c r="C85" s="344"/>
      <c r="D85" s="355">
        <v>3</v>
      </c>
      <c r="E85" s="355"/>
      <c r="F85" s="356"/>
      <c r="G85" s="394" t="s">
        <v>251</v>
      </c>
      <c r="H85" s="400">
        <v>0</v>
      </c>
      <c r="I85" s="359">
        <f t="shared" si="16"/>
        <v>90797</v>
      </c>
      <c r="J85" s="401">
        <v>90797</v>
      </c>
      <c r="K85" s="358">
        <v>0</v>
      </c>
      <c r="L85" s="359">
        <v>0</v>
      </c>
      <c r="M85" s="967">
        <f t="shared" si="15"/>
        <v>90797</v>
      </c>
    </row>
    <row r="86" spans="1:13">
      <c r="A86" s="342">
        <v>81</v>
      </c>
      <c r="B86" s="343"/>
      <c r="C86" s="344"/>
      <c r="D86" s="355">
        <v>4</v>
      </c>
      <c r="E86" s="355"/>
      <c r="F86" s="356"/>
      <c r="G86" s="357" t="s">
        <v>252</v>
      </c>
      <c r="H86" s="372">
        <f>kiadások4!H60-H78-H67</f>
        <v>88714600</v>
      </c>
      <c r="I86" s="359">
        <f t="shared" si="16"/>
        <v>89718277</v>
      </c>
      <c r="J86" s="372">
        <f>88714600+1003677</f>
        <v>89718277</v>
      </c>
      <c r="K86" s="358">
        <v>0</v>
      </c>
      <c r="L86" s="359">
        <v>0</v>
      </c>
      <c r="M86" s="967">
        <f t="shared" si="15"/>
        <v>1003677</v>
      </c>
    </row>
    <row r="87" spans="1:13">
      <c r="A87" s="342">
        <v>82</v>
      </c>
      <c r="B87" s="349"/>
      <c r="C87" s="355"/>
      <c r="D87" s="355"/>
      <c r="E87" s="344" t="s">
        <v>67</v>
      </c>
      <c r="F87" s="356"/>
      <c r="G87" s="357"/>
      <c r="H87" s="347">
        <f>SUM(H63+H67+H82+H78)</f>
        <v>94532450</v>
      </c>
      <c r="I87" s="347">
        <f t="shared" ref="I87:J87" si="20">SUM(I63+I67+I82+I78)</f>
        <v>97434686</v>
      </c>
      <c r="J87" s="347">
        <f t="shared" si="20"/>
        <v>97434686</v>
      </c>
      <c r="K87" s="387">
        <f>SUM(K63+K67+K82)</f>
        <v>0</v>
      </c>
      <c r="L87" s="388">
        <f>SUM(L63+L67+L82)</f>
        <v>0</v>
      </c>
      <c r="M87" s="967">
        <f t="shared" si="15"/>
        <v>2902236</v>
      </c>
    </row>
    <row r="88" spans="1:13">
      <c r="A88" s="342">
        <v>83</v>
      </c>
      <c r="B88" s="392" t="s">
        <v>489</v>
      </c>
      <c r="C88" s="393"/>
      <c r="D88" s="393"/>
      <c r="E88" s="393"/>
      <c r="F88" s="404"/>
      <c r="G88" s="405"/>
      <c r="H88" s="406"/>
      <c r="I88" s="359">
        <f t="shared" si="16"/>
        <v>0</v>
      </c>
      <c r="J88" s="407"/>
      <c r="K88" s="406"/>
      <c r="L88" s="407"/>
      <c r="M88" s="967">
        <f t="shared" si="15"/>
        <v>0</v>
      </c>
    </row>
    <row r="89" spans="1:13">
      <c r="A89" s="342">
        <v>84</v>
      </c>
      <c r="B89" s="366"/>
      <c r="C89" s="350">
        <v>1</v>
      </c>
      <c r="D89" s="350"/>
      <c r="E89" s="350"/>
      <c r="F89" s="351" t="s">
        <v>100</v>
      </c>
      <c r="G89" s="352"/>
      <c r="H89" s="353">
        <f>SUM(H90:H99)</f>
        <v>1735000</v>
      </c>
      <c r="I89" s="359">
        <f t="shared" si="16"/>
        <v>1735000</v>
      </c>
      <c r="J89" s="354">
        <f>SUM(J90:J99)</f>
        <v>1735000</v>
      </c>
      <c r="K89" s="353">
        <f t="shared" ref="K89:L89" si="21">SUM(K90:K99)</f>
        <v>0</v>
      </c>
      <c r="L89" s="354">
        <f t="shared" si="21"/>
        <v>0</v>
      </c>
      <c r="M89" s="967">
        <f t="shared" si="15"/>
        <v>0</v>
      </c>
    </row>
    <row r="90" spans="1:13">
      <c r="A90" s="342">
        <v>85</v>
      </c>
      <c r="B90" s="349"/>
      <c r="C90" s="355"/>
      <c r="D90" s="355">
        <v>1</v>
      </c>
      <c r="E90" s="355"/>
      <c r="F90" s="356"/>
      <c r="G90" s="365" t="s">
        <v>234</v>
      </c>
      <c r="H90" s="358">
        <v>0</v>
      </c>
      <c r="I90" s="359">
        <f t="shared" si="16"/>
        <v>0</v>
      </c>
      <c r="J90" s="359">
        <v>0</v>
      </c>
      <c r="K90" s="358">
        <v>0</v>
      </c>
      <c r="L90" s="359">
        <v>0</v>
      </c>
      <c r="M90" s="967">
        <f t="shared" si="15"/>
        <v>0</v>
      </c>
    </row>
    <row r="91" spans="1:13">
      <c r="A91" s="342">
        <v>86</v>
      </c>
      <c r="B91" s="343"/>
      <c r="C91" s="344"/>
      <c r="D91" s="355">
        <v>2</v>
      </c>
      <c r="E91" s="355"/>
      <c r="F91" s="356"/>
      <c r="G91" s="357" t="s">
        <v>235</v>
      </c>
      <c r="H91" s="358">
        <f>1134000+295000</f>
        <v>1429000</v>
      </c>
      <c r="I91" s="359">
        <f t="shared" si="16"/>
        <v>1429000</v>
      </c>
      <c r="J91" s="358">
        <f>1134000+295000</f>
        <v>1429000</v>
      </c>
      <c r="K91" s="358">
        <v>0</v>
      </c>
      <c r="L91" s="359">
        <v>0</v>
      </c>
      <c r="M91" s="967">
        <f t="shared" si="15"/>
        <v>0</v>
      </c>
    </row>
    <row r="92" spans="1:13">
      <c r="A92" s="342">
        <v>87</v>
      </c>
      <c r="B92" s="349"/>
      <c r="C92" s="355"/>
      <c r="D92" s="355">
        <v>3</v>
      </c>
      <c r="E92" s="355"/>
      <c r="F92" s="356"/>
      <c r="G92" s="365" t="s">
        <v>236</v>
      </c>
      <c r="H92" s="358">
        <v>0</v>
      </c>
      <c r="I92" s="359">
        <f t="shared" si="16"/>
        <v>0</v>
      </c>
      <c r="J92" s="358">
        <v>0</v>
      </c>
      <c r="K92" s="358">
        <v>0</v>
      </c>
      <c r="L92" s="359">
        <v>0</v>
      </c>
      <c r="M92" s="967">
        <f t="shared" si="15"/>
        <v>0</v>
      </c>
    </row>
    <row r="93" spans="1:13">
      <c r="A93" s="342">
        <v>88</v>
      </c>
      <c r="B93" s="349"/>
      <c r="C93" s="355"/>
      <c r="D93" s="355">
        <v>4</v>
      </c>
      <c r="E93" s="355"/>
      <c r="F93" s="356"/>
      <c r="G93" s="365" t="s">
        <v>237</v>
      </c>
      <c r="H93" s="358">
        <v>0</v>
      </c>
      <c r="I93" s="359">
        <f t="shared" si="16"/>
        <v>0</v>
      </c>
      <c r="J93" s="358">
        <v>0</v>
      </c>
      <c r="K93" s="358">
        <v>0</v>
      </c>
      <c r="L93" s="359">
        <v>0</v>
      </c>
      <c r="M93" s="967">
        <f t="shared" si="15"/>
        <v>0</v>
      </c>
    </row>
    <row r="94" spans="1:13">
      <c r="A94" s="342">
        <v>89</v>
      </c>
      <c r="B94" s="349"/>
      <c r="C94" s="355"/>
      <c r="D94" s="355">
        <v>5</v>
      </c>
      <c r="E94" s="355"/>
      <c r="F94" s="356"/>
      <c r="G94" s="357" t="s">
        <v>238</v>
      </c>
      <c r="H94" s="358">
        <v>0</v>
      </c>
      <c r="I94" s="359">
        <f t="shared" si="16"/>
        <v>0</v>
      </c>
      <c r="J94" s="358">
        <v>0</v>
      </c>
      <c r="K94" s="358">
        <v>0</v>
      </c>
      <c r="L94" s="359">
        <v>0</v>
      </c>
      <c r="M94" s="967">
        <f t="shared" si="15"/>
        <v>0</v>
      </c>
    </row>
    <row r="95" spans="1:13">
      <c r="A95" s="342">
        <v>90</v>
      </c>
      <c r="B95" s="349"/>
      <c r="C95" s="355"/>
      <c r="D95" s="355">
        <v>6</v>
      </c>
      <c r="E95" s="355"/>
      <c r="F95" s="373"/>
      <c r="G95" s="365" t="s">
        <v>239</v>
      </c>
      <c r="H95" s="358">
        <v>306000</v>
      </c>
      <c r="I95" s="359">
        <f t="shared" si="16"/>
        <v>306000</v>
      </c>
      <c r="J95" s="358">
        <v>306000</v>
      </c>
      <c r="K95" s="358">
        <v>0</v>
      </c>
      <c r="L95" s="359">
        <v>0</v>
      </c>
      <c r="M95" s="967">
        <f t="shared" si="15"/>
        <v>0</v>
      </c>
    </row>
    <row r="96" spans="1:13">
      <c r="A96" s="342">
        <v>91</v>
      </c>
      <c r="B96" s="349"/>
      <c r="C96" s="356"/>
      <c r="D96" s="356">
        <v>7</v>
      </c>
      <c r="E96" s="356"/>
      <c r="F96" s="374"/>
      <c r="G96" s="375" t="s">
        <v>240</v>
      </c>
      <c r="H96" s="358">
        <v>0</v>
      </c>
      <c r="I96" s="359">
        <f t="shared" si="16"/>
        <v>0</v>
      </c>
      <c r="J96" s="359">
        <v>0</v>
      </c>
      <c r="K96" s="358">
        <v>0</v>
      </c>
      <c r="L96" s="359">
        <v>0</v>
      </c>
      <c r="M96" s="967">
        <f t="shared" si="15"/>
        <v>0</v>
      </c>
    </row>
    <row r="97" spans="1:13">
      <c r="A97" s="342">
        <v>92</v>
      </c>
      <c r="B97" s="349"/>
      <c r="C97" s="356"/>
      <c r="D97" s="356">
        <v>8</v>
      </c>
      <c r="E97" s="356"/>
      <c r="F97" s="376"/>
      <c r="G97" s="365" t="s">
        <v>241</v>
      </c>
      <c r="H97" s="358">
        <v>0</v>
      </c>
      <c r="I97" s="359">
        <f t="shared" si="16"/>
        <v>0</v>
      </c>
      <c r="J97" s="359">
        <v>0</v>
      </c>
      <c r="K97" s="358">
        <v>0</v>
      </c>
      <c r="L97" s="359">
        <v>0</v>
      </c>
      <c r="M97" s="967">
        <f t="shared" si="15"/>
        <v>0</v>
      </c>
    </row>
    <row r="98" spans="1:13">
      <c r="A98" s="342">
        <v>93</v>
      </c>
      <c r="B98" s="343"/>
      <c r="C98" s="345"/>
      <c r="D98" s="356">
        <v>9</v>
      </c>
      <c r="E98" s="356"/>
      <c r="F98" s="377"/>
      <c r="G98" s="357" t="s">
        <v>242</v>
      </c>
      <c r="H98" s="358">
        <v>0</v>
      </c>
      <c r="I98" s="359">
        <f t="shared" si="16"/>
        <v>0</v>
      </c>
      <c r="J98" s="359">
        <v>0</v>
      </c>
      <c r="K98" s="358">
        <v>0</v>
      </c>
      <c r="L98" s="359">
        <v>0</v>
      </c>
      <c r="M98" s="967">
        <f t="shared" si="15"/>
        <v>0</v>
      </c>
    </row>
    <row r="99" spans="1:13">
      <c r="A99" s="342">
        <v>94</v>
      </c>
      <c r="B99" s="349"/>
      <c r="C99" s="356"/>
      <c r="D99" s="356">
        <v>10</v>
      </c>
      <c r="E99" s="356"/>
      <c r="F99" s="377"/>
      <c r="G99" s="378" t="s">
        <v>244</v>
      </c>
      <c r="H99" s="358">
        <v>0</v>
      </c>
      <c r="I99" s="359">
        <f t="shared" si="16"/>
        <v>0</v>
      </c>
      <c r="J99" s="359">
        <v>0</v>
      </c>
      <c r="K99" s="358">
        <v>0</v>
      </c>
      <c r="L99" s="359">
        <v>0</v>
      </c>
      <c r="M99" s="967">
        <f t="shared" si="15"/>
        <v>0</v>
      </c>
    </row>
    <row r="100" spans="1:13">
      <c r="A100" s="342">
        <v>95</v>
      </c>
      <c r="B100" s="349"/>
      <c r="C100" s="350">
        <v>2</v>
      </c>
      <c r="D100" s="350"/>
      <c r="E100" s="350"/>
      <c r="F100" s="351" t="s">
        <v>248</v>
      </c>
      <c r="G100" s="352"/>
      <c r="H100" s="353">
        <f>SUM(H101:H104)</f>
        <v>15844177</v>
      </c>
      <c r="I100" s="359">
        <f t="shared" si="16"/>
        <v>16358932</v>
      </c>
      <c r="J100" s="354">
        <f>SUM(J101:J104)</f>
        <v>16358932</v>
      </c>
      <c r="K100" s="353">
        <f t="shared" ref="K100:L100" si="22">SUM(K101:K104)</f>
        <v>0</v>
      </c>
      <c r="L100" s="354">
        <f t="shared" si="22"/>
        <v>0</v>
      </c>
      <c r="M100" s="967">
        <f t="shared" si="15"/>
        <v>514755</v>
      </c>
    </row>
    <row r="101" spans="1:13">
      <c r="A101" s="342">
        <v>96</v>
      </c>
      <c r="B101" s="392"/>
      <c r="C101" s="393"/>
      <c r="D101" s="355">
        <v>1</v>
      </c>
      <c r="E101" s="355"/>
      <c r="F101" s="356"/>
      <c r="G101" s="357" t="s">
        <v>249</v>
      </c>
      <c r="H101" s="358">
        <v>0</v>
      </c>
      <c r="I101" s="359">
        <f t="shared" si="16"/>
        <v>0</v>
      </c>
      <c r="J101" s="359">
        <v>0</v>
      </c>
      <c r="K101" s="358">
        <v>0</v>
      </c>
      <c r="L101" s="359">
        <v>0</v>
      </c>
      <c r="M101" s="967">
        <f t="shared" si="15"/>
        <v>0</v>
      </c>
    </row>
    <row r="102" spans="1:13">
      <c r="A102" s="342">
        <v>97</v>
      </c>
      <c r="B102" s="343"/>
      <c r="C102" s="344"/>
      <c r="D102" s="355">
        <v>2</v>
      </c>
      <c r="E102" s="355"/>
      <c r="F102" s="356"/>
      <c r="G102" s="357" t="s">
        <v>250</v>
      </c>
      <c r="H102" s="358">
        <v>0</v>
      </c>
      <c r="I102" s="359">
        <f t="shared" si="16"/>
        <v>0</v>
      </c>
      <c r="J102" s="359">
        <v>0</v>
      </c>
      <c r="K102" s="358">
        <v>0</v>
      </c>
      <c r="L102" s="359">
        <v>0</v>
      </c>
      <c r="M102" s="967">
        <f t="shared" si="15"/>
        <v>0</v>
      </c>
    </row>
    <row r="103" spans="1:13">
      <c r="A103" s="342">
        <v>98</v>
      </c>
      <c r="B103" s="343"/>
      <c r="C103" s="344"/>
      <c r="D103" s="355">
        <v>3</v>
      </c>
      <c r="E103" s="355"/>
      <c r="F103" s="356"/>
      <c r="G103" s="394" t="s">
        <v>251</v>
      </c>
      <c r="H103" s="400">
        <v>0</v>
      </c>
      <c r="I103" s="359">
        <f t="shared" si="16"/>
        <v>61442</v>
      </c>
      <c r="J103" s="401">
        <v>61442</v>
      </c>
      <c r="K103" s="358">
        <v>0</v>
      </c>
      <c r="L103" s="359">
        <v>0</v>
      </c>
      <c r="M103" s="967">
        <f t="shared" si="15"/>
        <v>61442</v>
      </c>
    </row>
    <row r="104" spans="1:13">
      <c r="A104" s="342">
        <v>99</v>
      </c>
      <c r="B104" s="343"/>
      <c r="C104" s="344"/>
      <c r="D104" s="355">
        <v>4</v>
      </c>
      <c r="E104" s="355"/>
      <c r="F104" s="356"/>
      <c r="G104" s="357" t="s">
        <v>252</v>
      </c>
      <c r="H104" s="358">
        <f>kiadások4!H70-H89</f>
        <v>15844177</v>
      </c>
      <c r="I104" s="359">
        <f t="shared" si="16"/>
        <v>16297490</v>
      </c>
      <c r="J104" s="358">
        <f>15844177+453313</f>
        <v>16297490</v>
      </c>
      <c r="K104" s="358">
        <v>0</v>
      </c>
      <c r="L104" s="359">
        <v>0</v>
      </c>
      <c r="M104" s="967">
        <f t="shared" si="15"/>
        <v>453313</v>
      </c>
    </row>
    <row r="105" spans="1:13">
      <c r="A105" s="342">
        <v>100</v>
      </c>
      <c r="B105" s="408"/>
      <c r="C105" s="409"/>
      <c r="D105" s="409"/>
      <c r="E105" s="344" t="s">
        <v>67</v>
      </c>
      <c r="F105" s="410"/>
      <c r="G105" s="411"/>
      <c r="H105" s="347">
        <f t="shared" ref="H105:L105" si="23">SUM(H89+H100)</f>
        <v>17579177</v>
      </c>
      <c r="I105" s="347">
        <f t="shared" si="23"/>
        <v>18093932</v>
      </c>
      <c r="J105" s="347">
        <f t="shared" si="23"/>
        <v>18093932</v>
      </c>
      <c r="K105" s="387">
        <f t="shared" si="23"/>
        <v>0</v>
      </c>
      <c r="L105" s="388">
        <f t="shared" si="23"/>
        <v>0</v>
      </c>
      <c r="M105" s="967">
        <f t="shared" si="15"/>
        <v>514755</v>
      </c>
    </row>
    <row r="106" spans="1:13">
      <c r="A106" s="342">
        <v>101</v>
      </c>
      <c r="B106" s="392" t="s">
        <v>490</v>
      </c>
      <c r="C106" s="409"/>
      <c r="D106" s="409"/>
      <c r="E106" s="409"/>
      <c r="F106" s="410"/>
      <c r="G106" s="411"/>
      <c r="H106" s="406"/>
      <c r="I106" s="359">
        <f t="shared" si="16"/>
        <v>0</v>
      </c>
      <c r="J106" s="407"/>
      <c r="K106" s="406"/>
      <c r="L106" s="407"/>
      <c r="M106" s="967">
        <f t="shared" si="15"/>
        <v>0</v>
      </c>
    </row>
    <row r="107" spans="1:13">
      <c r="A107" s="342">
        <v>102</v>
      </c>
      <c r="B107" s="366"/>
      <c r="C107" s="350">
        <v>1</v>
      </c>
      <c r="D107" s="350"/>
      <c r="E107" s="350"/>
      <c r="F107" s="351" t="s">
        <v>100</v>
      </c>
      <c r="G107" s="352"/>
      <c r="H107" s="353">
        <f t="shared" ref="H107:L107" si="24">SUM(H108:H117)</f>
        <v>739000</v>
      </c>
      <c r="I107" s="359">
        <f t="shared" si="16"/>
        <v>739000</v>
      </c>
      <c r="J107" s="354">
        <f t="shared" si="24"/>
        <v>739000</v>
      </c>
      <c r="K107" s="353">
        <f t="shared" si="24"/>
        <v>0</v>
      </c>
      <c r="L107" s="354">
        <f t="shared" si="24"/>
        <v>0</v>
      </c>
      <c r="M107" s="967">
        <f t="shared" si="15"/>
        <v>0</v>
      </c>
    </row>
    <row r="108" spans="1:13" s="22" customFormat="1">
      <c r="A108" s="342">
        <v>103</v>
      </c>
      <c r="B108" s="349"/>
      <c r="C108" s="355"/>
      <c r="D108" s="355">
        <v>1</v>
      </c>
      <c r="E108" s="355"/>
      <c r="F108" s="356"/>
      <c r="G108" s="365" t="s">
        <v>234</v>
      </c>
      <c r="H108" s="358">
        <v>0</v>
      </c>
      <c r="I108" s="359">
        <f t="shared" si="16"/>
        <v>0</v>
      </c>
      <c r="J108" s="359">
        <v>0</v>
      </c>
      <c r="K108" s="358">
        <v>0</v>
      </c>
      <c r="L108" s="359">
        <v>0</v>
      </c>
      <c r="M108" s="967">
        <f t="shared" si="15"/>
        <v>0</v>
      </c>
    </row>
    <row r="109" spans="1:13">
      <c r="A109" s="342">
        <v>104</v>
      </c>
      <c r="B109" s="343"/>
      <c r="C109" s="344"/>
      <c r="D109" s="355">
        <v>2</v>
      </c>
      <c r="E109" s="355"/>
      <c r="F109" s="356"/>
      <c r="G109" s="357" t="s">
        <v>235</v>
      </c>
      <c r="H109" s="358">
        <v>581800</v>
      </c>
      <c r="I109" s="359">
        <f t="shared" si="16"/>
        <v>581800</v>
      </c>
      <c r="J109" s="358">
        <v>581800</v>
      </c>
      <c r="K109" s="406">
        <v>0</v>
      </c>
      <c r="L109" s="407">
        <v>0</v>
      </c>
      <c r="M109" s="967">
        <f t="shared" si="15"/>
        <v>0</v>
      </c>
    </row>
    <row r="110" spans="1:13">
      <c r="A110" s="342">
        <v>105</v>
      </c>
      <c r="B110" s="349"/>
      <c r="C110" s="355"/>
      <c r="D110" s="355">
        <v>3</v>
      </c>
      <c r="E110" s="355"/>
      <c r="F110" s="356"/>
      <c r="G110" s="365" t="s">
        <v>236</v>
      </c>
      <c r="H110" s="406">
        <v>0</v>
      </c>
      <c r="I110" s="359">
        <f t="shared" si="16"/>
        <v>0</v>
      </c>
      <c r="J110" s="406">
        <v>0</v>
      </c>
      <c r="K110" s="406">
        <v>0</v>
      </c>
      <c r="L110" s="407">
        <v>0</v>
      </c>
      <c r="M110" s="967">
        <f t="shared" si="15"/>
        <v>0</v>
      </c>
    </row>
    <row r="111" spans="1:13">
      <c r="A111" s="342">
        <v>106</v>
      </c>
      <c r="B111" s="349"/>
      <c r="C111" s="355"/>
      <c r="D111" s="355">
        <v>4</v>
      </c>
      <c r="E111" s="355"/>
      <c r="F111" s="356"/>
      <c r="G111" s="365" t="s">
        <v>237</v>
      </c>
      <c r="H111" s="406">
        <v>0</v>
      </c>
      <c r="I111" s="359">
        <f t="shared" si="16"/>
        <v>0</v>
      </c>
      <c r="J111" s="406">
        <v>0</v>
      </c>
      <c r="K111" s="406">
        <v>0</v>
      </c>
      <c r="L111" s="407">
        <v>0</v>
      </c>
      <c r="M111" s="967">
        <f t="shared" si="15"/>
        <v>0</v>
      </c>
    </row>
    <row r="112" spans="1:13">
      <c r="A112" s="342">
        <v>107</v>
      </c>
      <c r="B112" s="349"/>
      <c r="C112" s="355"/>
      <c r="D112" s="355">
        <v>5</v>
      </c>
      <c r="E112" s="355"/>
      <c r="F112" s="356"/>
      <c r="G112" s="357" t="s">
        <v>238</v>
      </c>
      <c r="H112" s="406">
        <v>0</v>
      </c>
      <c r="I112" s="359">
        <f t="shared" si="16"/>
        <v>0</v>
      </c>
      <c r="J112" s="406">
        <v>0</v>
      </c>
      <c r="K112" s="406">
        <v>0</v>
      </c>
      <c r="L112" s="407">
        <v>0</v>
      </c>
      <c r="M112" s="967">
        <f t="shared" si="15"/>
        <v>0</v>
      </c>
    </row>
    <row r="113" spans="1:13">
      <c r="A113" s="342">
        <v>108</v>
      </c>
      <c r="B113" s="349"/>
      <c r="C113" s="355"/>
      <c r="D113" s="355">
        <v>6</v>
      </c>
      <c r="E113" s="355"/>
      <c r="F113" s="373"/>
      <c r="G113" s="365" t="s">
        <v>239</v>
      </c>
      <c r="H113" s="358">
        <v>157200</v>
      </c>
      <c r="I113" s="359">
        <f t="shared" si="16"/>
        <v>157200</v>
      </c>
      <c r="J113" s="358">
        <v>157200</v>
      </c>
      <c r="K113" s="358">
        <v>0</v>
      </c>
      <c r="L113" s="359">
        <v>0</v>
      </c>
      <c r="M113" s="967">
        <f t="shared" si="15"/>
        <v>0</v>
      </c>
    </row>
    <row r="114" spans="1:13">
      <c r="A114" s="342">
        <v>109</v>
      </c>
      <c r="B114" s="349"/>
      <c r="C114" s="356"/>
      <c r="D114" s="356">
        <v>7</v>
      </c>
      <c r="E114" s="356"/>
      <c r="F114" s="374"/>
      <c r="G114" s="375" t="s">
        <v>240</v>
      </c>
      <c r="H114" s="406">
        <v>0</v>
      </c>
      <c r="I114" s="359">
        <f t="shared" si="16"/>
        <v>0</v>
      </c>
      <c r="J114" s="407">
        <v>0</v>
      </c>
      <c r="K114" s="406">
        <v>0</v>
      </c>
      <c r="L114" s="407">
        <v>0</v>
      </c>
      <c r="M114" s="967">
        <f t="shared" si="15"/>
        <v>0</v>
      </c>
    </row>
    <row r="115" spans="1:13">
      <c r="A115" s="342">
        <v>110</v>
      </c>
      <c r="B115" s="349"/>
      <c r="C115" s="356"/>
      <c r="D115" s="356">
        <v>8</v>
      </c>
      <c r="E115" s="356"/>
      <c r="F115" s="376"/>
      <c r="G115" s="365" t="s">
        <v>241</v>
      </c>
      <c r="H115" s="358">
        <v>0</v>
      </c>
      <c r="I115" s="359">
        <f t="shared" si="16"/>
        <v>0</v>
      </c>
      <c r="J115" s="359">
        <v>0</v>
      </c>
      <c r="K115" s="358">
        <v>0</v>
      </c>
      <c r="L115" s="359">
        <v>0</v>
      </c>
      <c r="M115" s="967">
        <f t="shared" si="15"/>
        <v>0</v>
      </c>
    </row>
    <row r="116" spans="1:13" s="22" customFormat="1">
      <c r="A116" s="342">
        <v>111</v>
      </c>
      <c r="B116" s="343"/>
      <c r="C116" s="345"/>
      <c r="D116" s="356">
        <v>9</v>
      </c>
      <c r="E116" s="356"/>
      <c r="F116" s="377"/>
      <c r="G116" s="357" t="s">
        <v>242</v>
      </c>
      <c r="H116" s="406">
        <v>0</v>
      </c>
      <c r="I116" s="359">
        <f t="shared" si="16"/>
        <v>0</v>
      </c>
      <c r="J116" s="407">
        <v>0</v>
      </c>
      <c r="K116" s="406">
        <v>0</v>
      </c>
      <c r="L116" s="407">
        <v>0</v>
      </c>
      <c r="M116" s="967">
        <f t="shared" si="15"/>
        <v>0</v>
      </c>
    </row>
    <row r="117" spans="1:13" s="23" customFormat="1">
      <c r="A117" s="342">
        <v>112</v>
      </c>
      <c r="B117" s="349"/>
      <c r="C117" s="356"/>
      <c r="D117" s="356">
        <v>10</v>
      </c>
      <c r="E117" s="356"/>
      <c r="F117" s="377"/>
      <c r="G117" s="378" t="s">
        <v>244</v>
      </c>
      <c r="H117" s="358">
        <v>0</v>
      </c>
      <c r="I117" s="359">
        <f t="shared" si="16"/>
        <v>0</v>
      </c>
      <c r="J117" s="359">
        <v>0</v>
      </c>
      <c r="K117" s="358">
        <v>0</v>
      </c>
      <c r="L117" s="359">
        <v>0</v>
      </c>
      <c r="M117" s="967">
        <f t="shared" si="15"/>
        <v>0</v>
      </c>
    </row>
    <row r="118" spans="1:13">
      <c r="A118" s="342">
        <v>113</v>
      </c>
      <c r="B118" s="349"/>
      <c r="C118" s="350">
        <v>2</v>
      </c>
      <c r="D118" s="350"/>
      <c r="E118" s="350"/>
      <c r="F118" s="351" t="s">
        <v>248</v>
      </c>
      <c r="G118" s="352"/>
      <c r="H118" s="353">
        <f>SUM(H119:H122)</f>
        <v>9246459</v>
      </c>
      <c r="I118" s="359">
        <f t="shared" si="16"/>
        <v>9896233</v>
      </c>
      <c r="J118" s="354">
        <f>SUM(J119:J122)</f>
        <v>9896233</v>
      </c>
      <c r="K118" s="353">
        <f t="shared" ref="K118:L118" si="25">SUM(K119:K122)</f>
        <v>0</v>
      </c>
      <c r="L118" s="354">
        <f t="shared" si="25"/>
        <v>0</v>
      </c>
      <c r="M118" s="967">
        <f t="shared" si="15"/>
        <v>649774</v>
      </c>
    </row>
    <row r="119" spans="1:13">
      <c r="A119" s="342">
        <v>114</v>
      </c>
      <c r="B119" s="392"/>
      <c r="C119" s="393"/>
      <c r="D119" s="355">
        <v>1</v>
      </c>
      <c r="E119" s="355"/>
      <c r="F119" s="356"/>
      <c r="G119" s="357" t="s">
        <v>249</v>
      </c>
      <c r="H119" s="406">
        <v>0</v>
      </c>
      <c r="I119" s="359">
        <f t="shared" si="16"/>
        <v>0</v>
      </c>
      <c r="J119" s="407">
        <v>0</v>
      </c>
      <c r="K119" s="406">
        <v>0</v>
      </c>
      <c r="L119" s="407">
        <v>0</v>
      </c>
      <c r="M119" s="967">
        <f t="shared" si="15"/>
        <v>0</v>
      </c>
    </row>
    <row r="120" spans="1:13">
      <c r="A120" s="342">
        <v>115</v>
      </c>
      <c r="B120" s="343"/>
      <c r="C120" s="344"/>
      <c r="D120" s="355">
        <v>2</v>
      </c>
      <c r="E120" s="355"/>
      <c r="F120" s="356"/>
      <c r="G120" s="357" t="s">
        <v>250</v>
      </c>
      <c r="H120" s="406">
        <v>0</v>
      </c>
      <c r="I120" s="359">
        <f t="shared" si="16"/>
        <v>0</v>
      </c>
      <c r="J120" s="407">
        <v>0</v>
      </c>
      <c r="K120" s="406">
        <v>0</v>
      </c>
      <c r="L120" s="407">
        <v>0</v>
      </c>
      <c r="M120" s="967">
        <f t="shared" si="15"/>
        <v>0</v>
      </c>
    </row>
    <row r="121" spans="1:13">
      <c r="A121" s="342">
        <v>116</v>
      </c>
      <c r="B121" s="343"/>
      <c r="C121" s="344"/>
      <c r="D121" s="355">
        <v>3</v>
      </c>
      <c r="E121" s="355"/>
      <c r="F121" s="356"/>
      <c r="G121" s="394" t="s">
        <v>251</v>
      </c>
      <c r="H121" s="412">
        <v>0</v>
      </c>
      <c r="I121" s="359">
        <f t="shared" si="16"/>
        <v>48698</v>
      </c>
      <c r="J121" s="413">
        <v>48698</v>
      </c>
      <c r="K121" s="406">
        <v>0</v>
      </c>
      <c r="L121" s="407">
        <v>0</v>
      </c>
      <c r="M121" s="967">
        <f t="shared" si="15"/>
        <v>48698</v>
      </c>
    </row>
    <row r="122" spans="1:13">
      <c r="A122" s="342">
        <v>117</v>
      </c>
      <c r="B122" s="343"/>
      <c r="C122" s="344"/>
      <c r="D122" s="355">
        <v>4</v>
      </c>
      <c r="E122" s="355"/>
      <c r="F122" s="356"/>
      <c r="G122" s="357" t="s">
        <v>252</v>
      </c>
      <c r="H122" s="358">
        <f>kiadások4!H83-H107</f>
        <v>9246459</v>
      </c>
      <c r="I122" s="359">
        <f t="shared" si="16"/>
        <v>9847535</v>
      </c>
      <c r="J122" s="358">
        <f>9246459+601076</f>
        <v>9847535</v>
      </c>
      <c r="K122" s="358">
        <v>0</v>
      </c>
      <c r="L122" s="359">
        <v>0</v>
      </c>
      <c r="M122" s="967">
        <f t="shared" si="15"/>
        <v>601076</v>
      </c>
    </row>
    <row r="123" spans="1:13">
      <c r="A123" s="342">
        <v>118</v>
      </c>
      <c r="B123" s="349"/>
      <c r="C123" s="355"/>
      <c r="D123" s="355"/>
      <c r="E123" s="344" t="s">
        <v>67</v>
      </c>
      <c r="F123" s="356"/>
      <c r="G123" s="357"/>
      <c r="H123" s="347">
        <f>SUM(H107+H118)</f>
        <v>9985459</v>
      </c>
      <c r="I123" s="347">
        <f t="shared" ref="I123:J123" si="26">SUM(I107+I118)</f>
        <v>10635233</v>
      </c>
      <c r="J123" s="347">
        <f t="shared" si="26"/>
        <v>10635233</v>
      </c>
      <c r="K123" s="387">
        <f t="shared" ref="K123:L123" si="27">SUM(K107+K118)</f>
        <v>0</v>
      </c>
      <c r="L123" s="388">
        <f t="shared" si="27"/>
        <v>0</v>
      </c>
      <c r="M123" s="967">
        <f t="shared" si="15"/>
        <v>649774</v>
      </c>
    </row>
    <row r="124" spans="1:13">
      <c r="A124" s="342">
        <v>119</v>
      </c>
      <c r="B124" s="392" t="s">
        <v>268</v>
      </c>
      <c r="C124" s="393"/>
      <c r="D124" s="393"/>
      <c r="E124" s="393"/>
      <c r="F124" s="404"/>
      <c r="G124" s="405"/>
      <c r="H124" s="406"/>
      <c r="I124" s="359">
        <f t="shared" si="16"/>
        <v>0</v>
      </c>
      <c r="J124" s="407"/>
      <c r="K124" s="406"/>
      <c r="L124" s="407"/>
      <c r="M124" s="967">
        <f t="shared" si="15"/>
        <v>0</v>
      </c>
    </row>
    <row r="125" spans="1:13">
      <c r="A125" s="342">
        <v>120</v>
      </c>
      <c r="B125" s="343">
        <v>1</v>
      </c>
      <c r="C125" s="344"/>
      <c r="D125" s="344"/>
      <c r="E125" s="344" t="s">
        <v>222</v>
      </c>
      <c r="F125" s="345"/>
      <c r="G125" s="346"/>
      <c r="H125" s="387">
        <f>SUM(H126:H130)</f>
        <v>842552661.60000002</v>
      </c>
      <c r="I125" s="359">
        <f t="shared" si="16"/>
        <v>1187291293.5999999</v>
      </c>
      <c r="J125" s="388">
        <f>SUM(J126:J130)</f>
        <v>1187291293.5999999</v>
      </c>
      <c r="K125" s="387">
        <f>SUM(K126:K130)</f>
        <v>0</v>
      </c>
      <c r="L125" s="388">
        <v>0</v>
      </c>
      <c r="M125" s="967">
        <f t="shared" si="15"/>
        <v>344738631.99999988</v>
      </c>
    </row>
    <row r="126" spans="1:13">
      <c r="A126" s="342">
        <v>121</v>
      </c>
      <c r="B126" s="349"/>
      <c r="C126" s="350">
        <v>1</v>
      </c>
      <c r="D126" s="350"/>
      <c r="E126" s="350"/>
      <c r="F126" s="351" t="s">
        <v>223</v>
      </c>
      <c r="G126" s="352"/>
      <c r="H126" s="353">
        <f>H9</f>
        <v>598145661</v>
      </c>
      <c r="I126" s="359">
        <f>J126+K126</f>
        <v>695134579</v>
      </c>
      <c r="J126" s="354">
        <f>J9</f>
        <v>695134579</v>
      </c>
      <c r="K126" s="353">
        <f>K9</f>
        <v>0</v>
      </c>
      <c r="L126" s="354">
        <f>L9</f>
        <v>0</v>
      </c>
      <c r="M126" s="967">
        <f t="shared" si="15"/>
        <v>96988918</v>
      </c>
    </row>
    <row r="127" spans="1:13" s="23" customFormat="1">
      <c r="A127" s="342">
        <v>122</v>
      </c>
      <c r="B127" s="343"/>
      <c r="C127" s="350">
        <v>2</v>
      </c>
      <c r="D127" s="350"/>
      <c r="E127" s="350"/>
      <c r="F127" s="351" t="s">
        <v>230</v>
      </c>
      <c r="G127" s="352"/>
      <c r="H127" s="353">
        <f t="shared" ref="H127:L127" si="28">H16</f>
        <v>74612739</v>
      </c>
      <c r="I127" s="359">
        <f t="shared" si="16"/>
        <v>74612739</v>
      </c>
      <c r="J127" s="354">
        <f t="shared" si="28"/>
        <v>74612739</v>
      </c>
      <c r="K127" s="353">
        <f t="shared" si="28"/>
        <v>0</v>
      </c>
      <c r="L127" s="354">
        <f t="shared" si="28"/>
        <v>0</v>
      </c>
      <c r="M127" s="967">
        <f t="shared" si="15"/>
        <v>0</v>
      </c>
    </row>
    <row r="128" spans="1:13" s="23" customFormat="1">
      <c r="A128" s="342">
        <v>123</v>
      </c>
      <c r="B128" s="361"/>
      <c r="C128" s="350">
        <v>3</v>
      </c>
      <c r="D128" s="350"/>
      <c r="E128" s="350"/>
      <c r="F128" s="351" t="s">
        <v>100</v>
      </c>
      <c r="G128" s="352"/>
      <c r="H128" s="353">
        <f>H21+H67+H89+H107</f>
        <v>35439236.600000001</v>
      </c>
      <c r="I128" s="359">
        <f t="shared" si="16"/>
        <v>49652660.600000001</v>
      </c>
      <c r="J128" s="354">
        <f>J21+J67+J89+J107</f>
        <v>49652660.600000001</v>
      </c>
      <c r="K128" s="353">
        <v>0</v>
      </c>
      <c r="L128" s="354">
        <v>0</v>
      </c>
      <c r="M128" s="967">
        <f t="shared" si="15"/>
        <v>14213424</v>
      </c>
    </row>
    <row r="129" spans="1:13" s="22" customFormat="1">
      <c r="A129" s="342">
        <v>124</v>
      </c>
      <c r="B129" s="414"/>
      <c r="C129" s="415">
        <v>4</v>
      </c>
      <c r="D129" s="415"/>
      <c r="E129" s="415"/>
      <c r="F129" s="416" t="s">
        <v>245</v>
      </c>
      <c r="G129" s="417"/>
      <c r="H129" s="418">
        <f>H33+H78</f>
        <v>5817850</v>
      </c>
      <c r="I129" s="418">
        <f t="shared" ref="I129:J129" si="29">I33+I78</f>
        <v>7625612</v>
      </c>
      <c r="J129" s="418">
        <f t="shared" si="29"/>
        <v>7625612</v>
      </c>
      <c r="K129" s="418">
        <f t="shared" ref="K129:L129" si="30">K33</f>
        <v>0</v>
      </c>
      <c r="L129" s="419">
        <f t="shared" si="30"/>
        <v>0</v>
      </c>
      <c r="M129" s="967">
        <f t="shared" si="15"/>
        <v>1807762</v>
      </c>
    </row>
    <row r="130" spans="1:13">
      <c r="A130" s="342">
        <v>125</v>
      </c>
      <c r="B130" s="392"/>
      <c r="C130" s="351">
        <v>5</v>
      </c>
      <c r="D130" s="351"/>
      <c r="E130" s="351"/>
      <c r="F130" s="351" t="s">
        <v>248</v>
      </c>
      <c r="G130" s="352"/>
      <c r="H130" s="353">
        <f>H37+H82+H100+H118</f>
        <v>128537175</v>
      </c>
      <c r="I130" s="359">
        <f t="shared" si="16"/>
        <v>360265703</v>
      </c>
      <c r="J130" s="354">
        <f>J37+J82+J100+J118</f>
        <v>360265703</v>
      </c>
      <c r="K130" s="353">
        <f>K37+K82+K100+K118</f>
        <v>0</v>
      </c>
      <c r="L130" s="354">
        <v>0</v>
      </c>
      <c r="M130" s="967">
        <f t="shared" si="15"/>
        <v>231728528</v>
      </c>
    </row>
    <row r="131" spans="1:13">
      <c r="A131" s="342">
        <v>126</v>
      </c>
      <c r="B131" s="343">
        <v>2</v>
      </c>
      <c r="C131" s="344"/>
      <c r="D131" s="344"/>
      <c r="E131" s="344" t="s">
        <v>253</v>
      </c>
      <c r="F131" s="345"/>
      <c r="G131" s="346"/>
      <c r="H131" s="387">
        <f t="shared" ref="H131:L131" si="31">SUM(H132:H135)</f>
        <v>158630952</v>
      </c>
      <c r="I131" s="387">
        <f t="shared" si="31"/>
        <v>158630952</v>
      </c>
      <c r="J131" s="387">
        <f t="shared" si="31"/>
        <v>158630952</v>
      </c>
      <c r="K131" s="387">
        <f t="shared" si="31"/>
        <v>0</v>
      </c>
      <c r="L131" s="388">
        <f t="shared" si="31"/>
        <v>0</v>
      </c>
      <c r="M131" s="967">
        <f t="shared" si="15"/>
        <v>0</v>
      </c>
    </row>
    <row r="132" spans="1:13">
      <c r="A132" s="342">
        <v>127</v>
      </c>
      <c r="B132" s="392"/>
      <c r="C132" s="350">
        <v>1</v>
      </c>
      <c r="D132" s="350"/>
      <c r="E132" s="350"/>
      <c r="F132" s="351" t="s">
        <v>254</v>
      </c>
      <c r="G132" s="352"/>
      <c r="H132" s="353">
        <f t="shared" ref="H132:L132" si="32">H43</f>
        <v>0</v>
      </c>
      <c r="I132" s="359">
        <f t="shared" si="16"/>
        <v>0</v>
      </c>
      <c r="J132" s="354">
        <f t="shared" si="32"/>
        <v>0</v>
      </c>
      <c r="K132" s="353">
        <f t="shared" si="32"/>
        <v>0</v>
      </c>
      <c r="L132" s="354">
        <f t="shared" si="32"/>
        <v>0</v>
      </c>
      <c r="M132" s="967">
        <f t="shared" si="15"/>
        <v>0</v>
      </c>
    </row>
    <row r="133" spans="1:13">
      <c r="A133" s="342">
        <v>128</v>
      </c>
      <c r="B133" s="392"/>
      <c r="C133" s="350">
        <v>2</v>
      </c>
      <c r="D133" s="350"/>
      <c r="E133" s="350"/>
      <c r="F133" s="351" t="s">
        <v>257</v>
      </c>
      <c r="G133" s="352"/>
      <c r="H133" s="353">
        <f t="shared" ref="H133:L133" si="33">H46</f>
        <v>0</v>
      </c>
      <c r="I133" s="359">
        <f t="shared" si="16"/>
        <v>0</v>
      </c>
      <c r="J133" s="354">
        <f t="shared" si="33"/>
        <v>0</v>
      </c>
      <c r="K133" s="353">
        <f t="shared" si="33"/>
        <v>0</v>
      </c>
      <c r="L133" s="354">
        <f t="shared" si="33"/>
        <v>0</v>
      </c>
      <c r="M133" s="967">
        <f t="shared" si="15"/>
        <v>0</v>
      </c>
    </row>
    <row r="134" spans="1:13">
      <c r="A134" s="342">
        <v>129</v>
      </c>
      <c r="B134" s="392"/>
      <c r="C134" s="350">
        <v>3</v>
      </c>
      <c r="D134" s="350"/>
      <c r="E134" s="350"/>
      <c r="F134" s="351" t="s">
        <v>263</v>
      </c>
      <c r="G134" s="352"/>
      <c r="H134" s="353">
        <f t="shared" ref="H134:L134" si="34">H52</f>
        <v>0</v>
      </c>
      <c r="I134" s="359">
        <f t="shared" si="16"/>
        <v>0</v>
      </c>
      <c r="J134" s="354">
        <f t="shared" si="34"/>
        <v>0</v>
      </c>
      <c r="K134" s="353">
        <f t="shared" si="34"/>
        <v>0</v>
      </c>
      <c r="L134" s="354">
        <f t="shared" si="34"/>
        <v>0</v>
      </c>
      <c r="M134" s="967">
        <f t="shared" si="15"/>
        <v>0</v>
      </c>
    </row>
    <row r="135" spans="1:13">
      <c r="A135" s="342">
        <v>130</v>
      </c>
      <c r="B135" s="420"/>
      <c r="C135" s="350">
        <v>4</v>
      </c>
      <c r="D135" s="350"/>
      <c r="E135" s="350"/>
      <c r="F135" s="351" t="s">
        <v>248</v>
      </c>
      <c r="G135" s="352"/>
      <c r="H135" s="353">
        <f t="shared" ref="H135:L135" si="35">H56</f>
        <v>158630952</v>
      </c>
      <c r="I135" s="359">
        <f t="shared" si="16"/>
        <v>158630952</v>
      </c>
      <c r="J135" s="354">
        <f t="shared" si="35"/>
        <v>158630952</v>
      </c>
      <c r="K135" s="353">
        <f t="shared" si="35"/>
        <v>0</v>
      </c>
      <c r="L135" s="354">
        <f t="shared" si="35"/>
        <v>0</v>
      </c>
      <c r="M135" s="967">
        <f t="shared" si="15"/>
        <v>0</v>
      </c>
    </row>
    <row r="136" spans="1:13">
      <c r="A136" s="342">
        <v>131</v>
      </c>
      <c r="B136" s="421"/>
      <c r="C136" s="356"/>
      <c r="D136" s="355"/>
      <c r="E136" s="344" t="s">
        <v>269</v>
      </c>
      <c r="F136" s="422"/>
      <c r="G136" s="378"/>
      <c r="H136" s="387">
        <f>SUM(H125+H131)</f>
        <v>1001183613.6</v>
      </c>
      <c r="I136" s="387">
        <f t="shared" ref="I136:J136" si="36">SUM(I125+I131)</f>
        <v>1345922245.5999999</v>
      </c>
      <c r="J136" s="387">
        <f t="shared" si="36"/>
        <v>1345922245.5999999</v>
      </c>
      <c r="K136" s="387">
        <f>SUM(K125+K131)</f>
        <v>0</v>
      </c>
      <c r="L136" s="388">
        <f>SUM(L125+L131)</f>
        <v>0</v>
      </c>
      <c r="M136" s="967">
        <f t="shared" si="15"/>
        <v>344738631.99999988</v>
      </c>
    </row>
    <row r="137" spans="1:13">
      <c r="A137" s="342">
        <v>132</v>
      </c>
      <c r="B137" s="392" t="s">
        <v>270</v>
      </c>
      <c r="C137" s="356"/>
      <c r="D137" s="356"/>
      <c r="E137" s="356"/>
      <c r="F137" s="356"/>
      <c r="G137" s="378"/>
      <c r="H137" s="358"/>
      <c r="I137" s="359">
        <f t="shared" si="16"/>
        <v>0</v>
      </c>
      <c r="J137" s="359"/>
      <c r="K137" s="358"/>
      <c r="L137" s="359"/>
      <c r="M137" s="967">
        <f t="shared" ref="M137:M143" si="37">I137-H137</f>
        <v>0</v>
      </c>
    </row>
    <row r="138" spans="1:13">
      <c r="A138" s="342">
        <v>133</v>
      </c>
      <c r="B138" s="349"/>
      <c r="C138" s="356"/>
      <c r="D138" s="356"/>
      <c r="E138" s="356"/>
      <c r="F138" s="410" t="s">
        <v>106</v>
      </c>
      <c r="G138" s="378"/>
      <c r="H138" s="423">
        <f t="shared" ref="H138:L138" si="38">H61</f>
        <v>879086527.60000002</v>
      </c>
      <c r="I138" s="423">
        <f t="shared" si="38"/>
        <v>1061127442.6</v>
      </c>
      <c r="J138" s="423">
        <f t="shared" si="38"/>
        <v>1219758394.5999999</v>
      </c>
      <c r="K138" s="423">
        <f t="shared" si="38"/>
        <v>0</v>
      </c>
      <c r="L138" s="424">
        <f t="shared" si="38"/>
        <v>0</v>
      </c>
      <c r="M138" s="967">
        <f t="shared" si="37"/>
        <v>182040915</v>
      </c>
    </row>
    <row r="139" spans="1:13">
      <c r="A139" s="342">
        <v>134</v>
      </c>
      <c r="B139" s="349"/>
      <c r="C139" s="356"/>
      <c r="D139" s="356"/>
      <c r="E139" s="356"/>
      <c r="F139" s="410" t="s">
        <v>267</v>
      </c>
      <c r="G139" s="357"/>
      <c r="H139" s="423">
        <f t="shared" ref="H139:L139" si="39">H87</f>
        <v>94532450</v>
      </c>
      <c r="I139" s="423">
        <f t="shared" si="39"/>
        <v>97434686</v>
      </c>
      <c r="J139" s="423">
        <f t="shared" si="39"/>
        <v>97434686</v>
      </c>
      <c r="K139" s="423">
        <f t="shared" si="39"/>
        <v>0</v>
      </c>
      <c r="L139" s="424">
        <f t="shared" si="39"/>
        <v>0</v>
      </c>
      <c r="M139" s="967">
        <f t="shared" si="37"/>
        <v>2902236</v>
      </c>
    </row>
    <row r="140" spans="1:13">
      <c r="A140" s="342">
        <v>135</v>
      </c>
      <c r="B140" s="349"/>
      <c r="C140" s="356"/>
      <c r="D140" s="356"/>
      <c r="E140" s="356"/>
      <c r="F140" s="409" t="s">
        <v>1</v>
      </c>
      <c r="G140" s="357"/>
      <c r="H140" s="423">
        <f t="shared" ref="H140:L140" si="40">H105</f>
        <v>17579177</v>
      </c>
      <c r="I140" s="423">
        <f t="shared" si="40"/>
        <v>18093932</v>
      </c>
      <c r="J140" s="423">
        <f t="shared" si="40"/>
        <v>18093932</v>
      </c>
      <c r="K140" s="423">
        <v>0</v>
      </c>
      <c r="L140" s="424">
        <f t="shared" si="40"/>
        <v>0</v>
      </c>
      <c r="M140" s="967">
        <f t="shared" si="37"/>
        <v>514755</v>
      </c>
    </row>
    <row r="141" spans="1:13">
      <c r="A141" s="342">
        <v>136</v>
      </c>
      <c r="B141" s="349"/>
      <c r="C141" s="356"/>
      <c r="D141" s="356"/>
      <c r="E141" s="356"/>
      <c r="F141" s="409" t="s">
        <v>92</v>
      </c>
      <c r="G141" s="357"/>
      <c r="H141" s="423">
        <f t="shared" ref="H141:L141" si="41">H123</f>
        <v>9985459</v>
      </c>
      <c r="I141" s="423">
        <f t="shared" si="41"/>
        <v>10635233</v>
      </c>
      <c r="J141" s="423">
        <f t="shared" si="41"/>
        <v>10635233</v>
      </c>
      <c r="K141" s="423">
        <f t="shared" si="41"/>
        <v>0</v>
      </c>
      <c r="L141" s="424">
        <f t="shared" si="41"/>
        <v>0</v>
      </c>
      <c r="M141" s="967">
        <f t="shared" si="37"/>
        <v>649774</v>
      </c>
    </row>
    <row r="142" spans="1:13">
      <c r="A142" s="342">
        <v>137</v>
      </c>
      <c r="B142" s="349"/>
      <c r="C142" s="356"/>
      <c r="D142" s="356"/>
      <c r="E142" s="356"/>
      <c r="F142" s="345" t="s">
        <v>269</v>
      </c>
      <c r="G142" s="357"/>
      <c r="H142" s="387">
        <f>SUM(H138:H141)</f>
        <v>1001183613.6</v>
      </c>
      <c r="I142" s="387">
        <f t="shared" ref="I142:J142" si="42">SUM(I138:I141)</f>
        <v>1187291293.5999999</v>
      </c>
      <c r="J142" s="387">
        <f t="shared" si="42"/>
        <v>1345922245.5999999</v>
      </c>
      <c r="K142" s="387">
        <f t="shared" ref="K142" si="43">SUM(K138:K141)</f>
        <v>0</v>
      </c>
      <c r="L142" s="388">
        <f>SUM(L138:L141)</f>
        <v>0</v>
      </c>
      <c r="M142" s="967">
        <f t="shared" si="37"/>
        <v>186107679.99999988</v>
      </c>
    </row>
    <row r="143" spans="1:13">
      <c r="A143" s="342">
        <v>138</v>
      </c>
      <c r="B143" s="349"/>
      <c r="C143" s="356"/>
      <c r="D143" s="356"/>
      <c r="E143" s="356"/>
      <c r="F143" s="410" t="s">
        <v>271</v>
      </c>
      <c r="G143" s="357"/>
      <c r="H143" s="423">
        <f>H86+H104+H122</f>
        <v>113805236</v>
      </c>
      <c r="I143" s="423">
        <f t="shared" ref="I143:J143" si="44">I86+I104+I122</f>
        <v>115863302</v>
      </c>
      <c r="J143" s="423">
        <f t="shared" si="44"/>
        <v>115863302</v>
      </c>
      <c r="K143" s="423">
        <f t="shared" ref="K143:L143" si="45">K86+K104+K122</f>
        <v>0</v>
      </c>
      <c r="L143" s="424">
        <f t="shared" si="45"/>
        <v>0</v>
      </c>
      <c r="M143" s="967">
        <f t="shared" si="37"/>
        <v>2058066</v>
      </c>
    </row>
    <row r="144" spans="1:13" ht="17.25" thickBot="1">
      <c r="A144" s="342">
        <v>139</v>
      </c>
      <c r="B144" s="425"/>
      <c r="C144" s="426"/>
      <c r="D144" s="426"/>
      <c r="E144" s="426"/>
      <c r="F144" s="427" t="s">
        <v>272</v>
      </c>
      <c r="G144" s="428"/>
      <c r="H144" s="429">
        <f>H142-H143</f>
        <v>887378377.60000002</v>
      </c>
      <c r="I144" s="429">
        <f t="shared" ref="I144:L144" si="46">I142-I143</f>
        <v>1071427991.5999999</v>
      </c>
      <c r="J144" s="429">
        <f t="shared" si="46"/>
        <v>1230058943.5999999</v>
      </c>
      <c r="K144" s="429">
        <f t="shared" si="46"/>
        <v>0</v>
      </c>
      <c r="L144" s="430">
        <f t="shared" si="46"/>
        <v>0</v>
      </c>
      <c r="M144" s="967">
        <f>I144-H144</f>
        <v>184049613.99999988</v>
      </c>
    </row>
    <row r="145" spans="1:12">
      <c r="A145" s="30"/>
      <c r="B145" s="31"/>
      <c r="C145" s="31"/>
      <c r="D145" s="31"/>
      <c r="E145" s="31"/>
      <c r="F145" s="31"/>
      <c r="G145" s="31"/>
      <c r="H145" s="32"/>
      <c r="I145" s="32"/>
      <c r="J145" s="32"/>
      <c r="K145" s="32"/>
      <c r="L145" s="32"/>
    </row>
    <row r="146" spans="1:12">
      <c r="A146" s="30"/>
      <c r="B146" s="31"/>
      <c r="C146" s="31"/>
      <c r="D146" s="31"/>
      <c r="E146" s="31"/>
      <c r="F146" s="31"/>
      <c r="G146" s="31"/>
      <c r="H146" s="32"/>
      <c r="I146" s="32"/>
      <c r="J146" s="32"/>
      <c r="K146" s="32"/>
      <c r="L146" s="32"/>
    </row>
    <row r="147" spans="1:12">
      <c r="A147" s="30"/>
      <c r="B147" s="31"/>
      <c r="C147" s="31"/>
      <c r="D147" s="31"/>
      <c r="E147" s="31"/>
      <c r="F147" s="31"/>
      <c r="G147" s="31"/>
      <c r="H147" s="32"/>
      <c r="I147" s="32"/>
      <c r="J147" s="32"/>
      <c r="K147" s="32"/>
      <c r="L147" s="32"/>
    </row>
    <row r="148" spans="1:12">
      <c r="G148" s="25"/>
      <c r="H148" s="27"/>
      <c r="I148" s="27"/>
      <c r="J148" s="27"/>
      <c r="K148" s="27"/>
      <c r="L148" s="27"/>
    </row>
    <row r="149" spans="1:12">
      <c r="G149" s="25"/>
      <c r="H149" s="27"/>
      <c r="I149" s="27"/>
      <c r="J149" s="27"/>
      <c r="K149" s="27"/>
      <c r="L149" s="27"/>
    </row>
    <row r="150" spans="1:12">
      <c r="G150" s="25"/>
      <c r="H150" s="27"/>
      <c r="I150" s="27"/>
      <c r="J150" s="27"/>
      <c r="K150" s="27"/>
      <c r="L150" s="27"/>
    </row>
    <row r="151" spans="1:12">
      <c r="G151" s="34"/>
      <c r="H151" s="35"/>
      <c r="I151" s="35"/>
      <c r="J151" s="35"/>
      <c r="K151" s="35"/>
      <c r="L151" s="35"/>
    </row>
    <row r="152" spans="1:12">
      <c r="G152" s="25"/>
      <c r="H152" s="27"/>
      <c r="I152" s="27"/>
      <c r="J152" s="27"/>
      <c r="K152" s="27"/>
      <c r="L152" s="27"/>
    </row>
    <row r="153" spans="1:12">
      <c r="G153" s="25"/>
      <c r="H153" s="27"/>
      <c r="I153" s="27"/>
      <c r="J153" s="27"/>
      <c r="K153" s="27"/>
      <c r="L153" s="27"/>
    </row>
    <row r="154" spans="1:12">
      <c r="G154" s="25"/>
      <c r="H154" s="27"/>
      <c r="I154" s="27"/>
      <c r="J154" s="27"/>
      <c r="K154" s="27"/>
      <c r="L154" s="27"/>
    </row>
    <row r="155" spans="1:12">
      <c r="G155" s="25"/>
      <c r="H155" s="27"/>
      <c r="I155" s="27"/>
      <c r="J155" s="27"/>
      <c r="K155" s="27"/>
      <c r="L155" s="27"/>
    </row>
    <row r="156" spans="1:12">
      <c r="G156" s="25"/>
      <c r="H156" s="27"/>
      <c r="I156" s="27"/>
      <c r="J156" s="27"/>
      <c r="K156" s="27"/>
      <c r="L156" s="27"/>
    </row>
    <row r="157" spans="1:12">
      <c r="G157" s="25"/>
      <c r="H157" s="27"/>
      <c r="I157" s="27"/>
      <c r="J157" s="27"/>
      <c r="K157" s="27"/>
      <c r="L157" s="27"/>
    </row>
    <row r="158" spans="1:12">
      <c r="G158" s="25"/>
      <c r="H158" s="27"/>
      <c r="I158" s="27"/>
      <c r="J158" s="27"/>
      <c r="K158" s="27"/>
      <c r="L158" s="27"/>
    </row>
    <row r="159" spans="1:12">
      <c r="G159" s="34"/>
      <c r="H159" s="35"/>
      <c r="I159" s="35"/>
      <c r="J159" s="35"/>
      <c r="K159" s="35"/>
      <c r="L159" s="35"/>
    </row>
    <row r="160" spans="1:12">
      <c r="G160" s="25"/>
      <c r="H160" s="27"/>
      <c r="I160" s="27"/>
      <c r="J160" s="27"/>
      <c r="K160" s="27"/>
      <c r="L160" s="27"/>
    </row>
    <row r="161" spans="7:12">
      <c r="G161" s="25"/>
      <c r="H161" s="27"/>
      <c r="I161" s="27"/>
      <c r="J161" s="27"/>
      <c r="K161" s="27"/>
      <c r="L161" s="27"/>
    </row>
    <row r="162" spans="7:12">
      <c r="G162" s="25"/>
      <c r="H162" s="27"/>
      <c r="I162" s="27"/>
      <c r="J162" s="27"/>
      <c r="K162" s="27"/>
      <c r="L162" s="27"/>
    </row>
    <row r="163" spans="7:12">
      <c r="G163" s="25"/>
      <c r="H163" s="27"/>
      <c r="I163" s="27"/>
      <c r="J163" s="27"/>
      <c r="K163" s="27"/>
      <c r="L163" s="27"/>
    </row>
    <row r="164" spans="7:12">
      <c r="G164" s="25"/>
      <c r="H164" s="27"/>
      <c r="I164" s="27"/>
      <c r="J164" s="27"/>
      <c r="K164" s="27"/>
      <c r="L164" s="27"/>
    </row>
    <row r="165" spans="7:12">
      <c r="G165" s="25"/>
      <c r="H165" s="27"/>
      <c r="I165" s="27"/>
      <c r="J165" s="27"/>
      <c r="K165" s="27"/>
      <c r="L165" s="27"/>
    </row>
    <row r="166" spans="7:12">
      <c r="G166" s="25"/>
      <c r="H166" s="27"/>
      <c r="I166" s="27"/>
      <c r="J166" s="27"/>
      <c r="K166" s="27"/>
      <c r="L166" s="27"/>
    </row>
    <row r="167" spans="7:12">
      <c r="G167" s="25"/>
      <c r="H167" s="27"/>
      <c r="I167" s="27"/>
      <c r="J167" s="27"/>
      <c r="K167" s="27"/>
      <c r="L167" s="27"/>
    </row>
    <row r="168" spans="7:12">
      <c r="G168" s="34"/>
      <c r="H168" s="35"/>
      <c r="I168" s="35"/>
      <c r="J168" s="35"/>
      <c r="K168" s="35"/>
      <c r="L168" s="35"/>
    </row>
    <row r="169" spans="7:12">
      <c r="G169" s="25"/>
      <c r="H169" s="27"/>
      <c r="I169" s="27"/>
      <c r="J169" s="27"/>
      <c r="K169" s="27"/>
      <c r="L169" s="27"/>
    </row>
    <row r="170" spans="7:12">
      <c r="G170" s="25"/>
      <c r="H170" s="27"/>
      <c r="I170" s="27"/>
      <c r="J170" s="27"/>
      <c r="K170" s="27"/>
      <c r="L170" s="27"/>
    </row>
    <row r="171" spans="7:12">
      <c r="G171" s="25"/>
      <c r="H171" s="27"/>
      <c r="I171" s="27"/>
      <c r="J171" s="27"/>
      <c r="K171" s="27"/>
      <c r="L171" s="27"/>
    </row>
    <row r="172" spans="7:12">
      <c r="G172" s="25"/>
      <c r="H172" s="27"/>
      <c r="I172" s="27"/>
      <c r="J172" s="27"/>
      <c r="K172" s="27"/>
      <c r="L172" s="27"/>
    </row>
    <row r="173" spans="7:12">
      <c r="G173" s="25"/>
      <c r="H173" s="27"/>
      <c r="I173" s="27"/>
      <c r="J173" s="27"/>
      <c r="K173" s="27"/>
      <c r="L173" s="27"/>
    </row>
    <row r="174" spans="7:12">
      <c r="G174" s="25"/>
      <c r="H174" s="27"/>
      <c r="I174" s="27"/>
      <c r="J174" s="27"/>
      <c r="K174" s="27"/>
      <c r="L174" s="27"/>
    </row>
    <row r="175" spans="7:12">
      <c r="G175" s="25"/>
      <c r="H175" s="27"/>
      <c r="I175" s="27"/>
      <c r="J175" s="27"/>
      <c r="K175" s="27"/>
      <c r="L175" s="27"/>
    </row>
    <row r="176" spans="7:12">
      <c r="G176" s="25"/>
      <c r="H176" s="27"/>
      <c r="I176" s="27"/>
      <c r="J176" s="27"/>
      <c r="K176" s="27"/>
      <c r="L176" s="27"/>
    </row>
    <row r="177" spans="7:12">
      <c r="G177" s="25"/>
      <c r="H177" s="27"/>
      <c r="I177" s="27"/>
      <c r="J177" s="27"/>
      <c r="K177" s="27"/>
      <c r="L177" s="27"/>
    </row>
    <row r="178" spans="7:12">
      <c r="G178" s="25"/>
      <c r="H178" s="27"/>
      <c r="I178" s="27"/>
      <c r="J178" s="27"/>
      <c r="K178" s="27"/>
      <c r="L178" s="27"/>
    </row>
    <row r="179" spans="7:12">
      <c r="G179" s="25"/>
      <c r="H179" s="27"/>
      <c r="I179" s="27"/>
      <c r="J179" s="27"/>
      <c r="K179" s="27"/>
      <c r="L179" s="27"/>
    </row>
    <row r="180" spans="7:12">
      <c r="G180" s="25"/>
      <c r="H180" s="27"/>
      <c r="I180" s="27"/>
      <c r="J180" s="27"/>
      <c r="K180" s="27"/>
      <c r="L180" s="27"/>
    </row>
    <row r="181" spans="7:12">
      <c r="G181" s="25"/>
      <c r="H181" s="27"/>
      <c r="I181" s="27"/>
      <c r="J181" s="27"/>
      <c r="K181" s="27"/>
      <c r="L181" s="27"/>
    </row>
    <row r="182" spans="7:12">
      <c r="G182" s="25"/>
      <c r="H182" s="27"/>
      <c r="I182" s="27"/>
      <c r="J182" s="27"/>
      <c r="K182" s="27"/>
      <c r="L182" s="27"/>
    </row>
    <row r="183" spans="7:12">
      <c r="G183" s="25"/>
      <c r="H183" s="27"/>
      <c r="I183" s="27"/>
      <c r="J183" s="27"/>
      <c r="K183" s="27"/>
      <c r="L183" s="27"/>
    </row>
    <row r="184" spans="7:12">
      <c r="G184" s="25"/>
      <c r="H184" s="27"/>
      <c r="I184" s="27"/>
      <c r="J184" s="27"/>
      <c r="K184" s="27"/>
      <c r="L184" s="27"/>
    </row>
    <row r="185" spans="7:12">
      <c r="G185" s="25"/>
      <c r="H185" s="27"/>
      <c r="I185" s="27"/>
      <c r="J185" s="27"/>
      <c r="K185" s="27"/>
      <c r="L185" s="27"/>
    </row>
    <row r="186" spans="7:12">
      <c r="G186" s="25"/>
      <c r="H186" s="27"/>
      <c r="I186" s="27"/>
      <c r="J186" s="27"/>
      <c r="K186" s="27"/>
      <c r="L186" s="27"/>
    </row>
    <row r="187" spans="7:12">
      <c r="G187" s="25"/>
      <c r="H187" s="27"/>
      <c r="I187" s="27"/>
      <c r="J187" s="27"/>
      <c r="K187" s="27"/>
      <c r="L187" s="27"/>
    </row>
    <row r="188" spans="7:12">
      <c r="G188" s="25"/>
      <c r="H188" s="27"/>
      <c r="I188" s="27"/>
      <c r="J188" s="27"/>
      <c r="K188" s="27"/>
      <c r="L188" s="27"/>
    </row>
    <row r="189" spans="7:12">
      <c r="G189" s="25"/>
      <c r="H189" s="27"/>
      <c r="I189" s="27"/>
      <c r="J189" s="27"/>
      <c r="K189" s="27"/>
      <c r="L189" s="27"/>
    </row>
    <row r="190" spans="7:12">
      <c r="G190" s="25"/>
      <c r="H190" s="27"/>
      <c r="I190" s="27"/>
      <c r="J190" s="27"/>
      <c r="K190" s="27"/>
      <c r="L190" s="27"/>
    </row>
    <row r="191" spans="7:12">
      <c r="G191" s="34"/>
      <c r="H191" s="39"/>
      <c r="I191" s="39"/>
      <c r="J191" s="39"/>
      <c r="K191" s="39"/>
      <c r="L191" s="39"/>
    </row>
    <row r="192" spans="7:12">
      <c r="G192" s="25"/>
      <c r="H192" s="27"/>
      <c r="I192" s="27"/>
      <c r="J192" s="27"/>
      <c r="K192" s="27"/>
      <c r="L192" s="27"/>
    </row>
    <row r="193" spans="7:12">
      <c r="G193" s="34"/>
      <c r="H193" s="35"/>
      <c r="I193" s="35"/>
      <c r="J193" s="35"/>
      <c r="K193" s="35"/>
      <c r="L193" s="35"/>
    </row>
    <row r="194" spans="7:12">
      <c r="G194" s="25"/>
      <c r="H194" s="27"/>
      <c r="I194" s="27"/>
      <c r="J194" s="27"/>
      <c r="K194" s="27"/>
      <c r="L194" s="27"/>
    </row>
    <row r="195" spans="7:12">
      <c r="G195" s="25"/>
      <c r="H195" s="27"/>
      <c r="I195" s="27"/>
      <c r="J195" s="27"/>
      <c r="K195" s="27"/>
      <c r="L195" s="27"/>
    </row>
    <row r="196" spans="7:12">
      <c r="G196" s="25"/>
      <c r="H196" s="27"/>
      <c r="I196" s="27"/>
      <c r="J196" s="27"/>
      <c r="K196" s="27"/>
      <c r="L196" s="27"/>
    </row>
    <row r="197" spans="7:12">
      <c r="G197" s="25"/>
      <c r="H197" s="27"/>
      <c r="I197" s="27"/>
      <c r="J197" s="27"/>
      <c r="K197" s="27"/>
      <c r="L197" s="27"/>
    </row>
    <row r="198" spans="7:12">
      <c r="G198" s="25"/>
      <c r="H198" s="27"/>
      <c r="I198" s="27"/>
      <c r="J198" s="27"/>
      <c r="K198" s="27"/>
      <c r="L198" s="27"/>
    </row>
    <row r="199" spans="7:12">
      <c r="G199" s="25"/>
      <c r="H199" s="27"/>
      <c r="I199" s="27"/>
      <c r="J199" s="27"/>
      <c r="K199" s="27"/>
      <c r="L199" s="27"/>
    </row>
    <row r="200" spans="7:12">
      <c r="G200" s="34"/>
      <c r="H200" s="39"/>
      <c r="I200" s="39"/>
      <c r="J200" s="39"/>
      <c r="K200" s="39"/>
      <c r="L200" s="39"/>
    </row>
    <row r="201" spans="7:12">
      <c r="G201" s="25"/>
      <c r="H201" s="27"/>
      <c r="I201" s="27"/>
      <c r="J201" s="27"/>
      <c r="K201" s="27"/>
      <c r="L201" s="27"/>
    </row>
    <row r="202" spans="7:12">
      <c r="G202" s="25"/>
      <c r="H202" s="27"/>
      <c r="I202" s="27"/>
      <c r="J202" s="27"/>
      <c r="K202" s="27"/>
      <c r="L202" s="27"/>
    </row>
    <row r="203" spans="7:12">
      <c r="G203" s="25"/>
      <c r="H203" s="27"/>
      <c r="I203" s="27"/>
      <c r="J203" s="27"/>
      <c r="K203" s="27"/>
      <c r="L203" s="27"/>
    </row>
    <row r="204" spans="7:12">
      <c r="G204" s="25"/>
      <c r="H204" s="27"/>
      <c r="I204" s="27"/>
      <c r="J204" s="27"/>
      <c r="K204" s="27"/>
      <c r="L204" s="27"/>
    </row>
    <row r="205" spans="7:12">
      <c r="G205" s="38"/>
      <c r="H205" s="35"/>
      <c r="I205" s="35"/>
      <c r="J205" s="35"/>
      <c r="K205" s="35"/>
      <c r="L205" s="35"/>
    </row>
    <row r="206" spans="7:12">
      <c r="G206" s="25"/>
      <c r="H206" s="27"/>
      <c r="I206" s="27"/>
      <c r="J206" s="27"/>
      <c r="K206" s="27"/>
      <c r="L206" s="27"/>
    </row>
    <row r="207" spans="7:12">
      <c r="G207" s="34"/>
      <c r="H207" s="39"/>
      <c r="I207" s="39"/>
      <c r="J207" s="39"/>
      <c r="K207" s="39"/>
      <c r="L207" s="39"/>
    </row>
    <row r="208" spans="7:12">
      <c r="G208" s="25"/>
      <c r="H208" s="27"/>
      <c r="I208" s="27"/>
      <c r="J208" s="27"/>
      <c r="K208" s="27"/>
      <c r="L208" s="27"/>
    </row>
    <row r="209" spans="7:12">
      <c r="G209" s="25"/>
      <c r="H209" s="27"/>
      <c r="I209" s="27"/>
      <c r="J209" s="27"/>
      <c r="K209" s="27"/>
      <c r="L209" s="27"/>
    </row>
    <row r="210" spans="7:12">
      <c r="G210" s="37"/>
      <c r="H210" s="41"/>
      <c r="I210" s="41"/>
      <c r="J210" s="41"/>
      <c r="K210" s="41"/>
      <c r="L210" s="41"/>
    </row>
    <row r="211" spans="7:12">
      <c r="G211" s="42"/>
      <c r="H211" s="27"/>
      <c r="I211" s="27"/>
      <c r="J211" s="27"/>
      <c r="K211" s="27"/>
      <c r="L211" s="27"/>
    </row>
    <row r="212" spans="7:12">
      <c r="G212" s="25"/>
      <c r="H212" s="27"/>
      <c r="I212" s="27"/>
      <c r="J212" s="27"/>
      <c r="K212" s="27"/>
      <c r="L212" s="27"/>
    </row>
    <row r="213" spans="7:12">
      <c r="G213" s="37"/>
      <c r="H213" s="24"/>
      <c r="I213" s="24"/>
      <c r="J213" s="24"/>
      <c r="K213" s="24"/>
      <c r="L213" s="24"/>
    </row>
    <row r="214" spans="7:12">
      <c r="G214" s="34"/>
      <c r="H214" s="35"/>
      <c r="I214" s="35"/>
      <c r="J214" s="35"/>
      <c r="K214" s="35"/>
      <c r="L214" s="35"/>
    </row>
    <row r="215" spans="7:12">
      <c r="G215" s="34"/>
      <c r="H215" s="43"/>
      <c r="I215" s="43"/>
      <c r="J215" s="43"/>
      <c r="K215" s="43"/>
      <c r="L215" s="43"/>
    </row>
    <row r="216" spans="7:12">
      <c r="G216" s="34"/>
      <c r="H216" s="43"/>
      <c r="I216" s="43"/>
      <c r="J216" s="43"/>
      <c r="K216" s="43"/>
      <c r="L216" s="43"/>
    </row>
    <row r="217" spans="7:12">
      <c r="G217" s="28"/>
      <c r="H217" s="29"/>
      <c r="I217" s="29"/>
      <c r="J217" s="29"/>
      <c r="K217" s="29"/>
      <c r="L217" s="29"/>
    </row>
    <row r="218" spans="7:12">
      <c r="G218" s="25"/>
      <c r="H218" s="27"/>
      <c r="I218" s="27"/>
      <c r="J218" s="27"/>
      <c r="K218" s="27"/>
      <c r="L218" s="27"/>
    </row>
    <row r="219" spans="7:12">
      <c r="G219" s="25"/>
      <c r="H219" s="27"/>
      <c r="I219" s="27"/>
      <c r="J219" s="27"/>
      <c r="K219" s="27"/>
      <c r="L219" s="27"/>
    </row>
    <row r="220" spans="7:12">
      <c r="G220" s="28"/>
      <c r="H220" s="26"/>
      <c r="I220" s="26"/>
      <c r="J220" s="26"/>
      <c r="K220" s="26"/>
      <c r="L220" s="26"/>
    </row>
    <row r="221" spans="7:12">
      <c r="G221" s="25"/>
      <c r="H221" s="27"/>
      <c r="I221" s="27"/>
      <c r="J221" s="27"/>
      <c r="K221" s="27"/>
      <c r="L221" s="27"/>
    </row>
    <row r="222" spans="7:12">
      <c r="G222" s="25"/>
      <c r="H222" s="27"/>
      <c r="I222" s="27"/>
      <c r="J222" s="27"/>
      <c r="K222" s="27"/>
      <c r="L222" s="27"/>
    </row>
    <row r="223" spans="7:12">
      <c r="G223" s="25"/>
      <c r="H223" s="27"/>
      <c r="I223" s="27"/>
      <c r="J223" s="27"/>
      <c r="K223" s="27"/>
      <c r="L223" s="27"/>
    </row>
    <row r="224" spans="7:12">
      <c r="G224" s="25"/>
      <c r="H224" s="27"/>
      <c r="I224" s="27"/>
      <c r="J224" s="27"/>
      <c r="K224" s="27"/>
      <c r="L224" s="27"/>
    </row>
    <row r="225" spans="7:12">
      <c r="G225" s="25"/>
      <c r="H225" s="27"/>
      <c r="I225" s="27"/>
      <c r="J225" s="27"/>
      <c r="K225" s="27"/>
      <c r="L225" s="27"/>
    </row>
    <row r="226" spans="7:12">
      <c r="G226" s="25"/>
      <c r="H226" s="27"/>
      <c r="I226" s="27"/>
      <c r="J226" s="27"/>
      <c r="K226" s="27"/>
      <c r="L226" s="27"/>
    </row>
    <row r="227" spans="7:12">
      <c r="G227" s="25"/>
      <c r="H227" s="27"/>
      <c r="I227" s="27"/>
      <c r="J227" s="27"/>
      <c r="K227" s="27"/>
      <c r="L227" s="27"/>
    </row>
    <row r="228" spans="7:12">
      <c r="G228" s="25"/>
      <c r="H228" s="27"/>
      <c r="I228" s="27"/>
      <c r="J228" s="27"/>
      <c r="K228" s="27"/>
      <c r="L228" s="27"/>
    </row>
    <row r="229" spans="7:12">
      <c r="G229" s="25"/>
      <c r="H229" s="27"/>
      <c r="I229" s="27"/>
      <c r="J229" s="27"/>
      <c r="K229" s="27"/>
      <c r="L229" s="27"/>
    </row>
    <row r="230" spans="7:12">
      <c r="G230" s="25"/>
      <c r="H230" s="27"/>
      <c r="I230" s="27"/>
      <c r="J230" s="27"/>
      <c r="K230" s="27"/>
      <c r="L230" s="27"/>
    </row>
    <row r="231" spans="7:12">
      <c r="G231" s="25"/>
      <c r="H231" s="27"/>
      <c r="I231" s="27"/>
      <c r="J231" s="27"/>
      <c r="K231" s="27"/>
      <c r="L231" s="27"/>
    </row>
    <row r="232" spans="7:12">
      <c r="G232" s="25"/>
      <c r="H232" s="27"/>
      <c r="I232" s="27"/>
      <c r="J232" s="27"/>
      <c r="K232" s="27"/>
      <c r="L232" s="27"/>
    </row>
    <row r="233" spans="7:12">
      <c r="G233" s="25"/>
      <c r="H233" s="27"/>
      <c r="I233" s="27"/>
      <c r="J233" s="27"/>
      <c r="K233" s="27"/>
      <c r="L233" s="27"/>
    </row>
    <row r="234" spans="7:12">
      <c r="G234" s="25"/>
      <c r="H234" s="27"/>
      <c r="I234" s="27"/>
      <c r="J234" s="27"/>
      <c r="K234" s="27"/>
      <c r="L234" s="27"/>
    </row>
    <row r="235" spans="7:12">
      <c r="G235" s="25"/>
      <c r="H235" s="27"/>
      <c r="I235" s="27"/>
      <c r="J235" s="27"/>
      <c r="K235" s="27"/>
      <c r="L235" s="27"/>
    </row>
    <row r="236" spans="7:12">
      <c r="G236" s="25"/>
      <c r="H236" s="27"/>
      <c r="I236" s="27"/>
      <c r="J236" s="27"/>
      <c r="K236" s="27"/>
      <c r="L236" s="27"/>
    </row>
    <row r="237" spans="7:12">
      <c r="G237" s="25"/>
      <c r="H237" s="27"/>
      <c r="I237" s="27"/>
      <c r="J237" s="27"/>
      <c r="K237" s="27"/>
      <c r="L237" s="27"/>
    </row>
    <row r="238" spans="7:12">
      <c r="G238" s="25"/>
      <c r="H238" s="27"/>
      <c r="I238" s="27"/>
      <c r="J238" s="27"/>
      <c r="K238" s="27"/>
      <c r="L238" s="27"/>
    </row>
    <row r="239" spans="7:12">
      <c r="G239" s="25"/>
      <c r="H239" s="27"/>
      <c r="I239" s="27"/>
      <c r="J239" s="27"/>
      <c r="K239" s="27"/>
      <c r="L239" s="27"/>
    </row>
    <row r="240" spans="7:12">
      <c r="G240" s="25"/>
      <c r="H240" s="27"/>
      <c r="I240" s="27"/>
      <c r="J240" s="27"/>
      <c r="K240" s="27"/>
      <c r="L240" s="27"/>
    </row>
    <row r="241" spans="7:12">
      <c r="G241" s="25"/>
      <c r="H241" s="27"/>
      <c r="I241" s="27"/>
      <c r="J241" s="27"/>
      <c r="K241" s="27"/>
      <c r="L241" s="27"/>
    </row>
    <row r="242" spans="7:12">
      <c r="G242" s="33"/>
      <c r="H242" s="27"/>
      <c r="I242" s="27"/>
      <c r="J242" s="27"/>
      <c r="K242" s="27"/>
      <c r="L242" s="27"/>
    </row>
    <row r="243" spans="7:12">
      <c r="G243" s="33"/>
      <c r="H243" s="27"/>
      <c r="I243" s="27"/>
      <c r="J243" s="27"/>
      <c r="K243" s="27"/>
      <c r="L243" s="27"/>
    </row>
    <row r="244" spans="7:12">
      <c r="G244" s="33"/>
      <c r="H244" s="27"/>
      <c r="I244" s="27"/>
      <c r="J244" s="27"/>
      <c r="K244" s="27"/>
      <c r="L244" s="27"/>
    </row>
    <row r="245" spans="7:12">
      <c r="G245" s="33"/>
      <c r="H245" s="27"/>
      <c r="I245" s="27"/>
      <c r="J245" s="27"/>
      <c r="K245" s="27"/>
      <c r="L245" s="27"/>
    </row>
    <row r="246" spans="7:12">
      <c r="G246" s="33"/>
      <c r="H246" s="27"/>
      <c r="I246" s="27"/>
      <c r="J246" s="27"/>
      <c r="K246" s="27"/>
      <c r="L246" s="27"/>
    </row>
    <row r="247" spans="7:12">
      <c r="G247" s="33"/>
      <c r="H247" s="27"/>
      <c r="I247" s="27"/>
      <c r="J247" s="27"/>
      <c r="K247" s="27"/>
      <c r="L247" s="27"/>
    </row>
    <row r="248" spans="7:12">
      <c r="G248" s="33"/>
      <c r="H248" s="27"/>
      <c r="I248" s="27"/>
      <c r="J248" s="27"/>
      <c r="K248" s="27"/>
      <c r="L248" s="27"/>
    </row>
    <row r="249" spans="7:12">
      <c r="G249" s="37"/>
      <c r="H249" s="41"/>
      <c r="I249" s="41"/>
      <c r="J249" s="41"/>
      <c r="K249" s="41"/>
      <c r="L249" s="41"/>
    </row>
    <row r="250" spans="7:12">
      <c r="G250" s="25"/>
      <c r="H250" s="27"/>
      <c r="I250" s="27"/>
      <c r="J250" s="27"/>
      <c r="K250" s="27"/>
      <c r="L250" s="27"/>
    </row>
    <row r="251" spans="7:12">
      <c r="G251" s="37"/>
      <c r="H251" s="24"/>
      <c r="I251" s="24"/>
      <c r="J251" s="24"/>
      <c r="K251" s="24"/>
      <c r="L251" s="24"/>
    </row>
    <row r="252" spans="7:12">
      <c r="G252" s="34"/>
      <c r="H252" s="35"/>
      <c r="I252" s="35"/>
      <c r="J252" s="35"/>
      <c r="K252" s="35"/>
      <c r="L252" s="35"/>
    </row>
    <row r="253" spans="7:12">
      <c r="G253" s="28"/>
      <c r="H253" s="29"/>
      <c r="I253" s="29"/>
      <c r="J253" s="29"/>
      <c r="K253" s="29"/>
      <c r="L253" s="29"/>
    </row>
    <row r="254" spans="7:12">
      <c r="G254" s="25"/>
      <c r="H254" s="27"/>
      <c r="I254" s="27"/>
      <c r="J254" s="27"/>
      <c r="K254" s="27"/>
      <c r="L254" s="27"/>
    </row>
    <row r="255" spans="7:12">
      <c r="G255" s="25"/>
      <c r="H255" s="27"/>
      <c r="I255" s="27"/>
      <c r="J255" s="27"/>
      <c r="K255" s="27"/>
      <c r="L255" s="27"/>
    </row>
    <row r="256" spans="7:12">
      <c r="G256" s="25"/>
      <c r="H256" s="27"/>
      <c r="I256" s="27"/>
      <c r="J256" s="27"/>
      <c r="K256" s="27"/>
      <c r="L256" s="27"/>
    </row>
    <row r="257" spans="7:12">
      <c r="G257" s="25"/>
      <c r="H257" s="27"/>
      <c r="I257" s="27"/>
      <c r="J257" s="27"/>
      <c r="K257" s="27"/>
      <c r="L257" s="27"/>
    </row>
    <row r="258" spans="7:12">
      <c r="G258" s="28"/>
      <c r="H258" s="32"/>
      <c r="I258" s="32"/>
      <c r="J258" s="32"/>
      <c r="K258" s="32"/>
      <c r="L258" s="32"/>
    </row>
    <row r="259" spans="7:12">
      <c r="G259" s="25"/>
      <c r="H259" s="27"/>
      <c r="I259" s="27"/>
      <c r="J259" s="27"/>
      <c r="K259" s="27"/>
      <c r="L259" s="27"/>
    </row>
    <row r="260" spans="7:12">
      <c r="G260" s="25"/>
      <c r="H260" s="27"/>
      <c r="I260" s="27"/>
      <c r="J260" s="27"/>
      <c r="K260" s="27"/>
      <c r="L260" s="27"/>
    </row>
    <row r="261" spans="7:12">
      <c r="G261" s="25"/>
      <c r="H261" s="27"/>
      <c r="I261" s="27"/>
      <c r="J261" s="27"/>
      <c r="K261" s="27"/>
      <c r="L261" s="27"/>
    </row>
    <row r="262" spans="7:12">
      <c r="G262" s="25"/>
      <c r="H262" s="27"/>
      <c r="I262" s="27"/>
      <c r="J262" s="27"/>
      <c r="K262" s="27"/>
      <c r="L262" s="27"/>
    </row>
    <row r="263" spans="7:12">
      <c r="G263" s="25"/>
      <c r="H263" s="27"/>
      <c r="I263" s="27"/>
      <c r="J263" s="27"/>
      <c r="K263" s="27"/>
      <c r="L263" s="27"/>
    </row>
    <row r="264" spans="7:12">
      <c r="G264" s="31"/>
      <c r="H264" s="44"/>
      <c r="I264" s="44"/>
      <c r="J264" s="44"/>
      <c r="K264" s="44"/>
      <c r="L264" s="44"/>
    </row>
    <row r="265" spans="7:12">
      <c r="G265" s="25"/>
      <c r="H265" s="44"/>
      <c r="I265" s="44"/>
      <c r="J265" s="44"/>
      <c r="K265" s="44"/>
      <c r="L265" s="44"/>
    </row>
    <row r="266" spans="7:12">
      <c r="G266" s="40"/>
      <c r="H266" s="35"/>
      <c r="I266" s="35"/>
      <c r="J266" s="35"/>
      <c r="K266" s="35"/>
      <c r="L266" s="35"/>
    </row>
    <row r="267" spans="7:12">
      <c r="G267" s="45"/>
      <c r="H267" s="46"/>
      <c r="I267" s="46"/>
      <c r="J267" s="46"/>
      <c r="K267" s="46"/>
      <c r="L267" s="46"/>
    </row>
    <row r="268" spans="7:12">
      <c r="G268" s="45"/>
      <c r="H268" s="46"/>
      <c r="I268" s="46"/>
      <c r="J268" s="46"/>
      <c r="K268" s="46"/>
      <c r="L268" s="46"/>
    </row>
    <row r="269" spans="7:12">
      <c r="G269" s="47"/>
      <c r="H269" s="27"/>
      <c r="I269" s="27"/>
      <c r="J269" s="27"/>
      <c r="K269" s="27"/>
      <c r="L269" s="27"/>
    </row>
    <row r="270" spans="7:12">
      <c r="G270" s="37"/>
      <c r="H270" s="41"/>
      <c r="I270" s="41"/>
      <c r="J270" s="41"/>
      <c r="K270" s="41"/>
      <c r="L270" s="41"/>
    </row>
    <row r="271" spans="7:12">
      <c r="G271" s="25"/>
      <c r="H271" s="27"/>
      <c r="I271" s="27"/>
      <c r="J271" s="27"/>
      <c r="K271" s="27"/>
      <c r="L271" s="27"/>
    </row>
    <row r="272" spans="7:12">
      <c r="G272" s="28"/>
      <c r="H272" s="29"/>
      <c r="I272" s="29"/>
      <c r="J272" s="29"/>
      <c r="K272" s="29"/>
      <c r="L272" s="29"/>
    </row>
    <row r="273" spans="7:12">
      <c r="G273" s="28"/>
      <c r="H273" s="27"/>
      <c r="I273" s="27"/>
      <c r="J273" s="27"/>
      <c r="K273" s="27"/>
      <c r="L273" s="27"/>
    </row>
    <row r="274" spans="7:12">
      <c r="G274" s="25"/>
      <c r="H274" s="27"/>
      <c r="I274" s="27"/>
      <c r="J274" s="27"/>
      <c r="K274" s="27"/>
      <c r="L274" s="27"/>
    </row>
    <row r="275" spans="7:12">
      <c r="G275" s="28"/>
      <c r="H275" s="29"/>
      <c r="I275" s="29"/>
      <c r="J275" s="29"/>
      <c r="K275" s="29"/>
      <c r="L275" s="29"/>
    </row>
    <row r="276" spans="7:12">
      <c r="G276" s="25"/>
      <c r="H276" s="27"/>
      <c r="I276" s="27"/>
      <c r="J276" s="27"/>
      <c r="K276" s="27"/>
      <c r="L276" s="27"/>
    </row>
    <row r="277" spans="7:12">
      <c r="G277" s="25"/>
      <c r="H277" s="27"/>
      <c r="I277" s="27"/>
      <c r="J277" s="27"/>
      <c r="K277" s="27"/>
      <c r="L277" s="27"/>
    </row>
    <row r="278" spans="7:12">
      <c r="G278" s="25"/>
      <c r="H278" s="27"/>
      <c r="I278" s="27"/>
      <c r="J278" s="27"/>
      <c r="K278" s="27"/>
      <c r="L278" s="27"/>
    </row>
    <row r="279" spans="7:12">
      <c r="G279" s="25"/>
      <c r="H279" s="27"/>
      <c r="I279" s="27"/>
      <c r="J279" s="27"/>
      <c r="K279" s="27"/>
      <c r="L279" s="27"/>
    </row>
    <row r="280" spans="7:12">
      <c r="G280" s="25"/>
      <c r="H280" s="27"/>
      <c r="I280" s="27"/>
      <c r="J280" s="27"/>
      <c r="K280" s="27"/>
      <c r="L280" s="27"/>
    </row>
    <row r="281" spans="7:12">
      <c r="G281" s="25"/>
      <c r="H281" s="27"/>
      <c r="I281" s="27"/>
      <c r="J281" s="27"/>
      <c r="K281" s="27"/>
      <c r="L281" s="27"/>
    </row>
    <row r="282" spans="7:12">
      <c r="G282" s="37"/>
      <c r="H282" s="24"/>
      <c r="I282" s="24"/>
      <c r="J282" s="24"/>
      <c r="K282" s="24"/>
      <c r="L282" s="24"/>
    </row>
    <row r="283" spans="7:12">
      <c r="G283" s="25"/>
      <c r="H283" s="27"/>
      <c r="I283" s="27"/>
      <c r="J283" s="27"/>
      <c r="K283" s="27"/>
      <c r="L283" s="27"/>
    </row>
    <row r="284" spans="7:12">
      <c r="G284" s="33"/>
      <c r="H284" s="32"/>
      <c r="I284" s="32"/>
      <c r="J284" s="32"/>
      <c r="K284" s="32"/>
      <c r="L284" s="32"/>
    </row>
    <row r="285" spans="7:12">
      <c r="G285" s="25"/>
      <c r="H285" s="26"/>
      <c r="I285" s="26"/>
      <c r="J285" s="26"/>
      <c r="K285" s="26"/>
      <c r="L285" s="26"/>
    </row>
    <row r="286" spans="7:12">
      <c r="G286" s="25"/>
      <c r="H286" s="26"/>
      <c r="I286" s="26"/>
      <c r="J286" s="26"/>
      <c r="K286" s="26"/>
      <c r="L286" s="26"/>
    </row>
    <row r="287" spans="7:12">
      <c r="G287" s="25"/>
      <c r="H287" s="26"/>
      <c r="I287" s="26"/>
      <c r="J287" s="26"/>
      <c r="K287" s="26"/>
      <c r="L287" s="26"/>
    </row>
    <row r="288" spans="7:12">
      <c r="G288" s="25"/>
      <c r="H288" s="26"/>
      <c r="I288" s="26"/>
      <c r="J288" s="26"/>
      <c r="K288" s="26"/>
      <c r="L288" s="26"/>
    </row>
    <row r="289" spans="7:12">
      <c r="G289" s="25"/>
      <c r="H289" s="48"/>
      <c r="I289" s="48"/>
      <c r="J289" s="48"/>
      <c r="K289" s="48"/>
      <c r="L289" s="48"/>
    </row>
    <row r="290" spans="7:12">
      <c r="G290" s="25"/>
      <c r="H290" s="26"/>
      <c r="I290" s="26"/>
      <c r="J290" s="26"/>
      <c r="K290" s="26"/>
      <c r="L290" s="26"/>
    </row>
    <row r="291" spans="7:12">
      <c r="G291" s="25"/>
      <c r="H291" s="26"/>
      <c r="I291" s="26"/>
      <c r="J291" s="26"/>
      <c r="K291" s="26"/>
      <c r="L291" s="26"/>
    </row>
    <row r="292" spans="7:12">
      <c r="G292" s="25"/>
      <c r="H292" s="48"/>
      <c r="I292" s="48"/>
      <c r="J292" s="48"/>
      <c r="K292" s="48"/>
      <c r="L292" s="48"/>
    </row>
    <row r="293" spans="7:12">
      <c r="G293" s="25"/>
      <c r="H293" s="26"/>
      <c r="I293" s="26"/>
      <c r="J293" s="26"/>
      <c r="K293" s="26"/>
      <c r="L293" s="26"/>
    </row>
    <row r="294" spans="7:12">
      <c r="G294" s="31"/>
      <c r="H294" s="32"/>
      <c r="I294" s="32"/>
      <c r="J294" s="32"/>
      <c r="K294" s="32"/>
      <c r="L294" s="32"/>
    </row>
    <row r="295" spans="7:12">
      <c r="G295" s="31"/>
      <c r="H295" s="32"/>
      <c r="I295" s="32"/>
      <c r="J295" s="32"/>
      <c r="K295" s="32"/>
      <c r="L295" s="32"/>
    </row>
    <row r="296" spans="7:12">
      <c r="G296" s="31"/>
      <c r="H296" s="32"/>
      <c r="I296" s="32"/>
      <c r="J296" s="32"/>
      <c r="K296" s="32"/>
      <c r="L296" s="32"/>
    </row>
    <row r="297" spans="7:12">
      <c r="G297" s="33"/>
      <c r="H297" s="32"/>
      <c r="I297" s="32"/>
      <c r="J297" s="32"/>
      <c r="K297" s="32"/>
      <c r="L297" s="32"/>
    </row>
    <row r="298" spans="7:12">
      <c r="G298" s="33"/>
      <c r="H298" s="32"/>
      <c r="I298" s="32"/>
      <c r="J298" s="32"/>
      <c r="K298" s="32"/>
      <c r="L298" s="32"/>
    </row>
    <row r="299" spans="7:12">
      <c r="G299" s="33"/>
      <c r="H299" s="32"/>
      <c r="I299" s="32"/>
      <c r="J299" s="32"/>
      <c r="K299" s="32"/>
      <c r="L299" s="32"/>
    </row>
    <row r="300" spans="7:12">
      <c r="G300" s="33"/>
      <c r="H300" s="32"/>
      <c r="I300" s="32"/>
      <c r="J300" s="32"/>
      <c r="K300" s="32"/>
      <c r="L300" s="32"/>
    </row>
    <row r="301" spans="7:12">
      <c r="G301" s="33"/>
      <c r="H301" s="32"/>
      <c r="I301" s="32"/>
      <c r="J301" s="32"/>
      <c r="K301" s="32"/>
      <c r="L301" s="32"/>
    </row>
    <row r="302" spans="7:12">
      <c r="G302" s="33"/>
      <c r="H302" s="32"/>
      <c r="I302" s="32"/>
      <c r="J302" s="32"/>
      <c r="K302" s="32"/>
      <c r="L302" s="32"/>
    </row>
    <row r="303" spans="7:12">
      <c r="G303" s="33"/>
      <c r="H303" s="32"/>
      <c r="I303" s="32"/>
      <c r="J303" s="32"/>
      <c r="K303" s="32"/>
      <c r="L303" s="32"/>
    </row>
    <row r="304" spans="7:12">
      <c r="G304" s="33"/>
      <c r="H304" s="32"/>
      <c r="I304" s="32"/>
      <c r="J304" s="32"/>
      <c r="K304" s="32"/>
      <c r="L304" s="32"/>
    </row>
    <row r="305" spans="7:12">
      <c r="G305" s="33"/>
      <c r="H305" s="32"/>
      <c r="I305" s="32"/>
      <c r="J305" s="32"/>
      <c r="K305" s="32"/>
      <c r="L305" s="32"/>
    </row>
    <row r="306" spans="7:12">
      <c r="G306" s="33"/>
      <c r="H306" s="49"/>
      <c r="I306" s="49"/>
      <c r="J306" s="49"/>
      <c r="K306" s="49"/>
      <c r="L306" s="49"/>
    </row>
    <row r="307" spans="7:12">
      <c r="G307" s="33"/>
      <c r="H307" s="32"/>
      <c r="I307" s="32"/>
      <c r="J307" s="32"/>
      <c r="K307" s="32"/>
      <c r="L307" s="32"/>
    </row>
    <row r="308" spans="7:12">
      <c r="G308" s="33"/>
      <c r="H308" s="26"/>
      <c r="I308" s="26"/>
      <c r="J308" s="26"/>
      <c r="K308" s="26"/>
      <c r="L308" s="26"/>
    </row>
    <row r="309" spans="7:12">
      <c r="G309" s="34"/>
      <c r="H309" s="35"/>
      <c r="I309" s="35"/>
      <c r="J309" s="35"/>
      <c r="K309" s="35"/>
      <c r="L309" s="35"/>
    </row>
    <row r="310" spans="7:12">
      <c r="G310" s="25"/>
      <c r="H310" s="27"/>
      <c r="I310" s="27"/>
      <c r="J310" s="27"/>
      <c r="K310" s="27"/>
      <c r="L310" s="27"/>
    </row>
    <row r="311" spans="7:12">
      <c r="G311" s="37"/>
      <c r="H311" s="24"/>
      <c r="I311" s="24"/>
      <c r="J311" s="24"/>
      <c r="K311" s="24"/>
      <c r="L311" s="24"/>
    </row>
    <row r="312" spans="7:12">
      <c r="G312" s="25"/>
      <c r="H312" s="26"/>
      <c r="I312" s="26"/>
      <c r="J312" s="26"/>
      <c r="K312" s="26"/>
      <c r="L312" s="26"/>
    </row>
    <row r="313" spans="7:12">
      <c r="G313" s="25"/>
      <c r="H313" s="26"/>
      <c r="I313" s="26"/>
      <c r="J313" s="26"/>
      <c r="K313" s="26"/>
      <c r="L313" s="26"/>
    </row>
    <row r="314" spans="7:12">
      <c r="G314" s="25"/>
      <c r="H314" s="26"/>
      <c r="I314" s="26"/>
      <c r="J314" s="26"/>
      <c r="K314" s="26"/>
      <c r="L314" s="26"/>
    </row>
    <row r="315" spans="7:12">
      <c r="G315" s="34"/>
      <c r="H315" s="35"/>
      <c r="I315" s="35"/>
      <c r="J315" s="35"/>
      <c r="K315" s="35"/>
      <c r="L315" s="35"/>
    </row>
    <row r="316" spans="7:12">
      <c r="G316" s="34"/>
      <c r="H316" s="43"/>
      <c r="I316" s="43"/>
      <c r="J316" s="43"/>
      <c r="K316" s="43"/>
      <c r="L316" s="43"/>
    </row>
  </sheetData>
  <mergeCells count="8">
    <mergeCell ref="M4:M6"/>
    <mergeCell ref="A2:L2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70" orientation="landscape" r:id="rId1"/>
  <rowBreaks count="2" manualBreakCount="2">
    <brk id="61" max="16383" man="1"/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N504"/>
  <sheetViews>
    <sheetView zoomScale="90" zoomScaleNormal="90" zoomScaleSheetLayoutView="47" workbookViewId="0"/>
  </sheetViews>
  <sheetFormatPr defaultRowHeight="16.5"/>
  <cols>
    <col min="1" max="1" width="10.7109375" style="83" customWidth="1"/>
    <col min="2" max="6" width="15.7109375" style="21" customWidth="1"/>
    <col min="7" max="7" width="100.7109375" style="21" customWidth="1"/>
    <col min="8" max="11" width="25.7109375" style="251" customWidth="1"/>
    <col min="12" max="12" width="25.7109375" style="21" customWidth="1"/>
    <col min="13" max="13" width="16.7109375" style="21" customWidth="1"/>
    <col min="14" max="14" width="10.5703125" style="21" bestFit="1" customWidth="1"/>
    <col min="15" max="16384" width="9.140625" style="21"/>
  </cols>
  <sheetData>
    <row r="1" spans="1:13">
      <c r="A1" s="321" t="s">
        <v>518</v>
      </c>
      <c r="B1" s="321"/>
      <c r="C1" s="321"/>
      <c r="D1" s="321"/>
      <c r="E1" s="321"/>
      <c r="F1" s="321"/>
      <c r="G1" s="321"/>
      <c r="H1" s="431"/>
      <c r="I1" s="431"/>
      <c r="J1" s="431"/>
      <c r="K1" s="431"/>
      <c r="L1" s="321"/>
    </row>
    <row r="2" spans="1:13">
      <c r="A2" s="432"/>
      <c r="B2" s="1015" t="s">
        <v>316</v>
      </c>
      <c r="C2" s="1015"/>
      <c r="D2" s="1015"/>
      <c r="E2" s="1015"/>
      <c r="F2" s="1015"/>
      <c r="G2" s="1015"/>
      <c r="H2" s="1015"/>
      <c r="I2" s="1015"/>
      <c r="J2" s="1015"/>
      <c r="K2" s="1015"/>
      <c r="L2" s="1015"/>
    </row>
    <row r="3" spans="1:13" ht="17.25" thickBot="1">
      <c r="A3" s="432"/>
      <c r="B3" s="321"/>
      <c r="C3" s="321"/>
      <c r="D3" s="321"/>
      <c r="E3" s="321"/>
      <c r="F3" s="321"/>
      <c r="G3" s="321"/>
      <c r="H3" s="431"/>
      <c r="I3" s="431"/>
      <c r="J3" s="431"/>
      <c r="K3" s="431"/>
      <c r="L3" s="433" t="s">
        <v>200</v>
      </c>
    </row>
    <row r="4" spans="1:13" ht="17.25" thickBot="1">
      <c r="A4" s="434"/>
      <c r="B4" s="434" t="s">
        <v>205</v>
      </c>
      <c r="C4" s="434" t="s">
        <v>206</v>
      </c>
      <c r="D4" s="434" t="s">
        <v>207</v>
      </c>
      <c r="E4" s="434" t="s">
        <v>208</v>
      </c>
      <c r="F4" s="434" t="s">
        <v>209</v>
      </c>
      <c r="G4" s="434" t="s">
        <v>210</v>
      </c>
      <c r="H4" s="435" t="s">
        <v>211</v>
      </c>
      <c r="I4" s="435"/>
      <c r="J4" s="435" t="s">
        <v>212</v>
      </c>
      <c r="K4" s="435" t="s">
        <v>213</v>
      </c>
      <c r="L4" s="927" t="s">
        <v>214</v>
      </c>
      <c r="M4" s="1009" t="s">
        <v>509</v>
      </c>
    </row>
    <row r="5" spans="1:13" ht="32.25" thickBot="1">
      <c r="A5" s="1016">
        <v>1</v>
      </c>
      <c r="B5" s="1018" t="s">
        <v>215</v>
      </c>
      <c r="C5" s="1018" t="s">
        <v>216</v>
      </c>
      <c r="D5" s="1018" t="s">
        <v>217</v>
      </c>
      <c r="E5" s="1018" t="s">
        <v>215</v>
      </c>
      <c r="F5" s="1014" t="s">
        <v>216</v>
      </c>
      <c r="G5" s="1014"/>
      <c r="H5" s="436" t="s">
        <v>218</v>
      </c>
      <c r="I5" s="436" t="s">
        <v>514</v>
      </c>
      <c r="J5" s="436" t="s">
        <v>219</v>
      </c>
      <c r="K5" s="437" t="s">
        <v>220</v>
      </c>
      <c r="L5" s="928" t="s">
        <v>221</v>
      </c>
      <c r="M5" s="1009"/>
    </row>
    <row r="6" spans="1:13" ht="18" customHeight="1" thickBot="1">
      <c r="A6" s="1017"/>
      <c r="B6" s="1019"/>
      <c r="C6" s="1019"/>
      <c r="D6" s="1019"/>
      <c r="E6" s="1019"/>
      <c r="F6" s="439"/>
      <c r="G6" s="440" t="s">
        <v>217</v>
      </c>
      <c r="H6" s="441">
        <v>2018</v>
      </c>
      <c r="I6" s="441"/>
      <c r="J6" s="441">
        <v>2018</v>
      </c>
      <c r="K6" s="441">
        <v>2018</v>
      </c>
      <c r="L6" s="929">
        <v>2018</v>
      </c>
      <c r="M6" s="1009"/>
    </row>
    <row r="7" spans="1:13" s="27" customFormat="1">
      <c r="A7" s="443">
        <v>2</v>
      </c>
      <c r="B7" s="1010" t="s">
        <v>487</v>
      </c>
      <c r="C7" s="1011"/>
      <c r="D7" s="1011"/>
      <c r="E7" s="1011"/>
      <c r="F7" s="1011"/>
      <c r="G7" s="1011"/>
      <c r="H7" s="444"/>
      <c r="I7" s="445"/>
      <c r="J7" s="445"/>
      <c r="K7" s="444"/>
      <c r="L7" s="930"/>
      <c r="M7" s="963"/>
    </row>
    <row r="8" spans="1:13" s="27" customFormat="1">
      <c r="A8" s="446">
        <v>3</v>
      </c>
      <c r="B8" s="447">
        <v>1</v>
      </c>
      <c r="C8" s="448"/>
      <c r="D8" s="449"/>
      <c r="E8" s="1012" t="s">
        <v>222</v>
      </c>
      <c r="F8" s="1013"/>
      <c r="G8" s="1013"/>
      <c r="H8" s="450">
        <f>SUM(H9+H10+H11+H12+H17+H25)</f>
        <v>718877562.79999995</v>
      </c>
      <c r="I8" s="451">
        <f>J8+K8</f>
        <v>1058635029.8</v>
      </c>
      <c r="J8" s="451">
        <f t="shared" ref="J8:L8" si="0">SUM(J9+J10+J11+J12+J17+J25)</f>
        <v>1058635029.8</v>
      </c>
      <c r="K8" s="450">
        <f t="shared" si="0"/>
        <v>0</v>
      </c>
      <c r="L8" s="931">
        <f t="shared" si="0"/>
        <v>0</v>
      </c>
      <c r="M8" s="964">
        <f>I8-H8</f>
        <v>339757467</v>
      </c>
    </row>
    <row r="9" spans="1:13" s="27" customFormat="1">
      <c r="A9" s="446">
        <v>4</v>
      </c>
      <c r="B9" s="447"/>
      <c r="C9" s="448">
        <v>1</v>
      </c>
      <c r="D9" s="449"/>
      <c r="E9" s="449"/>
      <c r="F9" s="1012" t="s">
        <v>25</v>
      </c>
      <c r="G9" s="1013"/>
      <c r="H9" s="450">
        <f>132493348+180500*16</f>
        <v>135381348</v>
      </c>
      <c r="I9" s="451">
        <f t="shared" ref="I9:I73" si="1">J9+K9</f>
        <v>135381348</v>
      </c>
      <c r="J9" s="450">
        <f>H9-K9</f>
        <v>135381348</v>
      </c>
      <c r="K9" s="450">
        <v>0</v>
      </c>
      <c r="L9" s="931">
        <v>0</v>
      </c>
      <c r="M9" s="964">
        <f t="shared" ref="M9:M74" si="2">I9-H9</f>
        <v>0</v>
      </c>
    </row>
    <row r="10" spans="1:13" s="27" customFormat="1">
      <c r="A10" s="446">
        <v>5</v>
      </c>
      <c r="B10" s="452"/>
      <c r="C10" s="453">
        <v>2</v>
      </c>
      <c r="D10" s="454"/>
      <c r="E10" s="454"/>
      <c r="F10" s="1020" t="s">
        <v>275</v>
      </c>
      <c r="G10" s="1021"/>
      <c r="H10" s="455">
        <f>25471246+35197.5*16</f>
        <v>26034406</v>
      </c>
      <c r="I10" s="451">
        <f t="shared" si="1"/>
        <v>26034406</v>
      </c>
      <c r="J10" s="450">
        <f>H10-K10</f>
        <v>26034406</v>
      </c>
      <c r="K10" s="455">
        <v>0</v>
      </c>
      <c r="L10" s="932">
        <v>0</v>
      </c>
      <c r="M10" s="964">
        <f t="shared" si="2"/>
        <v>0</v>
      </c>
    </row>
    <row r="11" spans="1:13" s="27" customFormat="1">
      <c r="A11" s="446">
        <v>6</v>
      </c>
      <c r="B11" s="452"/>
      <c r="C11" s="453">
        <v>3</v>
      </c>
      <c r="D11" s="454"/>
      <c r="E11" s="454"/>
      <c r="F11" s="1020" t="s">
        <v>30</v>
      </c>
      <c r="G11" s="1021"/>
      <c r="H11" s="455">
        <v>138821177</v>
      </c>
      <c r="I11" s="451">
        <f t="shared" si="1"/>
        <v>224347083</v>
      </c>
      <c r="J11" s="450">
        <f>H11-K11-914400+72700000+9205661+400000+1280000-129855+2984500</f>
        <v>224347083</v>
      </c>
      <c r="K11" s="455">
        <v>0</v>
      </c>
      <c r="L11" s="932">
        <v>0</v>
      </c>
      <c r="M11" s="964">
        <f t="shared" si="2"/>
        <v>85525906</v>
      </c>
    </row>
    <row r="12" spans="1:13" s="27" customFormat="1">
      <c r="A12" s="446">
        <v>7</v>
      </c>
      <c r="B12" s="452"/>
      <c r="C12" s="453">
        <v>4</v>
      </c>
      <c r="D12" s="454"/>
      <c r="E12" s="454"/>
      <c r="F12" s="1020" t="s">
        <v>276</v>
      </c>
      <c r="G12" s="1021"/>
      <c r="H12" s="455">
        <f>SUM(H13:H16)</f>
        <v>27700000</v>
      </c>
      <c r="I12" s="451">
        <f>J12+K12</f>
        <v>27712540</v>
      </c>
      <c r="J12" s="456">
        <f>SUM(J13:J16)</f>
        <v>27712540</v>
      </c>
      <c r="K12" s="455">
        <f t="shared" ref="K12" si="3">SUM(K13:K16)</f>
        <v>0</v>
      </c>
      <c r="L12" s="932">
        <f t="shared" ref="L12" si="4">SUM(L14:L16)</f>
        <v>0</v>
      </c>
      <c r="M12" s="964">
        <f t="shared" si="2"/>
        <v>12540</v>
      </c>
    </row>
    <row r="13" spans="1:13" s="27" customFormat="1">
      <c r="A13" s="446">
        <v>8</v>
      </c>
      <c r="B13" s="452"/>
      <c r="C13" s="453"/>
      <c r="D13" s="457">
        <v>1</v>
      </c>
      <c r="E13" s="454"/>
      <c r="F13" s="458"/>
      <c r="G13" s="459" t="s">
        <v>277</v>
      </c>
      <c r="H13" s="460"/>
      <c r="I13" s="451">
        <f t="shared" si="1"/>
        <v>0</v>
      </c>
      <c r="J13" s="461"/>
      <c r="K13" s="460">
        <v>0</v>
      </c>
      <c r="L13" s="933">
        <v>0</v>
      </c>
      <c r="M13" s="964">
        <f t="shared" si="2"/>
        <v>0</v>
      </c>
    </row>
    <row r="14" spans="1:13" s="27" customFormat="1">
      <c r="A14" s="446">
        <v>9</v>
      </c>
      <c r="B14" s="462"/>
      <c r="C14" s="463"/>
      <c r="D14" s="457">
        <v>2</v>
      </c>
      <c r="E14" s="457"/>
      <c r="F14" s="464"/>
      <c r="G14" s="464" t="s">
        <v>278</v>
      </c>
      <c r="H14" s="465"/>
      <c r="I14" s="451">
        <f t="shared" si="1"/>
        <v>0</v>
      </c>
      <c r="J14" s="466"/>
      <c r="K14" s="465">
        <v>0</v>
      </c>
      <c r="L14" s="934">
        <v>0</v>
      </c>
      <c r="M14" s="964">
        <f t="shared" si="2"/>
        <v>0</v>
      </c>
    </row>
    <row r="15" spans="1:13" s="27" customFormat="1">
      <c r="A15" s="467">
        <v>10</v>
      </c>
      <c r="B15" s="462"/>
      <c r="C15" s="463"/>
      <c r="D15" s="457">
        <v>3</v>
      </c>
      <c r="E15" s="457"/>
      <c r="F15" s="464"/>
      <c r="G15" s="464" t="s">
        <v>279</v>
      </c>
      <c r="H15" s="465">
        <f>'ellátottak pénzbeli jutt.6'!D9</f>
        <v>3500000</v>
      </c>
      <c r="I15" s="451">
        <f t="shared" si="1"/>
        <v>3500000</v>
      </c>
      <c r="J15" s="465">
        <f>'ellátottak pénzbeli jutt.6'!D9</f>
        <v>3500000</v>
      </c>
      <c r="K15" s="465">
        <v>0</v>
      </c>
      <c r="L15" s="934">
        <v>0</v>
      </c>
      <c r="M15" s="964">
        <f t="shared" si="2"/>
        <v>0</v>
      </c>
    </row>
    <row r="16" spans="1:13" s="27" customFormat="1">
      <c r="A16" s="446">
        <v>11</v>
      </c>
      <c r="B16" s="462"/>
      <c r="C16" s="463"/>
      <c r="D16" s="457">
        <v>4</v>
      </c>
      <c r="E16" s="457"/>
      <c r="F16" s="464"/>
      <c r="G16" s="464" t="s">
        <v>280</v>
      </c>
      <c r="H16" s="465">
        <f>'ellátottak pénzbeli jutt.6'!D10+'ellátottak pénzbeli jutt.6'!D11+'ellátottak pénzbeli jutt.6'!D23+'ellátottak pénzbeli jutt.6'!D24</f>
        <v>24200000</v>
      </c>
      <c r="I16" s="451">
        <f t="shared" si="1"/>
        <v>24212540</v>
      </c>
      <c r="J16" s="465">
        <f>'ellátottak pénzbeli jutt.6'!D10+'ellátottak pénzbeli jutt.6'!D11+'ellátottak pénzbeli jutt.6'!D23+'ellátottak pénzbeli jutt.6'!D24+12540</f>
        <v>24212540</v>
      </c>
      <c r="K16" s="465">
        <v>0</v>
      </c>
      <c r="L16" s="934">
        <v>0</v>
      </c>
      <c r="M16" s="964">
        <f t="shared" si="2"/>
        <v>12540</v>
      </c>
    </row>
    <row r="17" spans="1:13" s="27" customFormat="1">
      <c r="A17" s="446">
        <v>12</v>
      </c>
      <c r="B17" s="462"/>
      <c r="C17" s="448">
        <v>5</v>
      </c>
      <c r="D17" s="457"/>
      <c r="E17" s="457"/>
      <c r="F17" s="1012" t="s">
        <v>281</v>
      </c>
      <c r="G17" s="1013"/>
      <c r="H17" s="450">
        <f>SUM(H18:H24)</f>
        <v>263403456.80000001</v>
      </c>
      <c r="I17" s="451">
        <f t="shared" si="1"/>
        <v>515564411.80000001</v>
      </c>
      <c r="J17" s="450">
        <f>SUM(J18:J24)</f>
        <v>515564411.80000001</v>
      </c>
      <c r="K17" s="450">
        <f t="shared" ref="K17:L17" si="5">SUM(K18:K24)</f>
        <v>0</v>
      </c>
      <c r="L17" s="931">
        <f t="shared" si="5"/>
        <v>0</v>
      </c>
      <c r="M17" s="964">
        <f t="shared" si="2"/>
        <v>252160955</v>
      </c>
    </row>
    <row r="18" spans="1:13" s="27" customFormat="1">
      <c r="A18" s="446">
        <v>13</v>
      </c>
      <c r="B18" s="462"/>
      <c r="C18" s="463"/>
      <c r="D18" s="457">
        <v>1</v>
      </c>
      <c r="E18" s="457"/>
      <c r="F18" s="464"/>
      <c r="G18" s="464" t="s">
        <v>282</v>
      </c>
      <c r="H18" s="465">
        <v>0</v>
      </c>
      <c r="I18" s="451">
        <f t="shared" si="1"/>
        <v>0</v>
      </c>
      <c r="J18" s="466">
        <v>0</v>
      </c>
      <c r="K18" s="465">
        <v>0</v>
      </c>
      <c r="L18" s="934">
        <v>0</v>
      </c>
      <c r="M18" s="964">
        <f t="shared" si="2"/>
        <v>0</v>
      </c>
    </row>
    <row r="19" spans="1:13" s="27" customFormat="1">
      <c r="A19" s="446">
        <v>14</v>
      </c>
      <c r="B19" s="462"/>
      <c r="C19" s="468"/>
      <c r="D19" s="457">
        <v>2</v>
      </c>
      <c r="E19" s="457"/>
      <c r="F19" s="457"/>
      <c r="G19" s="464" t="s">
        <v>283</v>
      </c>
      <c r="H19" s="465">
        <v>0</v>
      </c>
      <c r="I19" s="451">
        <f t="shared" si="1"/>
        <v>0</v>
      </c>
      <c r="J19" s="466">
        <v>0</v>
      </c>
      <c r="K19" s="465">
        <v>0</v>
      </c>
      <c r="L19" s="934">
        <v>0</v>
      </c>
      <c r="M19" s="964">
        <f t="shared" si="2"/>
        <v>0</v>
      </c>
    </row>
    <row r="20" spans="1:13" s="27" customFormat="1">
      <c r="A20" s="446">
        <v>15</v>
      </c>
      <c r="B20" s="462"/>
      <c r="C20" s="468"/>
      <c r="D20" s="457">
        <v>3</v>
      </c>
      <c r="E20" s="457"/>
      <c r="F20" s="457"/>
      <c r="G20" s="464" t="s">
        <v>284</v>
      </c>
      <c r="H20" s="469">
        <v>0</v>
      </c>
      <c r="I20" s="451">
        <f t="shared" si="1"/>
        <v>0</v>
      </c>
      <c r="J20" s="470">
        <v>0</v>
      </c>
      <c r="K20" s="465">
        <v>0</v>
      </c>
      <c r="L20" s="934">
        <v>0</v>
      </c>
      <c r="M20" s="964">
        <f t="shared" si="2"/>
        <v>0</v>
      </c>
    </row>
    <row r="21" spans="1:13" s="27" customFormat="1">
      <c r="A21" s="446">
        <v>16</v>
      </c>
      <c r="B21" s="462"/>
      <c r="C21" s="468"/>
      <c r="D21" s="457">
        <v>4</v>
      </c>
      <c r="E21" s="457"/>
      <c r="F21" s="457"/>
      <c r="G21" s="464" t="s">
        <v>285</v>
      </c>
      <c r="H21" s="465">
        <f>'működési pe átad5'!D28</f>
        <v>194349950.80000001</v>
      </c>
      <c r="I21" s="451">
        <f t="shared" si="1"/>
        <v>202775456.80000001</v>
      </c>
      <c r="J21" s="466">
        <f>H21-K21+1389608+196033+6839865</f>
        <v>202775456.80000001</v>
      </c>
      <c r="K21" s="465">
        <v>0</v>
      </c>
      <c r="L21" s="934">
        <v>0</v>
      </c>
      <c r="M21" s="964">
        <f>I21-H21</f>
        <v>8425506</v>
      </c>
    </row>
    <row r="22" spans="1:13" s="27" customFormat="1" ht="18.75">
      <c r="A22" s="765">
        <v>17</v>
      </c>
      <c r="B22" s="368"/>
      <c r="C22" s="766"/>
      <c r="D22" s="767">
        <v>5</v>
      </c>
      <c r="E22" s="767"/>
      <c r="F22" s="767"/>
      <c r="G22" s="768" t="s">
        <v>286</v>
      </c>
      <c r="H22" s="769">
        <v>0</v>
      </c>
      <c r="I22" s="451">
        <f t="shared" si="1"/>
        <v>0</v>
      </c>
      <c r="J22" s="770">
        <v>0</v>
      </c>
      <c r="K22" s="771">
        <v>0</v>
      </c>
      <c r="L22" s="935">
        <v>0</v>
      </c>
      <c r="M22" s="964">
        <f t="shared" si="2"/>
        <v>0</v>
      </c>
    </row>
    <row r="23" spans="1:13" s="27" customFormat="1" ht="18.75">
      <c r="A23" s="765">
        <v>18</v>
      </c>
      <c r="B23" s="368"/>
      <c r="C23" s="766"/>
      <c r="D23" s="767">
        <v>6</v>
      </c>
      <c r="E23" s="767"/>
      <c r="F23" s="767"/>
      <c r="G23" s="768" t="s">
        <v>287</v>
      </c>
      <c r="H23" s="773">
        <f>'működési pe átad5'!D33</f>
        <v>4804666</v>
      </c>
      <c r="I23" s="451">
        <f t="shared" si="1"/>
        <v>4804666</v>
      </c>
      <c r="J23" s="773">
        <v>4804666</v>
      </c>
      <c r="K23" s="773">
        <v>0</v>
      </c>
      <c r="L23" s="936">
        <v>0</v>
      </c>
      <c r="M23" s="964">
        <f t="shared" si="2"/>
        <v>0</v>
      </c>
    </row>
    <row r="24" spans="1:13" s="27" customFormat="1" ht="18.75">
      <c r="A24" s="765">
        <v>19</v>
      </c>
      <c r="B24" s="368"/>
      <c r="C24" s="766"/>
      <c r="D24" s="767">
        <v>7</v>
      </c>
      <c r="E24" s="767"/>
      <c r="F24" s="767"/>
      <c r="G24" s="768" t="s">
        <v>288</v>
      </c>
      <c r="H24" s="773">
        <v>64248840</v>
      </c>
      <c r="I24" s="451">
        <f t="shared" si="1"/>
        <v>307984289</v>
      </c>
      <c r="J24" s="774">
        <f>H24+244201464-466015</f>
        <v>307984289</v>
      </c>
      <c r="K24" s="773">
        <v>0</v>
      </c>
      <c r="L24" s="936">
        <v>0</v>
      </c>
      <c r="M24" s="964">
        <f>I24-H24</f>
        <v>243735449</v>
      </c>
    </row>
    <row r="25" spans="1:13" s="27" customFormat="1" ht="18.75">
      <c r="A25" s="765">
        <v>20</v>
      </c>
      <c r="B25" s="775"/>
      <c r="C25" s="776">
        <v>6</v>
      </c>
      <c r="D25" s="777"/>
      <c r="E25" s="777"/>
      <c r="F25" s="777" t="s">
        <v>289</v>
      </c>
      <c r="G25" s="778"/>
      <c r="H25" s="779">
        <f>SUM(H26:H31)</f>
        <v>127537175</v>
      </c>
      <c r="I25" s="451">
        <f t="shared" si="1"/>
        <v>129595241</v>
      </c>
      <c r="J25" s="780">
        <f>SUM(J26:J31)</f>
        <v>129595241</v>
      </c>
      <c r="K25" s="779">
        <f t="shared" ref="K25:L25" si="6">SUM(K26:K31)</f>
        <v>0</v>
      </c>
      <c r="L25" s="937">
        <f t="shared" si="6"/>
        <v>0</v>
      </c>
      <c r="M25" s="964">
        <f t="shared" si="2"/>
        <v>2058066</v>
      </c>
    </row>
    <row r="26" spans="1:13" s="27" customFormat="1" ht="18.75">
      <c r="A26" s="765">
        <v>21</v>
      </c>
      <c r="B26" s="781"/>
      <c r="C26" s="782"/>
      <c r="D26" s="767">
        <v>1</v>
      </c>
      <c r="E26" s="767"/>
      <c r="F26" s="767"/>
      <c r="G26" s="768" t="s">
        <v>290</v>
      </c>
      <c r="H26" s="773">
        <v>0</v>
      </c>
      <c r="I26" s="451">
        <f t="shared" si="1"/>
        <v>0</v>
      </c>
      <c r="J26" s="774">
        <v>0</v>
      </c>
      <c r="K26" s="773">
        <v>0</v>
      </c>
      <c r="L26" s="936">
        <v>0</v>
      </c>
      <c r="M26" s="964">
        <f t="shared" si="2"/>
        <v>0</v>
      </c>
    </row>
    <row r="27" spans="1:13" s="27" customFormat="1" ht="17.25">
      <c r="A27" s="765">
        <v>22</v>
      </c>
      <c r="B27" s="781"/>
      <c r="C27" s="782"/>
      <c r="D27" s="783">
        <v>2</v>
      </c>
      <c r="E27" s="783"/>
      <c r="F27" s="783"/>
      <c r="G27" s="768" t="s">
        <v>291</v>
      </c>
      <c r="H27" s="773">
        <v>0</v>
      </c>
      <c r="I27" s="451">
        <f t="shared" si="1"/>
        <v>0</v>
      </c>
      <c r="J27" s="774">
        <v>0</v>
      </c>
      <c r="K27" s="773">
        <v>0</v>
      </c>
      <c r="L27" s="936">
        <v>0</v>
      </c>
      <c r="M27" s="964">
        <f t="shared" si="2"/>
        <v>0</v>
      </c>
    </row>
    <row r="28" spans="1:13" s="27" customFormat="1" ht="17.25">
      <c r="A28" s="765">
        <v>23</v>
      </c>
      <c r="B28" s="781"/>
      <c r="C28" s="782"/>
      <c r="D28" s="783">
        <v>3</v>
      </c>
      <c r="E28" s="783"/>
      <c r="F28" s="783"/>
      <c r="G28" s="768" t="s">
        <v>292</v>
      </c>
      <c r="H28" s="784">
        <v>0</v>
      </c>
      <c r="I28" s="451">
        <f t="shared" si="1"/>
        <v>0</v>
      </c>
      <c r="J28" s="785">
        <v>0</v>
      </c>
      <c r="K28" s="773">
        <v>0</v>
      </c>
      <c r="L28" s="936">
        <v>0</v>
      </c>
      <c r="M28" s="964">
        <f t="shared" si="2"/>
        <v>0</v>
      </c>
    </row>
    <row r="29" spans="1:13" s="55" customFormat="1" ht="18.75">
      <c r="A29" s="765">
        <v>24</v>
      </c>
      <c r="B29" s="786"/>
      <c r="C29" s="787"/>
      <c r="D29" s="788">
        <v>4</v>
      </c>
      <c r="E29" s="788"/>
      <c r="F29" s="788"/>
      <c r="G29" s="789" t="s">
        <v>293</v>
      </c>
      <c r="H29" s="773">
        <f>bevételek3!H86+bevételek3!H104+bevételek3!H122</f>
        <v>113805236</v>
      </c>
      <c r="I29" s="451">
        <f t="shared" si="1"/>
        <v>115863302</v>
      </c>
      <c r="J29" s="773">
        <f>bevételek3!J86+bevételek3!J104+bevételek3!J122</f>
        <v>115863302</v>
      </c>
      <c r="K29" s="790">
        <v>0</v>
      </c>
      <c r="L29" s="938">
        <v>0</v>
      </c>
      <c r="M29" s="964">
        <f t="shared" si="2"/>
        <v>2058066</v>
      </c>
    </row>
    <row r="30" spans="1:13" s="55" customFormat="1" ht="18.75">
      <c r="A30" s="765"/>
      <c r="B30" s="786"/>
      <c r="C30" s="787"/>
      <c r="D30" s="788">
        <v>5</v>
      </c>
      <c r="E30" s="788"/>
      <c r="F30" s="788"/>
      <c r="G30" s="791" t="s">
        <v>460</v>
      </c>
      <c r="H30" s="792">
        <v>13731939</v>
      </c>
      <c r="I30" s="451">
        <f t="shared" si="1"/>
        <v>13731939</v>
      </c>
      <c r="J30" s="773">
        <f>H30</f>
        <v>13731939</v>
      </c>
      <c r="K30" s="790"/>
      <c r="L30" s="938"/>
      <c r="M30" s="964">
        <f t="shared" si="2"/>
        <v>0</v>
      </c>
    </row>
    <row r="31" spans="1:13" s="55" customFormat="1" ht="18.75">
      <c r="A31" s="765">
        <v>25</v>
      </c>
      <c r="B31" s="786"/>
      <c r="C31" s="787"/>
      <c r="D31" s="788"/>
      <c r="E31" s="788"/>
      <c r="F31" s="788"/>
      <c r="G31" s="791" t="s">
        <v>294</v>
      </c>
      <c r="H31" s="793">
        <v>0</v>
      </c>
      <c r="I31" s="451">
        <f t="shared" si="1"/>
        <v>0</v>
      </c>
      <c r="J31" s="794"/>
      <c r="K31" s="790">
        <v>0</v>
      </c>
      <c r="L31" s="938">
        <v>0</v>
      </c>
      <c r="M31" s="964">
        <f t="shared" si="2"/>
        <v>0</v>
      </c>
    </row>
    <row r="32" spans="1:13" s="55" customFormat="1" ht="18.75">
      <c r="A32" s="765">
        <v>26</v>
      </c>
      <c r="B32" s="775">
        <v>2</v>
      </c>
      <c r="C32" s="776"/>
      <c r="D32" s="777"/>
      <c r="E32" s="1022" t="s">
        <v>253</v>
      </c>
      <c r="F32" s="1023"/>
      <c r="G32" s="1023"/>
      <c r="H32" s="779">
        <f>SUM(H33:H34)</f>
        <v>160208965</v>
      </c>
      <c r="I32" s="451">
        <f t="shared" si="1"/>
        <v>161123365</v>
      </c>
      <c r="J32" s="780">
        <f>SUM(J33:J34)</f>
        <v>161123365</v>
      </c>
      <c r="K32" s="779">
        <f t="shared" ref="K32:L32" si="7">SUM(K33:K35)</f>
        <v>0</v>
      </c>
      <c r="L32" s="937">
        <f t="shared" si="7"/>
        <v>0</v>
      </c>
      <c r="M32" s="964">
        <f t="shared" si="2"/>
        <v>914400</v>
      </c>
    </row>
    <row r="33" spans="1:13" s="27" customFormat="1" ht="18.75">
      <c r="A33" s="765">
        <v>27</v>
      </c>
      <c r="B33" s="368"/>
      <c r="C33" s="776">
        <v>1</v>
      </c>
      <c r="D33" s="767"/>
      <c r="E33" s="767"/>
      <c r="F33" s="1022" t="s">
        <v>295</v>
      </c>
      <c r="G33" s="1023"/>
      <c r="H33" s="779">
        <f>felhalmozási7!E12</f>
        <v>128648700</v>
      </c>
      <c r="I33" s="451">
        <f t="shared" si="1"/>
        <v>129563100</v>
      </c>
      <c r="J33" s="779">
        <f>128648700+914400</f>
        <v>129563100</v>
      </c>
      <c r="K33" s="779">
        <v>0</v>
      </c>
      <c r="L33" s="937"/>
      <c r="M33" s="964">
        <f t="shared" si="2"/>
        <v>914400</v>
      </c>
    </row>
    <row r="34" spans="1:13" s="27" customFormat="1" ht="18.75">
      <c r="A34" s="765">
        <v>28</v>
      </c>
      <c r="B34" s="368"/>
      <c r="C34" s="776">
        <v>2</v>
      </c>
      <c r="D34" s="767"/>
      <c r="E34" s="767"/>
      <c r="F34" s="1022" t="s">
        <v>296</v>
      </c>
      <c r="G34" s="1023"/>
      <c r="H34" s="779">
        <f>felhalmozási7!E10</f>
        <v>31560265</v>
      </c>
      <c r="I34" s="451">
        <f t="shared" si="1"/>
        <v>31560265</v>
      </c>
      <c r="J34" s="779">
        <v>31560265</v>
      </c>
      <c r="K34" s="779">
        <v>0</v>
      </c>
      <c r="L34" s="937"/>
      <c r="M34" s="964">
        <f t="shared" si="2"/>
        <v>0</v>
      </c>
    </row>
    <row r="35" spans="1:13" s="27" customFormat="1" ht="18.75">
      <c r="A35" s="765">
        <v>29</v>
      </c>
      <c r="B35" s="368"/>
      <c r="C35" s="776">
        <v>3</v>
      </c>
      <c r="D35" s="767"/>
      <c r="E35" s="767"/>
      <c r="F35" s="1022" t="s">
        <v>297</v>
      </c>
      <c r="G35" s="1023"/>
      <c r="H35" s="771"/>
      <c r="I35" s="451">
        <f t="shared" si="1"/>
        <v>0</v>
      </c>
      <c r="J35" s="795"/>
      <c r="K35" s="779">
        <f t="shared" ref="K35:L35" si="8">SUM(K36:K44)</f>
        <v>0</v>
      </c>
      <c r="L35" s="937">
        <f t="shared" si="8"/>
        <v>0</v>
      </c>
      <c r="M35" s="964">
        <f t="shared" si="2"/>
        <v>0</v>
      </c>
    </row>
    <row r="36" spans="1:13" s="27" customFormat="1" ht="18.75">
      <c r="A36" s="765">
        <v>30</v>
      </c>
      <c r="B36" s="368"/>
      <c r="C36" s="776"/>
      <c r="D36" s="767">
        <v>1</v>
      </c>
      <c r="E36" s="767"/>
      <c r="F36" s="796"/>
      <c r="G36" s="797" t="s">
        <v>298</v>
      </c>
      <c r="H36" s="771">
        <v>0</v>
      </c>
      <c r="I36" s="451">
        <f t="shared" si="1"/>
        <v>0</v>
      </c>
      <c r="J36" s="795">
        <v>0</v>
      </c>
      <c r="K36" s="771">
        <v>0</v>
      </c>
      <c r="L36" s="935">
        <v>0</v>
      </c>
      <c r="M36" s="964">
        <f t="shared" si="2"/>
        <v>0</v>
      </c>
    </row>
    <row r="37" spans="1:13" s="27" customFormat="1" ht="18.75">
      <c r="A37" s="765">
        <v>31</v>
      </c>
      <c r="B37" s="368"/>
      <c r="C37" s="776"/>
      <c r="D37" s="767">
        <v>2</v>
      </c>
      <c r="E37" s="767"/>
      <c r="F37" s="796"/>
      <c r="G37" s="798" t="s">
        <v>299</v>
      </c>
      <c r="H37" s="799">
        <v>0</v>
      </c>
      <c r="I37" s="451">
        <f t="shared" si="1"/>
        <v>0</v>
      </c>
      <c r="J37" s="795">
        <v>0</v>
      </c>
      <c r="K37" s="799">
        <v>0</v>
      </c>
      <c r="L37" s="939">
        <v>0</v>
      </c>
      <c r="M37" s="964">
        <f t="shared" si="2"/>
        <v>0</v>
      </c>
    </row>
    <row r="38" spans="1:13" s="27" customFormat="1" ht="18.75">
      <c r="A38" s="765">
        <v>32</v>
      </c>
      <c r="B38" s="368"/>
      <c r="C38" s="776"/>
      <c r="D38" s="767">
        <v>3</v>
      </c>
      <c r="E38" s="767"/>
      <c r="F38" s="796"/>
      <c r="G38" s="798" t="s">
        <v>300</v>
      </c>
      <c r="H38" s="799">
        <v>0</v>
      </c>
      <c r="I38" s="451">
        <f t="shared" si="1"/>
        <v>0</v>
      </c>
      <c r="J38" s="795">
        <v>0</v>
      </c>
      <c r="K38" s="799">
        <v>0</v>
      </c>
      <c r="L38" s="939">
        <v>0</v>
      </c>
      <c r="M38" s="964">
        <f t="shared" si="2"/>
        <v>0</v>
      </c>
    </row>
    <row r="39" spans="1:13" s="27" customFormat="1" ht="18.75">
      <c r="A39" s="765">
        <v>33</v>
      </c>
      <c r="B39" s="368"/>
      <c r="C39" s="776"/>
      <c r="D39" s="767">
        <v>4</v>
      </c>
      <c r="E39" s="767"/>
      <c r="F39" s="796"/>
      <c r="G39" s="797" t="s">
        <v>301</v>
      </c>
      <c r="H39" s="799">
        <v>0</v>
      </c>
      <c r="I39" s="451">
        <f t="shared" si="1"/>
        <v>0</v>
      </c>
      <c r="J39" s="795">
        <v>0</v>
      </c>
      <c r="K39" s="799">
        <v>0</v>
      </c>
      <c r="L39" s="939">
        <v>0</v>
      </c>
      <c r="M39" s="964">
        <f t="shared" si="2"/>
        <v>0</v>
      </c>
    </row>
    <row r="40" spans="1:13" s="27" customFormat="1" ht="18.75">
      <c r="A40" s="765">
        <v>34</v>
      </c>
      <c r="B40" s="368"/>
      <c r="C40" s="776"/>
      <c r="D40" s="767">
        <v>5</v>
      </c>
      <c r="E40" s="767"/>
      <c r="F40" s="796"/>
      <c r="G40" s="798" t="s">
        <v>302</v>
      </c>
      <c r="H40" s="799">
        <v>0</v>
      </c>
      <c r="I40" s="451">
        <f t="shared" si="1"/>
        <v>0</v>
      </c>
      <c r="J40" s="795">
        <v>0</v>
      </c>
      <c r="K40" s="799">
        <v>0</v>
      </c>
      <c r="L40" s="939">
        <v>0</v>
      </c>
      <c r="M40" s="964">
        <f t="shared" si="2"/>
        <v>0</v>
      </c>
    </row>
    <row r="41" spans="1:13" s="27" customFormat="1" ht="18.75">
      <c r="A41" s="765">
        <v>35</v>
      </c>
      <c r="B41" s="368"/>
      <c r="C41" s="776"/>
      <c r="D41" s="767">
        <v>6</v>
      </c>
      <c r="E41" s="767"/>
      <c r="F41" s="796"/>
      <c r="G41" s="798" t="s">
        <v>303</v>
      </c>
      <c r="H41" s="799">
        <v>0</v>
      </c>
      <c r="I41" s="451">
        <f t="shared" si="1"/>
        <v>0</v>
      </c>
      <c r="J41" s="795">
        <v>0</v>
      </c>
      <c r="K41" s="799">
        <v>0</v>
      </c>
      <c r="L41" s="939">
        <v>0</v>
      </c>
      <c r="M41" s="964">
        <f t="shared" si="2"/>
        <v>0</v>
      </c>
    </row>
    <row r="42" spans="1:13" s="27" customFormat="1" ht="18.75">
      <c r="A42" s="765">
        <v>36</v>
      </c>
      <c r="B42" s="368"/>
      <c r="C42" s="776"/>
      <c r="D42" s="767">
        <v>7</v>
      </c>
      <c r="E42" s="767"/>
      <c r="F42" s="796"/>
      <c r="G42" s="797" t="s">
        <v>304</v>
      </c>
      <c r="H42" s="799">
        <v>0</v>
      </c>
      <c r="I42" s="451">
        <f t="shared" si="1"/>
        <v>0</v>
      </c>
      <c r="J42" s="795">
        <v>0</v>
      </c>
      <c r="K42" s="799">
        <v>0</v>
      </c>
      <c r="L42" s="939">
        <v>0</v>
      </c>
      <c r="M42" s="964">
        <f t="shared" si="2"/>
        <v>0</v>
      </c>
    </row>
    <row r="43" spans="1:13" s="27" customFormat="1" ht="18.75">
      <c r="A43" s="765">
        <v>37</v>
      </c>
      <c r="B43" s="368"/>
      <c r="C43" s="776"/>
      <c r="D43" s="767">
        <v>8</v>
      </c>
      <c r="E43" s="767"/>
      <c r="F43" s="796"/>
      <c r="G43" s="797" t="s">
        <v>305</v>
      </c>
      <c r="H43" s="799">
        <v>0</v>
      </c>
      <c r="I43" s="451">
        <f t="shared" si="1"/>
        <v>0</v>
      </c>
      <c r="J43" s="795">
        <v>0</v>
      </c>
      <c r="K43" s="799">
        <v>0</v>
      </c>
      <c r="L43" s="939">
        <v>0</v>
      </c>
      <c r="M43" s="964">
        <f t="shared" si="2"/>
        <v>0</v>
      </c>
    </row>
    <row r="44" spans="1:13" s="27" customFormat="1" ht="18.75">
      <c r="A44" s="765">
        <v>38</v>
      </c>
      <c r="B44" s="368"/>
      <c r="C44" s="776"/>
      <c r="D44" s="767">
        <v>9</v>
      </c>
      <c r="E44" s="767"/>
      <c r="F44" s="796"/>
      <c r="G44" s="797" t="s">
        <v>306</v>
      </c>
      <c r="H44" s="799">
        <v>0</v>
      </c>
      <c r="I44" s="451">
        <f t="shared" si="1"/>
        <v>0</v>
      </c>
      <c r="J44" s="795">
        <v>0</v>
      </c>
      <c r="K44" s="799">
        <v>0</v>
      </c>
      <c r="L44" s="939">
        <v>0</v>
      </c>
      <c r="M44" s="964">
        <f t="shared" si="2"/>
        <v>0</v>
      </c>
    </row>
    <row r="45" spans="1:13" s="27" customFormat="1" ht="18.75">
      <c r="A45" s="765">
        <v>39</v>
      </c>
      <c r="B45" s="775"/>
      <c r="C45" s="776">
        <v>4</v>
      </c>
      <c r="D45" s="777"/>
      <c r="E45" s="777"/>
      <c r="F45" s="777" t="s">
        <v>289</v>
      </c>
      <c r="G45" s="778"/>
      <c r="H45" s="779">
        <f>SUM(H46:H48)</f>
        <v>0</v>
      </c>
      <c r="I45" s="451">
        <f t="shared" si="1"/>
        <v>0</v>
      </c>
      <c r="J45" s="780">
        <f>SUM(J46:J48)</f>
        <v>0</v>
      </c>
      <c r="K45" s="779">
        <f>SUM(K46:K48)</f>
        <v>0</v>
      </c>
      <c r="L45" s="937">
        <f>SUM(L46:L48)</f>
        <v>0</v>
      </c>
      <c r="M45" s="964">
        <f t="shared" si="2"/>
        <v>0</v>
      </c>
    </row>
    <row r="46" spans="1:13" s="27" customFormat="1" ht="18.75">
      <c r="A46" s="765">
        <v>40</v>
      </c>
      <c r="B46" s="368"/>
      <c r="C46" s="800"/>
      <c r="D46" s="767">
        <v>1</v>
      </c>
      <c r="E46" s="767"/>
      <c r="F46" s="767"/>
      <c r="G46" s="801" t="s">
        <v>290</v>
      </c>
      <c r="H46" s="802">
        <v>0</v>
      </c>
      <c r="I46" s="451">
        <f t="shared" si="1"/>
        <v>0</v>
      </c>
      <c r="J46" s="803">
        <v>0</v>
      </c>
      <c r="K46" s="802">
        <v>0</v>
      </c>
      <c r="L46" s="940">
        <v>0</v>
      </c>
      <c r="M46" s="964">
        <f t="shared" si="2"/>
        <v>0</v>
      </c>
    </row>
    <row r="47" spans="1:13" s="27" customFormat="1" ht="18.75">
      <c r="A47" s="765">
        <v>41</v>
      </c>
      <c r="B47" s="368"/>
      <c r="C47" s="800"/>
      <c r="D47" s="767">
        <v>2</v>
      </c>
      <c r="E47" s="767"/>
      <c r="F47" s="767"/>
      <c r="G47" s="801" t="s">
        <v>307</v>
      </c>
      <c r="H47" s="802">
        <v>0</v>
      </c>
      <c r="I47" s="451">
        <f t="shared" si="1"/>
        <v>0</v>
      </c>
      <c r="J47" s="803">
        <v>0</v>
      </c>
      <c r="K47" s="802">
        <v>0</v>
      </c>
      <c r="L47" s="940">
        <v>0</v>
      </c>
      <c r="M47" s="964">
        <f t="shared" si="2"/>
        <v>0</v>
      </c>
    </row>
    <row r="48" spans="1:13" s="27" customFormat="1" ht="18.75">
      <c r="A48" s="765">
        <v>42</v>
      </c>
      <c r="B48" s="368"/>
      <c r="C48" s="800"/>
      <c r="D48" s="767">
        <v>3</v>
      </c>
      <c r="E48" s="767"/>
      <c r="F48" s="767"/>
      <c r="G48" s="801" t="s">
        <v>293</v>
      </c>
      <c r="H48" s="802">
        <v>0</v>
      </c>
      <c r="I48" s="451">
        <f t="shared" si="1"/>
        <v>0</v>
      </c>
      <c r="J48" s="803">
        <v>0</v>
      </c>
      <c r="K48" s="802">
        <v>0</v>
      </c>
      <c r="L48" s="940">
        <v>0</v>
      </c>
      <c r="M48" s="964">
        <f t="shared" si="2"/>
        <v>0</v>
      </c>
    </row>
    <row r="49" spans="1:13" s="27" customFormat="1" ht="18.75">
      <c r="A49" s="765">
        <v>43</v>
      </c>
      <c r="B49" s="368"/>
      <c r="C49" s="800"/>
      <c r="D49" s="767"/>
      <c r="E49" s="804" t="s">
        <v>308</v>
      </c>
      <c r="F49" s="767"/>
      <c r="G49" s="801"/>
      <c r="H49" s="805">
        <f>SUM(H8+H32)</f>
        <v>879086527.79999995</v>
      </c>
      <c r="I49" s="451">
        <f t="shared" si="1"/>
        <v>1219758394.8</v>
      </c>
      <c r="J49" s="805">
        <f t="shared" ref="J49:K49" si="9">SUM(J8+J32)</f>
        <v>1219758394.8</v>
      </c>
      <c r="K49" s="805">
        <f t="shared" si="9"/>
        <v>0</v>
      </c>
      <c r="L49" s="941">
        <f t="shared" ref="L49" si="10">SUM(L8+L32)</f>
        <v>0</v>
      </c>
      <c r="M49" s="964">
        <f t="shared" si="2"/>
        <v>340671867</v>
      </c>
    </row>
    <row r="50" spans="1:13" s="46" customFormat="1" ht="18.75">
      <c r="A50" s="765">
        <v>44</v>
      </c>
      <c r="B50" s="806"/>
      <c r="C50" s="369" t="s">
        <v>309</v>
      </c>
      <c r="D50" s="807"/>
      <c r="E50" s="807"/>
      <c r="F50" s="807"/>
      <c r="G50" s="808"/>
      <c r="H50" s="809">
        <v>1</v>
      </c>
      <c r="I50" s="451">
        <f t="shared" si="1"/>
        <v>1</v>
      </c>
      <c r="J50" s="810">
        <v>1</v>
      </c>
      <c r="K50" s="811">
        <v>0</v>
      </c>
      <c r="L50" s="942"/>
      <c r="M50" s="964">
        <f t="shared" si="2"/>
        <v>0</v>
      </c>
    </row>
    <row r="51" spans="1:13" s="27" customFormat="1" ht="18.75">
      <c r="A51" s="765">
        <v>45</v>
      </c>
      <c r="B51" s="368"/>
      <c r="C51" s="369"/>
      <c r="D51" s="807"/>
      <c r="E51" s="807" t="s">
        <v>23</v>
      </c>
      <c r="F51" s="807"/>
      <c r="G51" s="808"/>
      <c r="H51" s="812">
        <v>4</v>
      </c>
      <c r="I51" s="451">
        <f t="shared" si="1"/>
        <v>4</v>
      </c>
      <c r="J51" s="813">
        <v>4</v>
      </c>
      <c r="K51" s="812">
        <v>0</v>
      </c>
      <c r="L51" s="943"/>
      <c r="M51" s="964">
        <f t="shared" si="2"/>
        <v>0</v>
      </c>
    </row>
    <row r="52" spans="1:13" s="27" customFormat="1" ht="18.75">
      <c r="A52" s="765">
        <v>46</v>
      </c>
      <c r="B52" s="368"/>
      <c r="C52" s="369"/>
      <c r="D52" s="807"/>
      <c r="E52" s="807" t="s">
        <v>315</v>
      </c>
      <c r="F52" s="807"/>
      <c r="G52" s="808"/>
      <c r="H52" s="812">
        <v>0</v>
      </c>
      <c r="I52" s="451">
        <f t="shared" si="1"/>
        <v>0</v>
      </c>
      <c r="J52" s="813">
        <v>0</v>
      </c>
      <c r="K52" s="812">
        <v>0</v>
      </c>
      <c r="L52" s="943"/>
      <c r="M52" s="964">
        <f t="shared" si="2"/>
        <v>0</v>
      </c>
    </row>
    <row r="53" spans="1:13" s="27" customFormat="1" ht="18.75">
      <c r="A53" s="765">
        <v>47</v>
      </c>
      <c r="B53" s="368"/>
      <c r="C53" s="369"/>
      <c r="D53" s="807"/>
      <c r="E53" s="807" t="s">
        <v>344</v>
      </c>
      <c r="F53" s="807"/>
      <c r="G53" s="808"/>
      <c r="H53" s="812">
        <v>95</v>
      </c>
      <c r="I53" s="451">
        <f t="shared" si="1"/>
        <v>95</v>
      </c>
      <c r="J53" s="813">
        <v>95</v>
      </c>
      <c r="K53" s="812">
        <v>0</v>
      </c>
      <c r="L53" s="943"/>
      <c r="M53" s="964">
        <f t="shared" si="2"/>
        <v>0</v>
      </c>
    </row>
    <row r="54" spans="1:13" s="27" customFormat="1" ht="18.75">
      <c r="A54" s="765">
        <v>48</v>
      </c>
      <c r="B54" s="814" t="s">
        <v>488</v>
      </c>
      <c r="C54" s="815"/>
      <c r="D54" s="815"/>
      <c r="E54" s="815"/>
      <c r="F54" s="815"/>
      <c r="G54" s="816"/>
      <c r="H54" s="817"/>
      <c r="I54" s="451">
        <f t="shared" si="1"/>
        <v>0</v>
      </c>
      <c r="J54" s="818"/>
      <c r="K54" s="812"/>
      <c r="L54" s="943"/>
      <c r="M54" s="964">
        <f t="shared" si="2"/>
        <v>0</v>
      </c>
    </row>
    <row r="55" spans="1:13" s="27" customFormat="1" ht="18.75">
      <c r="A55" s="765">
        <v>49</v>
      </c>
      <c r="B55" s="775">
        <v>1</v>
      </c>
      <c r="C55" s="776"/>
      <c r="D55" s="777"/>
      <c r="E55" s="1022" t="s">
        <v>222</v>
      </c>
      <c r="F55" s="1023"/>
      <c r="G55" s="1023"/>
      <c r="H55" s="819">
        <f>SUM(H56:H59)</f>
        <v>94532450</v>
      </c>
      <c r="I55" s="819">
        <f t="shared" ref="I55:J55" si="11">SUM(I56:I59)</f>
        <v>97434686</v>
      </c>
      <c r="J55" s="819">
        <f t="shared" si="11"/>
        <v>97434686</v>
      </c>
      <c r="K55" s="819">
        <f t="shared" ref="K55:L55" si="12">SUM(K56:K58)</f>
        <v>0</v>
      </c>
      <c r="L55" s="944">
        <f t="shared" si="12"/>
        <v>0</v>
      </c>
      <c r="M55" s="964">
        <f t="shared" si="2"/>
        <v>2902236</v>
      </c>
    </row>
    <row r="56" spans="1:13" s="27" customFormat="1" ht="18.75">
      <c r="A56" s="765">
        <v>50</v>
      </c>
      <c r="B56" s="775"/>
      <c r="C56" s="776">
        <v>1</v>
      </c>
      <c r="D56" s="777"/>
      <c r="E56" s="777"/>
      <c r="F56" s="1022" t="s">
        <v>25</v>
      </c>
      <c r="G56" s="1023"/>
      <c r="H56" s="820">
        <v>67265918</v>
      </c>
      <c r="I56" s="451">
        <f t="shared" si="1"/>
        <v>69315622</v>
      </c>
      <c r="J56" s="820">
        <f>67265918+1213307+190731+645666</f>
        <v>69315622</v>
      </c>
      <c r="K56" s="820">
        <v>0</v>
      </c>
      <c r="L56" s="945">
        <v>0</v>
      </c>
      <c r="M56" s="964">
        <f t="shared" si="2"/>
        <v>2049704</v>
      </c>
    </row>
    <row r="57" spans="1:13" s="27" customFormat="1" ht="19.5">
      <c r="A57" s="765">
        <v>51</v>
      </c>
      <c r="B57" s="781"/>
      <c r="C57" s="821">
        <v>2</v>
      </c>
      <c r="D57" s="822"/>
      <c r="E57" s="822"/>
      <c r="F57" s="1024" t="s">
        <v>275</v>
      </c>
      <c r="G57" s="1025"/>
      <c r="H57" s="820">
        <v>13336640</v>
      </c>
      <c r="I57" s="451">
        <f t="shared" si="1"/>
        <v>13809260</v>
      </c>
      <c r="J57" s="820">
        <f>13336640+129133+305341+38146</f>
        <v>13809260</v>
      </c>
      <c r="K57" s="820">
        <v>0</v>
      </c>
      <c r="L57" s="945">
        <v>0</v>
      </c>
      <c r="M57" s="964">
        <f t="shared" si="2"/>
        <v>472620</v>
      </c>
    </row>
    <row r="58" spans="1:13" s="27" customFormat="1" ht="19.5">
      <c r="A58" s="765">
        <v>52</v>
      </c>
      <c r="B58" s="781"/>
      <c r="C58" s="821">
        <v>3</v>
      </c>
      <c r="D58" s="822"/>
      <c r="E58" s="822"/>
      <c r="F58" s="1024" t="s">
        <v>30</v>
      </c>
      <c r="G58" s="1025"/>
      <c r="H58" s="820">
        <v>13929892</v>
      </c>
      <c r="I58" s="451">
        <f t="shared" si="1"/>
        <v>14219007</v>
      </c>
      <c r="J58" s="820">
        <f>13929892+289115</f>
        <v>14219007</v>
      </c>
      <c r="K58" s="820">
        <v>0</v>
      </c>
      <c r="L58" s="945">
        <v>0</v>
      </c>
      <c r="M58" s="964">
        <f t="shared" si="2"/>
        <v>289115</v>
      </c>
    </row>
    <row r="59" spans="1:13" s="27" customFormat="1" ht="19.5">
      <c r="A59" s="765"/>
      <c r="B59" s="781"/>
      <c r="C59" s="821">
        <v>4</v>
      </c>
      <c r="D59" s="822"/>
      <c r="E59" s="822"/>
      <c r="F59" s="886" t="s">
        <v>508</v>
      </c>
      <c r="G59" s="887"/>
      <c r="H59" s="820"/>
      <c r="I59" s="451">
        <v>90797</v>
      </c>
      <c r="J59" s="833">
        <v>90797</v>
      </c>
      <c r="K59" s="820"/>
      <c r="L59" s="945"/>
      <c r="M59" s="964">
        <f t="shared" si="2"/>
        <v>90797</v>
      </c>
    </row>
    <row r="60" spans="1:13" s="27" customFormat="1" ht="18.75">
      <c r="A60" s="765">
        <v>53</v>
      </c>
      <c r="B60" s="775"/>
      <c r="C60" s="369"/>
      <c r="D60" s="807"/>
      <c r="E60" s="804" t="s">
        <v>308</v>
      </c>
      <c r="F60" s="807"/>
      <c r="G60" s="808"/>
      <c r="H60" s="805">
        <f>H55</f>
        <v>94532450</v>
      </c>
      <c r="I60" s="451">
        <f t="shared" si="1"/>
        <v>97434686</v>
      </c>
      <c r="J60" s="823">
        <f t="shared" ref="J60:L60" si="13">J55</f>
        <v>97434686</v>
      </c>
      <c r="K60" s="805">
        <f t="shared" si="13"/>
        <v>0</v>
      </c>
      <c r="L60" s="941">
        <f t="shared" si="13"/>
        <v>0</v>
      </c>
      <c r="M60" s="964">
        <f t="shared" si="2"/>
        <v>2902236</v>
      </c>
    </row>
    <row r="61" spans="1:13" s="27" customFormat="1" ht="18.75">
      <c r="A61" s="765">
        <v>54</v>
      </c>
      <c r="B61" s="781"/>
      <c r="C61" s="369" t="s">
        <v>309</v>
      </c>
      <c r="D61" s="807"/>
      <c r="E61" s="807"/>
      <c r="F61" s="807"/>
      <c r="G61" s="808"/>
      <c r="H61" s="809">
        <v>23</v>
      </c>
      <c r="I61" s="451">
        <f t="shared" si="1"/>
        <v>23</v>
      </c>
      <c r="J61" s="810">
        <v>23</v>
      </c>
      <c r="K61" s="809">
        <v>0</v>
      </c>
      <c r="L61" s="946"/>
      <c r="M61" s="964">
        <f t="shared" si="2"/>
        <v>0</v>
      </c>
    </row>
    <row r="62" spans="1:13" s="27" customFormat="1" ht="19.5">
      <c r="A62" s="765">
        <v>55</v>
      </c>
      <c r="B62" s="824" t="s">
        <v>489</v>
      </c>
      <c r="C62" s="825"/>
      <c r="D62" s="825"/>
      <c r="E62" s="826"/>
      <c r="F62" s="827"/>
      <c r="G62" s="828"/>
      <c r="H62" s="829"/>
      <c r="I62" s="451">
        <f t="shared" si="1"/>
        <v>0</v>
      </c>
      <c r="J62" s="830"/>
      <c r="K62" s="829"/>
      <c r="L62" s="947"/>
      <c r="M62" s="964">
        <f t="shared" si="2"/>
        <v>0</v>
      </c>
    </row>
    <row r="63" spans="1:13" s="27" customFormat="1" ht="18.75">
      <c r="A63" s="765">
        <v>56</v>
      </c>
      <c r="B63" s="775">
        <v>1</v>
      </c>
      <c r="C63" s="776"/>
      <c r="D63" s="777"/>
      <c r="E63" s="1022" t="s">
        <v>222</v>
      </c>
      <c r="F63" s="1023"/>
      <c r="G63" s="1023"/>
      <c r="H63" s="820">
        <f>SUM(H64:H67)</f>
        <v>17579177</v>
      </c>
      <c r="I63" s="820">
        <f t="shared" ref="I63:J63" si="14">SUM(I64:I67)</f>
        <v>18093932</v>
      </c>
      <c r="J63" s="820">
        <f t="shared" si="14"/>
        <v>18093932</v>
      </c>
      <c r="K63" s="820">
        <f t="shared" ref="K63" si="15">SUM(K64:K67)</f>
        <v>0</v>
      </c>
      <c r="L63" s="948">
        <f t="shared" ref="L63" si="16">SUM(L64:L66)</f>
        <v>0</v>
      </c>
      <c r="M63" s="964">
        <f t="shared" si="2"/>
        <v>514755</v>
      </c>
    </row>
    <row r="64" spans="1:13" s="27" customFormat="1" ht="18.75">
      <c r="A64" s="765">
        <v>57</v>
      </c>
      <c r="B64" s="775"/>
      <c r="C64" s="776">
        <v>1</v>
      </c>
      <c r="D64" s="777"/>
      <c r="E64" s="777"/>
      <c r="F64" s="1022" t="s">
        <v>25</v>
      </c>
      <c r="G64" s="1023"/>
      <c r="H64" s="820">
        <f>9792700-1380000</f>
        <v>8412700</v>
      </c>
      <c r="I64" s="451">
        <f t="shared" si="1"/>
        <v>8790461</v>
      </c>
      <c r="J64" s="820">
        <f>9792700-1380000+65088+312673</f>
        <v>8790461</v>
      </c>
      <c r="K64" s="820">
        <v>0</v>
      </c>
      <c r="L64" s="948">
        <v>0</v>
      </c>
      <c r="M64" s="964">
        <f t="shared" si="2"/>
        <v>377761</v>
      </c>
    </row>
    <row r="65" spans="1:13" s="27" customFormat="1" ht="19.5">
      <c r="A65" s="765">
        <v>58</v>
      </c>
      <c r="B65" s="781"/>
      <c r="C65" s="821">
        <v>2</v>
      </c>
      <c r="D65" s="822"/>
      <c r="E65" s="822"/>
      <c r="F65" s="1024" t="s">
        <v>275</v>
      </c>
      <c r="G65" s="1025"/>
      <c r="H65" s="831">
        <f>1909577-269100</f>
        <v>1640477</v>
      </c>
      <c r="I65" s="451">
        <f t="shared" si="1"/>
        <v>1716029</v>
      </c>
      <c r="J65" s="831">
        <f>1909577-269100+13018+62534</f>
        <v>1716029</v>
      </c>
      <c r="K65" s="820">
        <v>0</v>
      </c>
      <c r="L65" s="948">
        <v>0</v>
      </c>
      <c r="M65" s="964">
        <f t="shared" si="2"/>
        <v>75552</v>
      </c>
    </row>
    <row r="66" spans="1:13" s="27" customFormat="1" ht="19.5">
      <c r="A66" s="765">
        <v>59</v>
      </c>
      <c r="B66" s="781"/>
      <c r="C66" s="821">
        <v>3</v>
      </c>
      <c r="D66" s="822"/>
      <c r="E66" s="822"/>
      <c r="F66" s="1024" t="s">
        <v>30</v>
      </c>
      <c r="G66" s="1025"/>
      <c r="H66" s="820">
        <f>14826000-2800000-4500000</f>
        <v>7526000</v>
      </c>
      <c r="I66" s="451">
        <f t="shared" si="1"/>
        <v>7526000</v>
      </c>
      <c r="J66" s="820">
        <v>7526000</v>
      </c>
      <c r="K66" s="820">
        <v>0</v>
      </c>
      <c r="L66" s="948">
        <v>0</v>
      </c>
      <c r="M66" s="964">
        <f t="shared" si="2"/>
        <v>0</v>
      </c>
    </row>
    <row r="67" spans="1:13" s="27" customFormat="1" ht="19.5">
      <c r="A67" s="765"/>
      <c r="B67" s="781"/>
      <c r="C67" s="821">
        <v>4</v>
      </c>
      <c r="D67" s="822"/>
      <c r="E67" s="926"/>
      <c r="F67" s="887" t="s">
        <v>508</v>
      </c>
      <c r="G67" s="887"/>
      <c r="H67" s="832"/>
      <c r="I67" s="451">
        <v>61442</v>
      </c>
      <c r="J67" s="833">
        <v>61442</v>
      </c>
      <c r="K67" s="820"/>
      <c r="L67" s="948"/>
      <c r="M67" s="964">
        <f t="shared" si="2"/>
        <v>61442</v>
      </c>
    </row>
    <row r="68" spans="1:13" s="27" customFormat="1" ht="19.5">
      <c r="A68" s="765">
        <v>60</v>
      </c>
      <c r="B68" s="781"/>
      <c r="C68" s="821"/>
      <c r="D68" s="822"/>
      <c r="E68" s="1022" t="s">
        <v>253</v>
      </c>
      <c r="F68" s="1023"/>
      <c r="G68" s="1023"/>
      <c r="H68" s="832"/>
      <c r="I68" s="451">
        <f t="shared" si="1"/>
        <v>0</v>
      </c>
      <c r="J68" s="833"/>
      <c r="K68" s="820"/>
      <c r="L68" s="948"/>
      <c r="M68" s="964">
        <f t="shared" si="2"/>
        <v>0</v>
      </c>
    </row>
    <row r="69" spans="1:13" s="27" customFormat="1" ht="19.5">
      <c r="A69" s="765">
        <v>61</v>
      </c>
      <c r="B69" s="781"/>
      <c r="C69" s="821"/>
      <c r="D69" s="822"/>
      <c r="E69" s="822"/>
      <c r="F69" s="1022" t="s">
        <v>295</v>
      </c>
      <c r="G69" s="1023"/>
      <c r="H69" s="820">
        <v>0</v>
      </c>
      <c r="I69" s="451">
        <f t="shared" si="1"/>
        <v>0</v>
      </c>
      <c r="J69" s="833"/>
      <c r="K69" s="820"/>
      <c r="L69" s="948"/>
      <c r="M69" s="964">
        <f t="shared" si="2"/>
        <v>0</v>
      </c>
    </row>
    <row r="70" spans="1:13" s="27" customFormat="1" ht="18.75">
      <c r="A70" s="765">
        <v>62</v>
      </c>
      <c r="B70" s="368"/>
      <c r="C70" s="369"/>
      <c r="D70" s="767"/>
      <c r="E70" s="804" t="s">
        <v>308</v>
      </c>
      <c r="F70" s="767"/>
      <c r="G70" s="801"/>
      <c r="H70" s="805">
        <f>H63</f>
        <v>17579177</v>
      </c>
      <c r="I70" s="451">
        <f t="shared" si="1"/>
        <v>18093932</v>
      </c>
      <c r="J70" s="823">
        <f>J63</f>
        <v>18093932</v>
      </c>
      <c r="K70" s="805">
        <f>K63</f>
        <v>0</v>
      </c>
      <c r="L70" s="941">
        <f>L63</f>
        <v>0</v>
      </c>
      <c r="M70" s="964">
        <f t="shared" si="2"/>
        <v>514755</v>
      </c>
    </row>
    <row r="71" spans="1:13" s="27" customFormat="1" ht="18.75">
      <c r="A71" s="765">
        <v>63</v>
      </c>
      <c r="B71" s="368"/>
      <c r="C71" s="369" t="s">
        <v>310</v>
      </c>
      <c r="D71" s="807"/>
      <c r="E71" s="807"/>
      <c r="F71" s="807"/>
      <c r="G71" s="808"/>
      <c r="H71" s="809">
        <v>4</v>
      </c>
      <c r="I71" s="451">
        <f t="shared" si="1"/>
        <v>4</v>
      </c>
      <c r="J71" s="810">
        <v>4</v>
      </c>
      <c r="K71" s="809"/>
      <c r="L71" s="946"/>
      <c r="M71" s="964">
        <f t="shared" si="2"/>
        <v>0</v>
      </c>
    </row>
    <row r="72" spans="1:13" s="27" customFormat="1" ht="18.75">
      <c r="A72" s="765">
        <v>64</v>
      </c>
      <c r="B72" s="368"/>
      <c r="C72" s="369"/>
      <c r="D72" s="767" t="s">
        <v>317</v>
      </c>
      <c r="E72" s="834"/>
      <c r="F72" s="834"/>
      <c r="G72" s="835"/>
      <c r="H72" s="809">
        <v>0</v>
      </c>
      <c r="I72" s="451">
        <f t="shared" si="1"/>
        <v>0</v>
      </c>
      <c r="J72" s="810">
        <v>0</v>
      </c>
      <c r="K72" s="809"/>
      <c r="L72" s="946"/>
      <c r="M72" s="964">
        <f t="shared" si="2"/>
        <v>0</v>
      </c>
    </row>
    <row r="73" spans="1:13" s="27" customFormat="1" ht="18.75">
      <c r="A73" s="765">
        <v>65</v>
      </c>
      <c r="B73" s="814" t="s">
        <v>490</v>
      </c>
      <c r="C73" s="369"/>
      <c r="D73" s="767"/>
      <c r="E73" s="767"/>
      <c r="F73" s="801"/>
      <c r="G73" s="836"/>
      <c r="H73" s="809"/>
      <c r="I73" s="451">
        <f t="shared" si="1"/>
        <v>0</v>
      </c>
      <c r="J73" s="810"/>
      <c r="K73" s="809"/>
      <c r="L73" s="946"/>
      <c r="M73" s="964">
        <f t="shared" si="2"/>
        <v>0</v>
      </c>
    </row>
    <row r="74" spans="1:13" s="27" customFormat="1" ht="18.75">
      <c r="A74" s="765">
        <v>66</v>
      </c>
      <c r="B74" s="775">
        <v>1</v>
      </c>
      <c r="C74" s="776"/>
      <c r="D74" s="777"/>
      <c r="E74" s="1022" t="s">
        <v>222</v>
      </c>
      <c r="F74" s="1023"/>
      <c r="G74" s="1023"/>
      <c r="H74" s="820">
        <f>SUM(H75:H78)</f>
        <v>9985459</v>
      </c>
      <c r="I74" s="820">
        <f t="shared" ref="I74:J74" si="17">SUM(I75:I78)</f>
        <v>10265378</v>
      </c>
      <c r="J74" s="820">
        <f t="shared" si="17"/>
        <v>10265378</v>
      </c>
      <c r="K74" s="820">
        <f t="shared" ref="K74:L74" si="18">SUM(K75:K77)</f>
        <v>0</v>
      </c>
      <c r="L74" s="948">
        <f t="shared" si="18"/>
        <v>0</v>
      </c>
      <c r="M74" s="964">
        <f t="shared" si="2"/>
        <v>279919</v>
      </c>
    </row>
    <row r="75" spans="1:13" s="27" customFormat="1" ht="18.75">
      <c r="A75" s="765">
        <v>67</v>
      </c>
      <c r="B75" s="775"/>
      <c r="C75" s="776">
        <v>1</v>
      </c>
      <c r="D75" s="777"/>
      <c r="E75" s="777"/>
      <c r="F75" s="1022" t="s">
        <v>25</v>
      </c>
      <c r="G75" s="1023"/>
      <c r="H75" s="820">
        <v>5470333</v>
      </c>
      <c r="I75" s="451">
        <f t="shared" ref="I75:I99" si="19">J75+K75</f>
        <v>5863017</v>
      </c>
      <c r="J75" s="820">
        <f>5470333+9455+383229</f>
        <v>5863017</v>
      </c>
      <c r="K75" s="820">
        <v>0</v>
      </c>
      <c r="L75" s="948">
        <v>0</v>
      </c>
      <c r="M75" s="964">
        <f t="shared" ref="M75:M106" si="20">I75-H75</f>
        <v>392684</v>
      </c>
    </row>
    <row r="76" spans="1:13" s="27" customFormat="1" ht="19.5">
      <c r="A76" s="765">
        <v>68</v>
      </c>
      <c r="B76" s="781"/>
      <c r="C76" s="821">
        <v>2</v>
      </c>
      <c r="D76" s="822"/>
      <c r="E76" s="822"/>
      <c r="F76" s="1024" t="s">
        <v>275</v>
      </c>
      <c r="G76" s="1025"/>
      <c r="H76" s="820">
        <v>1077126</v>
      </c>
      <c r="I76" s="451">
        <f t="shared" si="19"/>
        <v>1155663</v>
      </c>
      <c r="J76" s="820">
        <f>1077126+1891+76646</f>
        <v>1155663</v>
      </c>
      <c r="K76" s="820">
        <v>0</v>
      </c>
      <c r="L76" s="948">
        <v>0</v>
      </c>
      <c r="M76" s="964">
        <f t="shared" si="20"/>
        <v>78537</v>
      </c>
    </row>
    <row r="77" spans="1:13" s="27" customFormat="1" ht="19.5">
      <c r="A77" s="765">
        <v>69</v>
      </c>
      <c r="B77" s="781"/>
      <c r="C77" s="821">
        <v>3</v>
      </c>
      <c r="D77" s="822"/>
      <c r="E77" s="822"/>
      <c r="F77" s="1024" t="s">
        <v>30</v>
      </c>
      <c r="G77" s="1025"/>
      <c r="H77" s="820">
        <f>3603000-165000</f>
        <v>3438000</v>
      </c>
      <c r="I77" s="451">
        <f>J77+K77</f>
        <v>3198000</v>
      </c>
      <c r="J77" s="820">
        <f>3603000-165000-240000</f>
        <v>3198000</v>
      </c>
      <c r="K77" s="820">
        <v>0</v>
      </c>
      <c r="L77" s="948">
        <v>0</v>
      </c>
      <c r="M77" s="964">
        <f t="shared" si="20"/>
        <v>-240000</v>
      </c>
    </row>
    <row r="78" spans="1:13" s="27" customFormat="1" ht="19.5">
      <c r="A78" s="765"/>
      <c r="B78" s="781"/>
      <c r="C78" s="821">
        <v>4</v>
      </c>
      <c r="D78" s="822"/>
      <c r="E78" s="926"/>
      <c r="F78" s="887" t="s">
        <v>508</v>
      </c>
      <c r="G78" s="887"/>
      <c r="H78" s="820"/>
      <c r="I78" s="451">
        <v>48698</v>
      </c>
      <c r="J78" s="833">
        <v>48698</v>
      </c>
      <c r="K78" s="820"/>
      <c r="L78" s="948"/>
      <c r="M78" s="964">
        <f t="shared" si="20"/>
        <v>48698</v>
      </c>
    </row>
    <row r="79" spans="1:13" s="27" customFormat="1" ht="18.75">
      <c r="A79" s="765">
        <v>70</v>
      </c>
      <c r="B79" s="775">
        <v>2</v>
      </c>
      <c r="C79" s="776"/>
      <c r="D79" s="777"/>
      <c r="E79" s="1022" t="s">
        <v>253</v>
      </c>
      <c r="F79" s="1023"/>
      <c r="G79" s="1023"/>
      <c r="H79" s="820">
        <f t="shared" ref="H79:L79" si="21">SUM(H80:H82)</f>
        <v>0</v>
      </c>
      <c r="I79" s="451">
        <f t="shared" si="19"/>
        <v>369855</v>
      </c>
      <c r="J79" s="833">
        <f t="shared" si="21"/>
        <v>369855</v>
      </c>
      <c r="K79" s="820">
        <f t="shared" si="21"/>
        <v>0</v>
      </c>
      <c r="L79" s="948">
        <f t="shared" si="21"/>
        <v>0</v>
      </c>
      <c r="M79" s="964">
        <f t="shared" si="20"/>
        <v>369855</v>
      </c>
    </row>
    <row r="80" spans="1:13" s="27" customFormat="1" ht="18.75">
      <c r="A80" s="765">
        <v>71</v>
      </c>
      <c r="B80" s="368"/>
      <c r="C80" s="776">
        <v>1</v>
      </c>
      <c r="D80" s="767"/>
      <c r="E80" s="767"/>
      <c r="F80" s="1022" t="s">
        <v>295</v>
      </c>
      <c r="G80" s="1023"/>
      <c r="H80" s="820"/>
      <c r="I80" s="451">
        <f t="shared" si="19"/>
        <v>369855</v>
      </c>
      <c r="J80" s="833">
        <f>129855+240000</f>
        <v>369855</v>
      </c>
      <c r="K80" s="820"/>
      <c r="L80" s="948">
        <v>0</v>
      </c>
      <c r="M80" s="964">
        <f t="shared" si="20"/>
        <v>369855</v>
      </c>
    </row>
    <row r="81" spans="1:13" s="27" customFormat="1" ht="18.75">
      <c r="A81" s="765">
        <v>72</v>
      </c>
      <c r="B81" s="368"/>
      <c r="C81" s="776">
        <v>2</v>
      </c>
      <c r="D81" s="767"/>
      <c r="E81" s="767"/>
      <c r="F81" s="1022" t="s">
        <v>296</v>
      </c>
      <c r="G81" s="1023"/>
      <c r="H81" s="820">
        <v>0</v>
      </c>
      <c r="I81" s="451">
        <f t="shared" si="19"/>
        <v>0</v>
      </c>
      <c r="J81" s="833">
        <v>0</v>
      </c>
      <c r="K81" s="820">
        <v>0</v>
      </c>
      <c r="L81" s="948">
        <v>0</v>
      </c>
      <c r="M81" s="964">
        <f t="shared" si="20"/>
        <v>0</v>
      </c>
    </row>
    <row r="82" spans="1:13" s="27" customFormat="1" ht="18.75">
      <c r="A82" s="765">
        <v>73</v>
      </c>
      <c r="B82" s="368"/>
      <c r="C82" s="776">
        <v>3</v>
      </c>
      <c r="D82" s="767"/>
      <c r="E82" s="767"/>
      <c r="F82" s="1022" t="s">
        <v>297</v>
      </c>
      <c r="G82" s="1023"/>
      <c r="H82" s="820">
        <v>0</v>
      </c>
      <c r="I82" s="451">
        <f t="shared" si="19"/>
        <v>0</v>
      </c>
      <c r="J82" s="833">
        <v>0</v>
      </c>
      <c r="K82" s="820">
        <v>0</v>
      </c>
      <c r="L82" s="948">
        <v>0</v>
      </c>
      <c r="M82" s="964">
        <f t="shared" si="20"/>
        <v>0</v>
      </c>
    </row>
    <row r="83" spans="1:13" s="27" customFormat="1" ht="18.75">
      <c r="A83" s="765">
        <v>74</v>
      </c>
      <c r="B83" s="368"/>
      <c r="C83" s="369"/>
      <c r="D83" s="767"/>
      <c r="E83" s="804" t="s">
        <v>308</v>
      </c>
      <c r="F83" s="767"/>
      <c r="G83" s="801"/>
      <c r="H83" s="805">
        <f>H74+H79</f>
        <v>9985459</v>
      </c>
      <c r="I83" s="451">
        <f t="shared" si="19"/>
        <v>10635233</v>
      </c>
      <c r="J83" s="823">
        <f t="shared" ref="J83:L83" si="22">J74+J79</f>
        <v>10635233</v>
      </c>
      <c r="K83" s="805">
        <f t="shared" si="22"/>
        <v>0</v>
      </c>
      <c r="L83" s="941">
        <f t="shared" si="22"/>
        <v>0</v>
      </c>
      <c r="M83" s="964">
        <f t="shared" si="20"/>
        <v>649774</v>
      </c>
    </row>
    <row r="84" spans="1:13" s="27" customFormat="1" ht="19.5" thickBot="1">
      <c r="A84" s="837">
        <v>75</v>
      </c>
      <c r="B84" s="838"/>
      <c r="C84" s="839" t="s">
        <v>310</v>
      </c>
      <c r="D84" s="840"/>
      <c r="E84" s="840"/>
      <c r="F84" s="840"/>
      <c r="G84" s="841"/>
      <c r="H84" s="842">
        <v>2</v>
      </c>
      <c r="I84" s="451">
        <f t="shared" si="19"/>
        <v>2</v>
      </c>
      <c r="J84" s="843">
        <v>2</v>
      </c>
      <c r="K84" s="842"/>
      <c r="L84" s="949"/>
      <c r="M84" s="964">
        <f t="shared" si="20"/>
        <v>0</v>
      </c>
    </row>
    <row r="85" spans="1:13" s="27" customFormat="1" ht="18.75">
      <c r="A85" s="844">
        <v>87</v>
      </c>
      <c r="B85" s="845" t="s">
        <v>311</v>
      </c>
      <c r="C85" s="846"/>
      <c r="D85" s="847"/>
      <c r="E85" s="847"/>
      <c r="F85" s="847"/>
      <c r="G85" s="848"/>
      <c r="H85" s="849"/>
      <c r="I85" s="451">
        <f t="shared" si="19"/>
        <v>0</v>
      </c>
      <c r="J85" s="849"/>
      <c r="K85" s="849"/>
      <c r="L85" s="950"/>
      <c r="M85" s="964">
        <f t="shared" si="20"/>
        <v>0</v>
      </c>
    </row>
    <row r="86" spans="1:13" s="27" customFormat="1" ht="18.75">
      <c r="A86" s="850">
        <v>87</v>
      </c>
      <c r="B86" s="776">
        <v>1</v>
      </c>
      <c r="C86" s="776"/>
      <c r="D86" s="777"/>
      <c r="E86" s="1022" t="s">
        <v>222</v>
      </c>
      <c r="F86" s="1023"/>
      <c r="G86" s="1023"/>
      <c r="H86" s="851">
        <f>SUM(H87:H92)</f>
        <v>840974648.79999995</v>
      </c>
      <c r="I86" s="851">
        <f t="shared" ref="I86:J86" si="23">SUM(I87:I92)</f>
        <v>1184429025.8</v>
      </c>
      <c r="J86" s="851">
        <f t="shared" si="23"/>
        <v>1184429025.8</v>
      </c>
      <c r="K86" s="851">
        <f>SUM(K87:K92)</f>
        <v>0</v>
      </c>
      <c r="L86" s="951">
        <f>SUM(L87:L92)</f>
        <v>0</v>
      </c>
      <c r="M86" s="964">
        <f t="shared" si="20"/>
        <v>343454377</v>
      </c>
    </row>
    <row r="87" spans="1:13" s="27" customFormat="1" ht="18.75">
      <c r="A87" s="850">
        <v>88</v>
      </c>
      <c r="B87" s="800"/>
      <c r="C87" s="776">
        <v>1</v>
      </c>
      <c r="D87" s="777"/>
      <c r="E87" s="777"/>
      <c r="F87" s="1022" t="s">
        <v>25</v>
      </c>
      <c r="G87" s="1023"/>
      <c r="H87" s="820">
        <f>SUM(H9+H56+H64+H75)</f>
        <v>216530299</v>
      </c>
      <c r="I87" s="820">
        <f t="shared" ref="I87:J87" si="24">SUM(I9+I56+I64+I75)</f>
        <v>219350448</v>
      </c>
      <c r="J87" s="820">
        <f t="shared" si="24"/>
        <v>219350448</v>
      </c>
      <c r="K87" s="820">
        <f t="shared" ref="K87:L89" si="25">SUM(K9+K56+K64+K75)</f>
        <v>0</v>
      </c>
      <c r="L87" s="952">
        <f t="shared" si="25"/>
        <v>0</v>
      </c>
      <c r="M87" s="964">
        <f t="shared" si="20"/>
        <v>2820149</v>
      </c>
    </row>
    <row r="88" spans="1:13" s="46" customFormat="1" ht="19.5">
      <c r="A88" s="850">
        <v>89</v>
      </c>
      <c r="B88" s="852"/>
      <c r="C88" s="821">
        <v>2</v>
      </c>
      <c r="D88" s="822"/>
      <c r="E88" s="822"/>
      <c r="F88" s="1024" t="s">
        <v>275</v>
      </c>
      <c r="G88" s="1025"/>
      <c r="H88" s="820">
        <f>SUM(H10+H57+H65+H76)</f>
        <v>42088649</v>
      </c>
      <c r="I88" s="820">
        <f t="shared" ref="I88:J88" si="26">SUM(I10+I57+I65+I76)</f>
        <v>42715358</v>
      </c>
      <c r="J88" s="820">
        <f t="shared" si="26"/>
        <v>42715358</v>
      </c>
      <c r="K88" s="820">
        <f t="shared" si="25"/>
        <v>0</v>
      </c>
      <c r="L88" s="952">
        <f t="shared" si="25"/>
        <v>0</v>
      </c>
      <c r="M88" s="964">
        <f t="shared" si="20"/>
        <v>626709</v>
      </c>
    </row>
    <row r="89" spans="1:13" s="27" customFormat="1" ht="19.5">
      <c r="A89" s="850">
        <v>90</v>
      </c>
      <c r="B89" s="369"/>
      <c r="C89" s="821">
        <v>3</v>
      </c>
      <c r="D89" s="822"/>
      <c r="E89" s="822"/>
      <c r="F89" s="1024" t="s">
        <v>30</v>
      </c>
      <c r="G89" s="1025"/>
      <c r="H89" s="819">
        <f>SUM(H11+H58+H66+H77)</f>
        <v>163715069</v>
      </c>
      <c r="I89" s="819">
        <f t="shared" ref="I89:J89" si="27">SUM(I11+I58+I66+I77)</f>
        <v>249290090</v>
      </c>
      <c r="J89" s="819">
        <f t="shared" si="27"/>
        <v>249290090</v>
      </c>
      <c r="K89" s="819">
        <f t="shared" si="25"/>
        <v>0</v>
      </c>
      <c r="L89" s="953">
        <f t="shared" si="25"/>
        <v>0</v>
      </c>
      <c r="M89" s="964">
        <f t="shared" si="20"/>
        <v>85575021</v>
      </c>
    </row>
    <row r="90" spans="1:13" s="27" customFormat="1" ht="19.5">
      <c r="A90" s="850">
        <v>91</v>
      </c>
      <c r="B90" s="369"/>
      <c r="C90" s="821">
        <v>4</v>
      </c>
      <c r="D90" s="822"/>
      <c r="E90" s="822"/>
      <c r="F90" s="1024" t="s">
        <v>276</v>
      </c>
      <c r="G90" s="1025"/>
      <c r="H90" s="819">
        <f>H12</f>
        <v>27700000</v>
      </c>
      <c r="I90" s="819">
        <f t="shared" ref="I90:J90" si="28">I12</f>
        <v>27712540</v>
      </c>
      <c r="J90" s="819">
        <f t="shared" si="28"/>
        <v>27712540</v>
      </c>
      <c r="K90" s="819">
        <f>K12</f>
        <v>0</v>
      </c>
      <c r="L90" s="953">
        <f>L12</f>
        <v>0</v>
      </c>
      <c r="M90" s="964">
        <f t="shared" si="20"/>
        <v>12540</v>
      </c>
    </row>
    <row r="91" spans="1:13" s="27" customFormat="1" ht="18.75">
      <c r="A91" s="850">
        <v>92</v>
      </c>
      <c r="B91" s="369"/>
      <c r="C91" s="776">
        <v>5</v>
      </c>
      <c r="D91" s="767"/>
      <c r="E91" s="767"/>
      <c r="F91" s="1022" t="s">
        <v>281</v>
      </c>
      <c r="G91" s="1023"/>
      <c r="H91" s="819">
        <f>SUM(H17,H59,H67,H78)</f>
        <v>263403456.80000001</v>
      </c>
      <c r="I91" s="819">
        <f t="shared" ref="I91:J91" si="29">SUM(I17,I59,I67,I78)</f>
        <v>515765348.80000001</v>
      </c>
      <c r="J91" s="819">
        <f t="shared" si="29"/>
        <v>515765348.80000001</v>
      </c>
      <c r="K91" s="819">
        <f>SUM(K17)</f>
        <v>0</v>
      </c>
      <c r="L91" s="953">
        <f>SUM(L17)</f>
        <v>0</v>
      </c>
      <c r="M91" s="964">
        <f t="shared" si="20"/>
        <v>252361892</v>
      </c>
    </row>
    <row r="92" spans="1:13" s="27" customFormat="1" ht="18.75">
      <c r="A92" s="850">
        <v>93</v>
      </c>
      <c r="B92" s="369"/>
      <c r="C92" s="776">
        <v>6</v>
      </c>
      <c r="D92" s="777"/>
      <c r="E92" s="777"/>
      <c r="F92" s="777" t="s">
        <v>289</v>
      </c>
      <c r="G92" s="778"/>
      <c r="H92" s="853">
        <f>H25</f>
        <v>127537175</v>
      </c>
      <c r="I92" s="853">
        <f t="shared" ref="I92:J92" si="30">I25</f>
        <v>129595241</v>
      </c>
      <c r="J92" s="853">
        <f t="shared" si="30"/>
        <v>129595241</v>
      </c>
      <c r="K92" s="853">
        <f>K25</f>
        <v>0</v>
      </c>
      <c r="L92" s="954">
        <f>L25</f>
        <v>0</v>
      </c>
      <c r="M92" s="964">
        <f t="shared" si="20"/>
        <v>2058066</v>
      </c>
    </row>
    <row r="93" spans="1:13" s="27" customFormat="1" ht="18.75">
      <c r="A93" s="850">
        <v>94</v>
      </c>
      <c r="B93" s="776">
        <v>2</v>
      </c>
      <c r="C93" s="776"/>
      <c r="D93" s="777"/>
      <c r="E93" s="1022" t="s">
        <v>253</v>
      </c>
      <c r="F93" s="1023"/>
      <c r="G93" s="1023"/>
      <c r="H93" s="854">
        <f>SUM(H94:H97)</f>
        <v>160208965</v>
      </c>
      <c r="I93" s="854">
        <f t="shared" ref="I93:J93" si="31">SUM(I94:I97)</f>
        <v>161493220</v>
      </c>
      <c r="J93" s="854">
        <f t="shared" si="31"/>
        <v>161493220</v>
      </c>
      <c r="K93" s="854">
        <f t="shared" ref="K93:L93" si="32">SUM(K94:K97)</f>
        <v>0</v>
      </c>
      <c r="L93" s="955">
        <f t="shared" si="32"/>
        <v>0</v>
      </c>
      <c r="M93" s="964">
        <f t="shared" si="20"/>
        <v>1284255</v>
      </c>
    </row>
    <row r="94" spans="1:13" s="27" customFormat="1" ht="18.75">
      <c r="A94" s="850">
        <v>95</v>
      </c>
      <c r="B94" s="369"/>
      <c r="C94" s="776">
        <v>1</v>
      </c>
      <c r="D94" s="767"/>
      <c r="E94" s="767"/>
      <c r="F94" s="1022" t="s">
        <v>295</v>
      </c>
      <c r="G94" s="1023"/>
      <c r="H94" s="855">
        <f>+H69+H33+H80</f>
        <v>128648700</v>
      </c>
      <c r="I94" s="855">
        <f t="shared" ref="I94:J94" si="33">+I69+I33+I80</f>
        <v>129932955</v>
      </c>
      <c r="J94" s="855">
        <f t="shared" si="33"/>
        <v>129932955</v>
      </c>
      <c r="K94" s="855">
        <f>K33+K80</f>
        <v>0</v>
      </c>
      <c r="L94" s="956">
        <f>L33+L80</f>
        <v>0</v>
      </c>
      <c r="M94" s="964">
        <f t="shared" si="20"/>
        <v>1284255</v>
      </c>
    </row>
    <row r="95" spans="1:13" s="27" customFormat="1" ht="18.75">
      <c r="A95" s="850">
        <v>96</v>
      </c>
      <c r="B95" s="369"/>
      <c r="C95" s="776">
        <v>2</v>
      </c>
      <c r="D95" s="767"/>
      <c r="E95" s="767"/>
      <c r="F95" s="1022" t="s">
        <v>296</v>
      </c>
      <c r="G95" s="1023"/>
      <c r="H95" s="855">
        <f>H34</f>
        <v>31560265</v>
      </c>
      <c r="I95" s="855">
        <f t="shared" ref="I95:J95" si="34">I34</f>
        <v>31560265</v>
      </c>
      <c r="J95" s="855">
        <f t="shared" si="34"/>
        <v>31560265</v>
      </c>
      <c r="K95" s="855">
        <f>K34</f>
        <v>0</v>
      </c>
      <c r="L95" s="956">
        <f>L34</f>
        <v>0</v>
      </c>
      <c r="M95" s="964">
        <f t="shared" si="20"/>
        <v>0</v>
      </c>
    </row>
    <row r="96" spans="1:13" s="27" customFormat="1" ht="18.75">
      <c r="A96" s="850">
        <v>97</v>
      </c>
      <c r="B96" s="369"/>
      <c r="C96" s="776">
        <v>3</v>
      </c>
      <c r="D96" s="767"/>
      <c r="E96" s="767"/>
      <c r="F96" s="1022" t="s">
        <v>297</v>
      </c>
      <c r="G96" s="1023"/>
      <c r="H96" s="855">
        <f>H35</f>
        <v>0</v>
      </c>
      <c r="I96" s="855">
        <f t="shared" ref="I96:J96" si="35">I35</f>
        <v>0</v>
      </c>
      <c r="J96" s="855">
        <f t="shared" si="35"/>
        <v>0</v>
      </c>
      <c r="K96" s="855">
        <f>K35</f>
        <v>0</v>
      </c>
      <c r="L96" s="956">
        <f>L35</f>
        <v>0</v>
      </c>
      <c r="M96" s="964">
        <f t="shared" si="20"/>
        <v>0</v>
      </c>
    </row>
    <row r="97" spans="1:14" s="27" customFormat="1" ht="18.75">
      <c r="A97" s="850">
        <v>98</v>
      </c>
      <c r="B97" s="369"/>
      <c r="C97" s="776">
        <v>4</v>
      </c>
      <c r="D97" s="777"/>
      <c r="E97" s="777"/>
      <c r="F97" s="777" t="s">
        <v>289</v>
      </c>
      <c r="G97" s="778"/>
      <c r="H97" s="855">
        <f>H45</f>
        <v>0</v>
      </c>
      <c r="I97" s="855">
        <f t="shared" ref="I97:J97" si="36">I45</f>
        <v>0</v>
      </c>
      <c r="J97" s="855">
        <f t="shared" si="36"/>
        <v>0</v>
      </c>
      <c r="K97" s="855">
        <f>K45</f>
        <v>0</v>
      </c>
      <c r="L97" s="956">
        <f>L45</f>
        <v>0</v>
      </c>
      <c r="M97" s="964">
        <f t="shared" si="20"/>
        <v>0</v>
      </c>
    </row>
    <row r="98" spans="1:14" s="27" customFormat="1" ht="18.75">
      <c r="A98" s="850">
        <v>99</v>
      </c>
      <c r="B98" s="369"/>
      <c r="C98" s="369"/>
      <c r="D98" s="767"/>
      <c r="E98" s="804" t="s">
        <v>312</v>
      </c>
      <c r="F98" s="856"/>
      <c r="G98" s="857"/>
      <c r="H98" s="858">
        <f t="shared" ref="H98:L98" si="37">SUM(H86+H93)</f>
        <v>1001183613.8</v>
      </c>
      <c r="I98" s="858">
        <f t="shared" ref="I98:J98" si="38">SUM(I86+I93)</f>
        <v>1345922245.8</v>
      </c>
      <c r="J98" s="858">
        <f t="shared" si="38"/>
        <v>1345922245.8</v>
      </c>
      <c r="K98" s="858">
        <f t="shared" si="37"/>
        <v>0</v>
      </c>
      <c r="L98" s="957">
        <f t="shared" si="37"/>
        <v>0</v>
      </c>
      <c r="M98" s="964">
        <f t="shared" si="20"/>
        <v>344738632</v>
      </c>
    </row>
    <row r="99" spans="1:14" s="27" customFormat="1" ht="18.75">
      <c r="A99" s="850">
        <v>100</v>
      </c>
      <c r="B99" s="859" t="s">
        <v>313</v>
      </c>
      <c r="C99" s="860"/>
      <c r="D99" s="861"/>
      <c r="E99" s="861"/>
      <c r="F99" s="862"/>
      <c r="G99" s="835"/>
      <c r="H99" s="863"/>
      <c r="I99" s="451">
        <f t="shared" si="19"/>
        <v>0</v>
      </c>
      <c r="J99" s="863"/>
      <c r="K99" s="863"/>
      <c r="L99" s="958"/>
      <c r="M99" s="964">
        <f t="shared" si="20"/>
        <v>0</v>
      </c>
    </row>
    <row r="100" spans="1:14" s="27" customFormat="1" ht="18.75">
      <c r="A100" s="850">
        <v>101</v>
      </c>
      <c r="B100" s="369"/>
      <c r="C100" s="369"/>
      <c r="D100" s="767"/>
      <c r="E100" s="864" t="s">
        <v>106</v>
      </c>
      <c r="F100" s="865"/>
      <c r="G100" s="866"/>
      <c r="H100" s="867">
        <f>H49</f>
        <v>879086527.79999995</v>
      </c>
      <c r="I100" s="867">
        <f t="shared" ref="I100:J100" si="39">I49</f>
        <v>1219758394.8</v>
      </c>
      <c r="J100" s="867">
        <f t="shared" si="39"/>
        <v>1219758394.8</v>
      </c>
      <c r="K100" s="867">
        <f>K49</f>
        <v>0</v>
      </c>
      <c r="L100" s="959">
        <f>L49</f>
        <v>0</v>
      </c>
      <c r="M100" s="964">
        <f t="shared" si="20"/>
        <v>340671867</v>
      </c>
    </row>
    <row r="101" spans="1:14" s="27" customFormat="1" ht="18.75">
      <c r="A101" s="850">
        <v>102</v>
      </c>
      <c r="B101" s="369"/>
      <c r="C101" s="776"/>
      <c r="D101" s="864"/>
      <c r="E101" s="864" t="s">
        <v>65</v>
      </c>
      <c r="F101" s="864"/>
      <c r="G101" s="868"/>
      <c r="H101" s="811">
        <f>H60</f>
        <v>94532450</v>
      </c>
      <c r="I101" s="811">
        <f t="shared" ref="I101:J101" si="40">I60</f>
        <v>97434686</v>
      </c>
      <c r="J101" s="811">
        <f t="shared" si="40"/>
        <v>97434686</v>
      </c>
      <c r="K101" s="811">
        <f>K60</f>
        <v>0</v>
      </c>
      <c r="L101" s="960">
        <f>L60</f>
        <v>0</v>
      </c>
      <c r="M101" s="964">
        <f t="shared" si="20"/>
        <v>2902236</v>
      </c>
    </row>
    <row r="102" spans="1:14" s="27" customFormat="1" ht="18.75">
      <c r="A102" s="850">
        <v>103</v>
      </c>
      <c r="B102" s="369"/>
      <c r="C102" s="369"/>
      <c r="D102" s="767"/>
      <c r="E102" s="864" t="s">
        <v>1</v>
      </c>
      <c r="F102" s="864"/>
      <c r="G102" s="868"/>
      <c r="H102" s="811">
        <f>H70</f>
        <v>17579177</v>
      </c>
      <c r="I102" s="811">
        <f t="shared" ref="I102:J102" si="41">I70</f>
        <v>18093932</v>
      </c>
      <c r="J102" s="811">
        <f t="shared" si="41"/>
        <v>18093932</v>
      </c>
      <c r="K102" s="811">
        <f>K70</f>
        <v>0</v>
      </c>
      <c r="L102" s="960">
        <f>L70</f>
        <v>0</v>
      </c>
      <c r="M102" s="964">
        <f t="shared" si="20"/>
        <v>514755</v>
      </c>
    </row>
    <row r="103" spans="1:14" s="27" customFormat="1" ht="18.75">
      <c r="A103" s="850">
        <v>104</v>
      </c>
      <c r="B103" s="369"/>
      <c r="C103" s="369"/>
      <c r="D103" s="767"/>
      <c r="E103" s="869" t="s">
        <v>92</v>
      </c>
      <c r="F103" s="369"/>
      <c r="G103" s="801"/>
      <c r="H103" s="811">
        <f>H83</f>
        <v>9985459</v>
      </c>
      <c r="I103" s="811">
        <f t="shared" ref="I103:J103" si="42">I83</f>
        <v>10635233</v>
      </c>
      <c r="J103" s="811">
        <f t="shared" si="42"/>
        <v>10635233</v>
      </c>
      <c r="K103" s="811">
        <f>K83</f>
        <v>0</v>
      </c>
      <c r="L103" s="960">
        <f>L83</f>
        <v>0</v>
      </c>
      <c r="M103" s="964">
        <f t="shared" si="20"/>
        <v>649774</v>
      </c>
    </row>
    <row r="104" spans="1:14" s="27" customFormat="1" ht="18.75">
      <c r="A104" s="850">
        <v>106</v>
      </c>
      <c r="B104" s="369"/>
      <c r="C104" s="369"/>
      <c r="D104" s="767"/>
      <c r="E104" s="804" t="s">
        <v>312</v>
      </c>
      <c r="F104" s="804"/>
      <c r="G104" s="870"/>
      <c r="H104" s="805">
        <f>SUM(H100:H103)</f>
        <v>1001183613.8</v>
      </c>
      <c r="I104" s="805">
        <f t="shared" ref="I104:J104" si="43">SUM(I100:I103)</f>
        <v>1345922245.8</v>
      </c>
      <c r="J104" s="805">
        <f t="shared" si="43"/>
        <v>1345922245.8</v>
      </c>
      <c r="K104" s="805">
        <f>SUM(K100:K103)</f>
        <v>0</v>
      </c>
      <c r="L104" s="961">
        <f>SUM(L100:L103)</f>
        <v>0</v>
      </c>
      <c r="M104" s="964">
        <f t="shared" si="20"/>
        <v>344738632</v>
      </c>
      <c r="N104" s="26">
        <f>M104-M98</f>
        <v>0</v>
      </c>
    </row>
    <row r="105" spans="1:14" s="27" customFormat="1" ht="18.75">
      <c r="A105" s="850">
        <v>107</v>
      </c>
      <c r="B105" s="369"/>
      <c r="C105" s="369"/>
      <c r="D105" s="767"/>
      <c r="E105" s="864" t="s">
        <v>271</v>
      </c>
      <c r="F105" s="864"/>
      <c r="G105" s="868"/>
      <c r="H105" s="811">
        <f>H29</f>
        <v>113805236</v>
      </c>
      <c r="I105" s="811">
        <f t="shared" ref="I105:J105" si="44">I29</f>
        <v>115863302</v>
      </c>
      <c r="J105" s="811">
        <f t="shared" si="44"/>
        <v>115863302</v>
      </c>
      <c r="K105" s="811">
        <f>K29</f>
        <v>0</v>
      </c>
      <c r="L105" s="960">
        <f>L29</f>
        <v>0</v>
      </c>
      <c r="M105" s="964">
        <f t="shared" si="20"/>
        <v>2058066</v>
      </c>
    </row>
    <row r="106" spans="1:14" s="27" customFormat="1" ht="19.5" thickBot="1">
      <c r="A106" s="871">
        <v>108</v>
      </c>
      <c r="B106" s="872"/>
      <c r="C106" s="873"/>
      <c r="D106" s="874"/>
      <c r="E106" s="875" t="s">
        <v>314</v>
      </c>
      <c r="F106" s="874"/>
      <c r="G106" s="876"/>
      <c r="H106" s="877">
        <f t="shared" ref="H106:L106" si="45">H104-H105</f>
        <v>887378377.79999995</v>
      </c>
      <c r="I106" s="877">
        <f t="shared" ref="I106:J106" si="46">I104-I105</f>
        <v>1230058943.8</v>
      </c>
      <c r="J106" s="877">
        <f t="shared" si="46"/>
        <v>1230058943.8</v>
      </c>
      <c r="K106" s="877">
        <f t="shared" si="45"/>
        <v>0</v>
      </c>
      <c r="L106" s="962">
        <f t="shared" si="45"/>
        <v>0</v>
      </c>
      <c r="M106" s="964">
        <f t="shared" si="20"/>
        <v>342680566</v>
      </c>
    </row>
    <row r="107" spans="1:14" s="27" customFormat="1" ht="18.75">
      <c r="A107" s="878"/>
      <c r="B107" s="879"/>
      <c r="C107" s="880"/>
      <c r="D107" s="881"/>
      <c r="E107" s="881"/>
      <c r="F107" s="881"/>
      <c r="G107" s="881"/>
      <c r="H107" s="882"/>
      <c r="I107" s="882"/>
      <c r="J107" s="882"/>
      <c r="K107" s="882"/>
      <c r="L107" s="881"/>
      <c r="M107" s="772"/>
    </row>
    <row r="108" spans="1:14" s="27" customFormat="1" ht="18">
      <c r="A108" s="52"/>
      <c r="B108" s="58"/>
      <c r="C108" s="58"/>
      <c r="D108" s="54"/>
      <c r="E108" s="54"/>
      <c r="F108" s="54"/>
      <c r="G108" s="54"/>
      <c r="H108" s="253"/>
      <c r="I108" s="253"/>
      <c r="J108" s="253"/>
      <c r="K108" s="253"/>
      <c r="L108" s="54"/>
    </row>
    <row r="109" spans="1:14" s="27" customFormat="1" ht="18">
      <c r="A109" s="52"/>
      <c r="B109" s="58"/>
      <c r="C109" s="58"/>
      <c r="D109" s="54"/>
      <c r="E109" s="54"/>
      <c r="F109" s="54"/>
      <c r="G109" s="54"/>
      <c r="H109" s="253"/>
      <c r="I109" s="253"/>
      <c r="J109" s="253"/>
      <c r="K109" s="253"/>
      <c r="L109" s="54"/>
    </row>
    <row r="110" spans="1:14" s="27" customFormat="1" ht="18">
      <c r="A110" s="52"/>
      <c r="B110" s="58"/>
      <c r="C110" s="58"/>
      <c r="D110" s="54"/>
      <c r="E110" s="54"/>
      <c r="F110" s="54"/>
      <c r="G110" s="54"/>
      <c r="H110" s="253"/>
      <c r="I110" s="253"/>
      <c r="J110" s="253"/>
      <c r="K110" s="253"/>
      <c r="L110" s="54"/>
    </row>
    <row r="111" spans="1:14" s="27" customFormat="1" ht="18">
      <c r="A111" s="52"/>
      <c r="B111" s="58"/>
      <c r="C111" s="58"/>
      <c r="D111" s="54"/>
      <c r="E111" s="54"/>
      <c r="F111" s="54"/>
      <c r="G111" s="54"/>
      <c r="H111" s="253"/>
      <c r="I111" s="253"/>
      <c r="J111" s="253"/>
      <c r="K111" s="253"/>
      <c r="L111" s="54"/>
    </row>
    <row r="112" spans="1:14" s="27" customFormat="1" ht="18">
      <c r="A112" s="52"/>
      <c r="B112" s="58"/>
      <c r="C112" s="65"/>
      <c r="D112" s="67"/>
      <c r="E112" s="67"/>
      <c r="F112" s="67"/>
      <c r="G112" s="67"/>
      <c r="H112" s="254"/>
      <c r="I112" s="254"/>
      <c r="J112" s="254"/>
      <c r="K112" s="254"/>
      <c r="L112" s="67"/>
    </row>
    <row r="113" spans="1:12" s="46" customFormat="1" ht="18">
      <c r="A113" s="52"/>
      <c r="B113" s="68"/>
      <c r="C113" s="68"/>
      <c r="D113" s="56"/>
      <c r="E113" s="56"/>
      <c r="F113" s="56"/>
      <c r="G113" s="56"/>
      <c r="H113" s="255"/>
      <c r="I113" s="255"/>
      <c r="J113" s="255"/>
      <c r="K113" s="255"/>
      <c r="L113" s="56"/>
    </row>
    <row r="114" spans="1:12" s="27" customFormat="1" ht="18">
      <c r="A114" s="52"/>
      <c r="B114" s="61"/>
      <c r="C114" s="58"/>
      <c r="D114" s="54"/>
      <c r="E114" s="54"/>
      <c r="F114" s="53"/>
      <c r="G114" s="53"/>
      <c r="H114" s="256"/>
      <c r="I114" s="256"/>
      <c r="J114" s="256"/>
      <c r="K114" s="256"/>
      <c r="L114" s="53"/>
    </row>
    <row r="115" spans="1:12" s="27" customFormat="1" ht="18">
      <c r="A115" s="52"/>
      <c r="B115" s="61"/>
      <c r="C115" s="58"/>
      <c r="D115" s="54"/>
      <c r="E115" s="54"/>
      <c r="F115" s="53"/>
      <c r="G115" s="53"/>
      <c r="H115" s="256"/>
      <c r="I115" s="256"/>
      <c r="J115" s="256"/>
      <c r="K115" s="256"/>
      <c r="L115" s="53"/>
    </row>
    <row r="116" spans="1:12" s="27" customFormat="1" ht="18">
      <c r="A116" s="52"/>
      <c r="B116" s="61"/>
      <c r="C116" s="58"/>
      <c r="D116" s="54"/>
      <c r="E116" s="69"/>
      <c r="F116" s="69"/>
      <c r="G116" s="69"/>
      <c r="H116" s="257"/>
      <c r="I116" s="257"/>
      <c r="J116" s="257"/>
      <c r="K116" s="257"/>
      <c r="L116" s="69"/>
    </row>
    <row r="117" spans="1:12" s="27" customFormat="1" ht="18">
      <c r="A117" s="52"/>
      <c r="B117" s="61"/>
      <c r="C117" s="58"/>
      <c r="D117" s="54"/>
      <c r="E117" s="67"/>
      <c r="F117" s="60"/>
      <c r="G117" s="60"/>
      <c r="H117" s="258"/>
      <c r="I117" s="258"/>
      <c r="J117" s="258"/>
      <c r="K117" s="258"/>
      <c r="L117" s="60"/>
    </row>
    <row r="118" spans="1:12" s="27" customFormat="1" ht="18">
      <c r="A118" s="52"/>
      <c r="B118" s="61"/>
      <c r="C118" s="70"/>
      <c r="D118" s="54"/>
      <c r="E118" s="60"/>
      <c r="F118" s="60"/>
      <c r="G118" s="60"/>
      <c r="H118" s="258"/>
      <c r="I118" s="258"/>
      <c r="J118" s="258"/>
      <c r="K118" s="258"/>
      <c r="L118" s="60"/>
    </row>
    <row r="119" spans="1:12" s="27" customFormat="1" ht="18">
      <c r="A119" s="52"/>
      <c r="B119" s="61"/>
      <c r="C119" s="70"/>
      <c r="D119" s="54"/>
      <c r="E119" s="60"/>
      <c r="F119" s="60"/>
      <c r="G119" s="60"/>
      <c r="H119" s="258"/>
      <c r="I119" s="258"/>
      <c r="J119" s="258"/>
      <c r="K119" s="258"/>
      <c r="L119" s="60"/>
    </row>
    <row r="120" spans="1:12" s="27" customFormat="1" ht="18">
      <c r="A120" s="52"/>
      <c r="B120" s="61"/>
      <c r="C120" s="70"/>
      <c r="D120" s="54"/>
      <c r="E120" s="60"/>
      <c r="F120" s="60"/>
      <c r="G120" s="60"/>
      <c r="H120" s="258"/>
      <c r="I120" s="258"/>
      <c r="J120" s="258"/>
      <c r="K120" s="258"/>
      <c r="L120" s="60"/>
    </row>
    <row r="121" spans="1:12" s="27" customFormat="1" ht="18">
      <c r="A121" s="52"/>
      <c r="B121" s="61"/>
      <c r="C121" s="58"/>
      <c r="D121" s="54"/>
      <c r="E121" s="60"/>
      <c r="F121" s="60"/>
      <c r="G121" s="60"/>
      <c r="H121" s="258"/>
      <c r="I121" s="258"/>
      <c r="J121" s="258"/>
      <c r="K121" s="258"/>
      <c r="L121" s="60"/>
    </row>
    <row r="122" spans="1:12" s="27" customFormat="1" ht="18">
      <c r="A122" s="52"/>
      <c r="B122" s="61"/>
      <c r="C122" s="58"/>
      <c r="D122" s="54"/>
      <c r="E122" s="60"/>
      <c r="F122" s="60"/>
      <c r="G122" s="60"/>
      <c r="H122" s="258"/>
      <c r="I122" s="258"/>
      <c r="J122" s="258"/>
      <c r="K122" s="258"/>
      <c r="L122" s="60"/>
    </row>
    <row r="123" spans="1:12" s="27" customFormat="1" ht="18">
      <c r="A123" s="52"/>
      <c r="B123" s="61"/>
      <c r="C123" s="58"/>
      <c r="D123" s="54"/>
      <c r="E123" s="54"/>
      <c r="F123" s="53"/>
      <c r="G123" s="53"/>
      <c r="H123" s="256"/>
      <c r="I123" s="256"/>
      <c r="J123" s="256"/>
      <c r="K123" s="256"/>
      <c r="L123" s="53"/>
    </row>
    <row r="124" spans="1:12" s="27" customFormat="1" ht="18">
      <c r="A124" s="52"/>
      <c r="B124" s="61"/>
      <c r="C124" s="58"/>
      <c r="D124" s="54"/>
      <c r="E124" s="54"/>
      <c r="F124" s="53"/>
      <c r="G124" s="53"/>
      <c r="H124" s="256"/>
      <c r="I124" s="256"/>
      <c r="J124" s="256"/>
      <c r="K124" s="256"/>
      <c r="L124" s="53"/>
    </row>
    <row r="125" spans="1:12" s="27" customFormat="1" ht="18">
      <c r="A125" s="52"/>
      <c r="B125" s="61"/>
      <c r="C125" s="65"/>
      <c r="D125" s="67"/>
      <c r="E125" s="67"/>
      <c r="F125" s="67"/>
      <c r="G125" s="67"/>
      <c r="H125" s="254"/>
      <c r="I125" s="254"/>
      <c r="J125" s="254"/>
      <c r="K125" s="254"/>
      <c r="L125" s="67"/>
    </row>
    <row r="126" spans="1:12" s="27" customFormat="1">
      <c r="A126" s="52"/>
      <c r="B126" s="71"/>
      <c r="C126" s="71"/>
      <c r="D126" s="71"/>
      <c r="E126" s="71"/>
      <c r="F126" s="71"/>
      <c r="G126" s="71"/>
      <c r="H126" s="259"/>
      <c r="I126" s="259"/>
      <c r="J126" s="259"/>
      <c r="K126" s="259"/>
      <c r="L126" s="71"/>
    </row>
    <row r="127" spans="1:12" s="27" customFormat="1">
      <c r="A127" s="52"/>
      <c r="B127" s="71"/>
      <c r="C127" s="71"/>
      <c r="D127" s="71"/>
      <c r="E127" s="71"/>
      <c r="F127" s="71"/>
      <c r="G127" s="71"/>
      <c r="H127" s="259"/>
      <c r="I127" s="259"/>
      <c r="J127" s="259"/>
      <c r="K127" s="259"/>
      <c r="L127" s="71"/>
    </row>
    <row r="128" spans="1:12" s="27" customFormat="1">
      <c r="A128" s="52"/>
      <c r="B128" s="71"/>
      <c r="C128" s="71"/>
      <c r="D128" s="71"/>
      <c r="E128" s="71"/>
      <c r="F128" s="71"/>
      <c r="G128" s="71"/>
      <c r="H128" s="259"/>
      <c r="I128" s="259"/>
      <c r="J128" s="259"/>
      <c r="K128" s="259"/>
      <c r="L128" s="71"/>
    </row>
    <row r="129" spans="1:12" s="27" customFormat="1" ht="18">
      <c r="A129" s="52"/>
      <c r="B129" s="70"/>
      <c r="C129" s="58"/>
      <c r="D129" s="54"/>
      <c r="E129" s="54"/>
      <c r="F129" s="72"/>
      <c r="G129" s="72"/>
      <c r="H129" s="260"/>
      <c r="I129" s="260"/>
      <c r="J129" s="260"/>
      <c r="K129" s="260"/>
      <c r="L129" s="72"/>
    </row>
    <row r="130" spans="1:12" s="27" customFormat="1" ht="18">
      <c r="A130" s="52"/>
      <c r="B130" s="61"/>
      <c r="C130" s="65"/>
      <c r="D130" s="66"/>
      <c r="E130" s="66"/>
      <c r="F130" s="66"/>
      <c r="G130" s="66"/>
      <c r="H130" s="252"/>
      <c r="I130" s="252"/>
      <c r="J130" s="252"/>
      <c r="K130" s="252"/>
      <c r="L130" s="66"/>
    </row>
    <row r="131" spans="1:12" s="27" customFormat="1" ht="18">
      <c r="A131" s="52"/>
      <c r="B131" s="63"/>
      <c r="C131" s="65"/>
      <c r="D131" s="66"/>
      <c r="E131" s="66"/>
      <c r="F131" s="66"/>
      <c r="G131" s="66"/>
      <c r="H131" s="252"/>
      <c r="I131" s="252"/>
      <c r="J131" s="252"/>
      <c r="K131" s="252"/>
      <c r="L131" s="66"/>
    </row>
    <row r="132" spans="1:12" s="27" customFormat="1" ht="18">
      <c r="A132" s="52"/>
      <c r="B132" s="63"/>
      <c r="C132" s="65"/>
      <c r="D132" s="66"/>
      <c r="E132" s="66"/>
      <c r="F132" s="66"/>
      <c r="G132" s="66"/>
      <c r="H132" s="252"/>
      <c r="I132" s="252"/>
      <c r="J132" s="252"/>
      <c r="K132" s="252"/>
      <c r="L132" s="66"/>
    </row>
    <row r="133" spans="1:12" s="27" customFormat="1" ht="18">
      <c r="A133" s="52"/>
      <c r="B133" s="64"/>
      <c r="C133" s="64"/>
      <c r="D133" s="54"/>
      <c r="E133" s="54"/>
      <c r="F133" s="54"/>
      <c r="G133" s="54"/>
      <c r="H133" s="253"/>
      <c r="I133" s="253"/>
      <c r="J133" s="253"/>
      <c r="K133" s="253"/>
      <c r="L133" s="54"/>
    </row>
    <row r="134" spans="1:12" s="27" customFormat="1" ht="18">
      <c r="A134" s="52"/>
      <c r="B134" s="58"/>
      <c r="C134" s="58"/>
      <c r="D134" s="54"/>
      <c r="E134" s="54"/>
      <c r="F134" s="54"/>
      <c r="G134" s="54"/>
      <c r="H134" s="253"/>
      <c r="I134" s="253"/>
      <c r="J134" s="253"/>
      <c r="K134" s="253"/>
      <c r="L134" s="54"/>
    </row>
    <row r="135" spans="1:12" s="27" customFormat="1" ht="18">
      <c r="A135" s="52"/>
      <c r="B135" s="58"/>
      <c r="C135" s="58"/>
      <c r="D135" s="54"/>
      <c r="E135" s="54"/>
      <c r="F135" s="54"/>
      <c r="G135" s="54"/>
      <c r="H135" s="253"/>
      <c r="I135" s="253"/>
      <c r="J135" s="253"/>
      <c r="K135" s="253"/>
      <c r="L135" s="54"/>
    </row>
    <row r="136" spans="1:12" s="27" customFormat="1" ht="18">
      <c r="A136" s="52"/>
      <c r="B136" s="58"/>
      <c r="C136" s="58"/>
      <c r="D136" s="54"/>
      <c r="E136" s="54"/>
      <c r="F136" s="54"/>
      <c r="G136" s="54"/>
      <c r="H136" s="253"/>
      <c r="I136" s="253"/>
      <c r="J136" s="253"/>
      <c r="K136" s="253"/>
      <c r="L136" s="54"/>
    </row>
    <row r="137" spans="1:12" s="27" customFormat="1" ht="18">
      <c r="A137" s="52"/>
      <c r="B137" s="58"/>
      <c r="C137" s="70"/>
      <c r="D137" s="66"/>
      <c r="E137" s="66"/>
      <c r="F137" s="66"/>
      <c r="G137" s="66"/>
      <c r="H137" s="252"/>
      <c r="I137" s="252"/>
      <c r="J137" s="252"/>
      <c r="K137" s="252"/>
      <c r="L137" s="66"/>
    </row>
    <row r="138" spans="1:12" s="27" customFormat="1" ht="18">
      <c r="A138" s="52"/>
      <c r="B138" s="64"/>
      <c r="C138" s="70"/>
      <c r="D138" s="66"/>
      <c r="E138" s="66"/>
      <c r="F138" s="66"/>
      <c r="G138" s="66"/>
      <c r="H138" s="252"/>
      <c r="I138" s="252"/>
      <c r="J138" s="252"/>
      <c r="K138" s="252"/>
      <c r="L138" s="66"/>
    </row>
    <row r="139" spans="1:12" s="27" customFormat="1" ht="18">
      <c r="A139" s="52"/>
      <c r="B139" s="61"/>
      <c r="C139" s="70"/>
      <c r="D139" s="66"/>
      <c r="E139" s="66"/>
      <c r="F139" s="66"/>
      <c r="G139" s="66"/>
      <c r="H139" s="252"/>
      <c r="I139" s="252"/>
      <c r="J139" s="252"/>
      <c r="K139" s="252"/>
      <c r="L139" s="66"/>
    </row>
    <row r="140" spans="1:12" s="46" customFormat="1" ht="18">
      <c r="A140" s="52"/>
      <c r="B140" s="68"/>
      <c r="C140" s="70"/>
      <c r="D140" s="66"/>
      <c r="E140" s="66"/>
      <c r="F140" s="66"/>
      <c r="G140" s="66"/>
      <c r="H140" s="252"/>
      <c r="I140" s="252"/>
      <c r="J140" s="252"/>
      <c r="K140" s="252"/>
      <c r="L140" s="66"/>
    </row>
    <row r="141" spans="1:12" s="27" customFormat="1" ht="18">
      <c r="A141" s="52"/>
      <c r="B141" s="70"/>
      <c r="C141" s="58"/>
      <c r="D141" s="73"/>
      <c r="E141" s="73"/>
      <c r="F141" s="73"/>
      <c r="G141" s="73"/>
      <c r="H141" s="261"/>
      <c r="I141" s="261"/>
      <c r="J141" s="261"/>
      <c r="K141" s="261"/>
      <c r="L141" s="73"/>
    </row>
    <row r="142" spans="1:12" s="27" customFormat="1" ht="18">
      <c r="A142" s="52"/>
      <c r="B142" s="58"/>
      <c r="C142" s="70"/>
      <c r="D142" s="57"/>
      <c r="E142" s="57"/>
      <c r="F142" s="57"/>
      <c r="G142" s="57"/>
      <c r="H142" s="262"/>
      <c r="I142" s="262"/>
      <c r="J142" s="262"/>
      <c r="K142" s="262"/>
      <c r="L142" s="57"/>
    </row>
    <row r="143" spans="1:12" s="27" customFormat="1" ht="18">
      <c r="A143" s="52"/>
      <c r="B143" s="58"/>
      <c r="C143" s="70"/>
      <c r="D143" s="57"/>
      <c r="E143" s="57"/>
      <c r="F143" s="57"/>
      <c r="G143" s="57"/>
      <c r="H143" s="262"/>
      <c r="I143" s="262"/>
      <c r="J143" s="262"/>
      <c r="K143" s="262"/>
      <c r="L143" s="57"/>
    </row>
    <row r="144" spans="1:12" s="27" customFormat="1" ht="18">
      <c r="A144" s="52"/>
      <c r="B144" s="58"/>
      <c r="C144" s="70"/>
      <c r="D144" s="57"/>
      <c r="E144" s="57"/>
      <c r="F144" s="57"/>
      <c r="G144" s="57"/>
      <c r="H144" s="262"/>
      <c r="I144" s="262"/>
      <c r="J144" s="262"/>
      <c r="K144" s="262"/>
      <c r="L144" s="57"/>
    </row>
    <row r="145" spans="1:12" s="27" customFormat="1" ht="18">
      <c r="A145" s="52"/>
      <c r="B145" s="70"/>
      <c r="C145" s="58"/>
      <c r="D145" s="73"/>
      <c r="E145" s="73"/>
      <c r="F145" s="73"/>
      <c r="G145" s="73"/>
      <c r="H145" s="261"/>
      <c r="I145" s="261"/>
      <c r="J145" s="261"/>
      <c r="K145" s="261"/>
      <c r="L145" s="73"/>
    </row>
    <row r="146" spans="1:12" s="27" customFormat="1" ht="18">
      <c r="A146" s="52"/>
      <c r="B146" s="58"/>
      <c r="C146" s="70"/>
      <c r="D146" s="57"/>
      <c r="E146" s="57"/>
      <c r="F146" s="57"/>
      <c r="G146" s="57"/>
      <c r="H146" s="262"/>
      <c r="I146" s="262"/>
      <c r="J146" s="262"/>
      <c r="K146" s="262"/>
      <c r="L146" s="57"/>
    </row>
    <row r="147" spans="1:12" s="27" customFormat="1" ht="18">
      <c r="A147" s="52"/>
      <c r="B147" s="64"/>
      <c r="C147" s="70"/>
      <c r="D147" s="57"/>
      <c r="E147" s="57"/>
      <c r="F147" s="57"/>
      <c r="G147" s="57"/>
      <c r="H147" s="262"/>
      <c r="I147" s="262"/>
      <c r="J147" s="262"/>
      <c r="K147" s="262"/>
      <c r="L147" s="57"/>
    </row>
    <row r="148" spans="1:12" s="27" customFormat="1" ht="18">
      <c r="A148" s="52"/>
      <c r="B148" s="70"/>
      <c r="C148" s="64"/>
      <c r="D148" s="73"/>
      <c r="E148" s="73"/>
      <c r="F148" s="73"/>
      <c r="G148" s="73"/>
      <c r="H148" s="261"/>
      <c r="I148" s="261"/>
      <c r="J148" s="261"/>
      <c r="K148" s="261"/>
      <c r="L148" s="73"/>
    </row>
    <row r="149" spans="1:12" s="27" customFormat="1" ht="18">
      <c r="A149" s="52"/>
      <c r="B149" s="64"/>
      <c r="C149" s="65"/>
      <c r="D149" s="57"/>
      <c r="E149" s="57"/>
      <c r="F149" s="57"/>
      <c r="G149" s="57"/>
      <c r="H149" s="262"/>
      <c r="I149" s="262"/>
      <c r="J149" s="262"/>
      <c r="K149" s="262"/>
      <c r="L149" s="57"/>
    </row>
    <row r="150" spans="1:12" s="27" customFormat="1" ht="18">
      <c r="A150" s="52"/>
      <c r="B150" s="58"/>
      <c r="C150" s="70"/>
      <c r="D150" s="57"/>
      <c r="E150" s="57"/>
      <c r="F150" s="57"/>
      <c r="G150" s="57"/>
      <c r="H150" s="262"/>
      <c r="I150" s="262"/>
      <c r="J150" s="262"/>
      <c r="K150" s="262"/>
      <c r="L150" s="57"/>
    </row>
    <row r="151" spans="1:12" s="27" customFormat="1" ht="18">
      <c r="A151" s="52"/>
      <c r="B151" s="58"/>
      <c r="C151" s="70"/>
      <c r="D151" s="57"/>
      <c r="E151" s="57"/>
      <c r="F151" s="57"/>
      <c r="G151" s="57"/>
      <c r="H151" s="262"/>
      <c r="I151" s="262"/>
      <c r="J151" s="262"/>
      <c r="K151" s="262"/>
      <c r="L151" s="57"/>
    </row>
    <row r="152" spans="1:12" s="27" customFormat="1" ht="18">
      <c r="A152" s="52"/>
      <c r="B152" s="58"/>
      <c r="C152" s="70"/>
      <c r="D152" s="57"/>
      <c r="E152" s="57"/>
      <c r="F152" s="57"/>
      <c r="G152" s="57"/>
      <c r="H152" s="262"/>
      <c r="I152" s="262"/>
      <c r="J152" s="262"/>
      <c r="K152" s="262"/>
      <c r="L152" s="57"/>
    </row>
    <row r="153" spans="1:12" s="27" customFormat="1" ht="18">
      <c r="A153" s="52"/>
      <c r="B153" s="58"/>
      <c r="C153" s="58"/>
      <c r="D153" s="74"/>
      <c r="E153" s="74"/>
      <c r="F153" s="74"/>
      <c r="G153" s="74"/>
      <c r="H153" s="263"/>
      <c r="I153" s="263"/>
      <c r="J153" s="263"/>
      <c r="K153" s="263"/>
      <c r="L153" s="74"/>
    </row>
    <row r="154" spans="1:12" s="27" customFormat="1" ht="18">
      <c r="A154" s="52"/>
      <c r="B154" s="64"/>
      <c r="C154" s="64"/>
      <c r="D154" s="54"/>
      <c r="E154" s="75"/>
      <c r="F154" s="76"/>
      <c r="G154" s="76"/>
      <c r="H154" s="264"/>
      <c r="I154" s="264"/>
      <c r="J154" s="264"/>
      <c r="K154" s="264"/>
      <c r="L154" s="76"/>
    </row>
    <row r="155" spans="1:12" s="27" customFormat="1" ht="18">
      <c r="A155" s="52"/>
      <c r="B155" s="77"/>
      <c r="C155" s="77"/>
      <c r="D155" s="59"/>
      <c r="E155" s="59"/>
      <c r="F155" s="59"/>
      <c r="G155" s="59"/>
      <c r="H155" s="265"/>
      <c r="I155" s="265"/>
      <c r="J155" s="265"/>
      <c r="K155" s="265"/>
      <c r="L155" s="59"/>
    </row>
    <row r="156" spans="1:12" s="27" customFormat="1" ht="18">
      <c r="A156" s="52"/>
      <c r="B156" s="78"/>
      <c r="C156" s="78"/>
      <c r="D156" s="59"/>
      <c r="E156" s="59"/>
      <c r="F156" s="59"/>
      <c r="G156" s="59"/>
      <c r="H156" s="265"/>
      <c r="I156" s="265"/>
      <c r="J156" s="265"/>
      <c r="K156" s="265"/>
      <c r="L156" s="59"/>
    </row>
    <row r="157" spans="1:12" s="27" customFormat="1" ht="18">
      <c r="A157" s="52"/>
      <c r="B157" s="78"/>
      <c r="C157" s="78"/>
      <c r="D157" s="59"/>
      <c r="E157" s="59"/>
      <c r="F157" s="59"/>
      <c r="G157" s="59"/>
      <c r="H157" s="265"/>
      <c r="I157" s="265"/>
      <c r="J157" s="265"/>
      <c r="K157" s="265"/>
      <c r="L157" s="59"/>
    </row>
    <row r="158" spans="1:12" s="27" customFormat="1" ht="18">
      <c r="A158" s="52"/>
      <c r="B158" s="78"/>
      <c r="C158" s="78"/>
      <c r="D158" s="59"/>
      <c r="E158" s="59"/>
      <c r="F158" s="79"/>
      <c r="G158" s="79"/>
      <c r="H158" s="266"/>
      <c r="I158" s="266"/>
      <c r="J158" s="266"/>
      <c r="K158" s="266"/>
      <c r="L158" s="79"/>
    </row>
    <row r="159" spans="1:12" s="27" customFormat="1" ht="18">
      <c r="A159" s="52"/>
      <c r="B159" s="78"/>
      <c r="C159" s="78"/>
      <c r="D159" s="59"/>
      <c r="E159" s="56"/>
      <c r="F159" s="56"/>
      <c r="G159" s="56"/>
      <c r="H159" s="255"/>
      <c r="I159" s="255"/>
      <c r="J159" s="255"/>
      <c r="K159" s="255"/>
      <c r="L159" s="56"/>
    </row>
    <row r="160" spans="1:12" s="27" customFormat="1" ht="18">
      <c r="A160" s="52"/>
      <c r="B160" s="77"/>
      <c r="C160" s="77"/>
      <c r="D160" s="56"/>
      <c r="E160" s="62"/>
      <c r="F160" s="62"/>
      <c r="G160" s="62"/>
      <c r="H160" s="267"/>
      <c r="I160" s="267"/>
      <c r="J160" s="267"/>
      <c r="K160" s="267"/>
      <c r="L160" s="62"/>
    </row>
    <row r="161" spans="1:12" s="27" customFormat="1" ht="18">
      <c r="A161" s="52"/>
      <c r="B161" s="77"/>
      <c r="C161" s="77"/>
      <c r="D161" s="56"/>
      <c r="E161" s="56"/>
      <c r="F161" s="56"/>
      <c r="G161" s="56"/>
      <c r="H161" s="255"/>
      <c r="I161" s="255"/>
      <c r="J161" s="255"/>
      <c r="K161" s="255"/>
      <c r="L161" s="56"/>
    </row>
    <row r="162" spans="1:12" s="27" customFormat="1" ht="18">
      <c r="A162" s="52"/>
      <c r="B162" s="78"/>
      <c r="C162" s="78"/>
      <c r="D162" s="54"/>
      <c r="E162" s="62"/>
      <c r="F162" s="54"/>
      <c r="G162" s="54"/>
      <c r="H162" s="253"/>
      <c r="I162" s="253"/>
      <c r="J162" s="253"/>
      <c r="K162" s="253"/>
      <c r="L162" s="54"/>
    </row>
    <row r="163" spans="1:12" s="27" customFormat="1" ht="18">
      <c r="A163" s="52"/>
      <c r="B163" s="78"/>
      <c r="C163" s="78"/>
      <c r="D163" s="54"/>
      <c r="E163" s="54"/>
      <c r="F163" s="54"/>
      <c r="G163" s="54"/>
      <c r="H163" s="253"/>
      <c r="I163" s="253"/>
      <c r="J163" s="253"/>
      <c r="K163" s="253"/>
      <c r="L163" s="54"/>
    </row>
    <row r="164" spans="1:12" s="27" customFormat="1" ht="18">
      <c r="A164" s="52"/>
      <c r="B164" s="78"/>
      <c r="C164" s="78"/>
      <c r="D164" s="57"/>
      <c r="E164" s="54"/>
      <c r="F164" s="54"/>
      <c r="G164" s="54"/>
      <c r="H164" s="253"/>
      <c r="I164" s="253"/>
      <c r="J164" s="253"/>
      <c r="K164" s="253"/>
      <c r="L164" s="54"/>
    </row>
    <row r="165" spans="1:12" s="27" customFormat="1" ht="18">
      <c r="A165" s="52"/>
      <c r="B165" s="78"/>
      <c r="C165" s="78"/>
      <c r="D165" s="57"/>
      <c r="E165" s="54"/>
      <c r="F165" s="54"/>
      <c r="G165" s="54"/>
      <c r="H165" s="253"/>
      <c r="I165" s="253"/>
      <c r="J165" s="253"/>
      <c r="K165" s="253"/>
      <c r="L165" s="54"/>
    </row>
    <row r="166" spans="1:12" s="46" customFormat="1" ht="18">
      <c r="A166" s="80"/>
      <c r="B166" s="81"/>
      <c r="C166" s="81"/>
      <c r="D166" s="74"/>
      <c r="E166" s="74"/>
      <c r="F166" s="74"/>
      <c r="G166" s="74"/>
      <c r="H166" s="263"/>
      <c r="I166" s="263"/>
      <c r="J166" s="263"/>
      <c r="K166" s="263"/>
      <c r="L166" s="74"/>
    </row>
    <row r="167" spans="1:12" s="27" customFormat="1" ht="18">
      <c r="A167" s="52"/>
      <c r="B167" s="58"/>
      <c r="C167" s="58"/>
      <c r="D167" s="62"/>
      <c r="E167" s="62"/>
      <c r="F167" s="54"/>
      <c r="G167" s="54"/>
      <c r="H167" s="253"/>
      <c r="I167" s="253"/>
      <c r="J167" s="253"/>
      <c r="K167" s="253"/>
      <c r="L167" s="54"/>
    </row>
    <row r="168" spans="1:12" s="27" customFormat="1" ht="18">
      <c r="A168" s="52"/>
      <c r="B168" s="58"/>
      <c r="C168" s="58"/>
      <c r="D168" s="62"/>
      <c r="E168" s="54"/>
      <c r="F168" s="54"/>
      <c r="G168" s="54"/>
      <c r="H168" s="253"/>
      <c r="I168" s="253"/>
      <c r="J168" s="253"/>
      <c r="K168" s="253"/>
      <c r="L168" s="54"/>
    </row>
    <row r="169" spans="1:12" s="27" customFormat="1" ht="18">
      <c r="A169" s="52"/>
      <c r="B169" s="58"/>
      <c r="C169" s="58"/>
      <c r="D169" s="62"/>
      <c r="E169" s="54"/>
      <c r="F169" s="54"/>
      <c r="G169" s="54"/>
      <c r="H169" s="253"/>
      <c r="I169" s="253"/>
      <c r="J169" s="253"/>
      <c r="K169" s="253"/>
      <c r="L169" s="54"/>
    </row>
    <row r="170" spans="1:12" s="27" customFormat="1" ht="18">
      <c r="A170" s="52"/>
      <c r="B170" s="58"/>
      <c r="C170" s="58"/>
      <c r="D170" s="54"/>
      <c r="E170" s="54"/>
      <c r="F170" s="54"/>
      <c r="G170" s="54"/>
      <c r="H170" s="253"/>
      <c r="I170" s="253"/>
      <c r="J170" s="253"/>
      <c r="K170" s="253"/>
      <c r="L170" s="54"/>
    </row>
    <row r="171" spans="1:12" s="27" customFormat="1" ht="18">
      <c r="A171" s="52"/>
      <c r="B171" s="82"/>
      <c r="C171" s="82"/>
      <c r="D171" s="59"/>
      <c r="E171" s="59"/>
      <c r="F171" s="59"/>
      <c r="G171" s="59"/>
      <c r="H171" s="265"/>
      <c r="I171" s="265"/>
      <c r="J171" s="265"/>
      <c r="K171" s="265"/>
      <c r="L171" s="59"/>
    </row>
    <row r="172" spans="1:12" s="27" customFormat="1" ht="18">
      <c r="A172" s="52"/>
      <c r="B172" s="82"/>
      <c r="C172" s="82"/>
      <c r="D172" s="59"/>
      <c r="E172" s="59"/>
      <c r="F172" s="59"/>
      <c r="G172" s="59"/>
      <c r="H172" s="265"/>
      <c r="I172" s="265"/>
      <c r="J172" s="265"/>
      <c r="K172" s="265"/>
      <c r="L172" s="59"/>
    </row>
    <row r="173" spans="1:12" s="27" customFormat="1" ht="18">
      <c r="A173" s="52"/>
      <c r="B173" s="82"/>
      <c r="C173" s="82"/>
      <c r="D173" s="59"/>
      <c r="E173" s="59"/>
      <c r="F173" s="59"/>
      <c r="G173" s="59"/>
      <c r="H173" s="265"/>
      <c r="I173" s="265"/>
      <c r="J173" s="265"/>
      <c r="K173" s="265"/>
      <c r="L173" s="59"/>
    </row>
    <row r="174" spans="1:12" s="27" customFormat="1" ht="18">
      <c r="A174" s="52"/>
      <c r="B174" s="82"/>
      <c r="C174" s="82"/>
      <c r="D174" s="59"/>
      <c r="E174" s="56"/>
      <c r="F174" s="56"/>
      <c r="G174" s="56"/>
      <c r="H174" s="255"/>
      <c r="I174" s="255"/>
      <c r="J174" s="255"/>
      <c r="K174" s="255"/>
      <c r="L174" s="56"/>
    </row>
    <row r="175" spans="1:12" s="46" customFormat="1" ht="18">
      <c r="A175" s="80"/>
      <c r="B175" s="68"/>
      <c r="C175" s="68"/>
      <c r="D175" s="56"/>
      <c r="E175" s="56"/>
      <c r="F175" s="56"/>
      <c r="G175" s="56"/>
      <c r="H175" s="255"/>
      <c r="I175" s="255"/>
      <c r="J175" s="255"/>
      <c r="K175" s="255"/>
      <c r="L175" s="56"/>
    </row>
    <row r="176" spans="1:12" s="27" customFormat="1" ht="18">
      <c r="A176" s="52"/>
      <c r="B176" s="58"/>
      <c r="C176" s="58"/>
      <c r="D176" s="54"/>
      <c r="E176" s="62"/>
      <c r="F176" s="54"/>
      <c r="G176" s="54"/>
      <c r="H176" s="253"/>
      <c r="I176" s="253"/>
      <c r="J176" s="253"/>
      <c r="K176" s="253"/>
      <c r="L176" s="54"/>
    </row>
    <row r="177" spans="1:12" s="27" customFormat="1" ht="18">
      <c r="A177" s="52"/>
      <c r="B177" s="58"/>
      <c r="C177" s="58"/>
      <c r="D177" s="54"/>
      <c r="E177" s="62"/>
      <c r="F177" s="54"/>
      <c r="G177" s="54"/>
      <c r="H177" s="253"/>
      <c r="I177" s="253"/>
      <c r="J177" s="253"/>
      <c r="K177" s="253"/>
      <c r="L177" s="54"/>
    </row>
    <row r="178" spans="1:12" s="27" customFormat="1" ht="18">
      <c r="A178" s="52"/>
      <c r="B178" s="61"/>
      <c r="C178" s="61"/>
      <c r="D178" s="54"/>
      <c r="E178" s="54"/>
      <c r="F178" s="54"/>
      <c r="G178" s="54"/>
      <c r="H178" s="253"/>
      <c r="I178" s="253"/>
      <c r="J178" s="253"/>
      <c r="K178" s="253"/>
      <c r="L178" s="54"/>
    </row>
    <row r="179" spans="1:12" s="27" customFormat="1" ht="18">
      <c r="A179" s="52"/>
      <c r="B179" s="58"/>
      <c r="C179" s="58"/>
      <c r="D179" s="54"/>
      <c r="E179" s="54"/>
      <c r="F179" s="54"/>
      <c r="G179" s="54"/>
      <c r="H179" s="253"/>
      <c r="I179" s="253"/>
      <c r="J179" s="253"/>
      <c r="K179" s="253"/>
      <c r="L179" s="54"/>
    </row>
    <row r="180" spans="1:12" ht="18">
      <c r="A180" s="52"/>
      <c r="B180" s="58"/>
      <c r="C180" s="58"/>
      <c r="D180" s="54"/>
      <c r="E180" s="54"/>
      <c r="F180" s="54"/>
      <c r="G180" s="54"/>
      <c r="H180" s="253"/>
      <c r="I180" s="253"/>
      <c r="J180" s="253"/>
      <c r="K180" s="253"/>
      <c r="L180" s="54"/>
    </row>
    <row r="181" spans="1:12">
      <c r="A181" s="52"/>
      <c r="B181" s="36"/>
      <c r="C181" s="36"/>
      <c r="D181" s="36"/>
      <c r="E181" s="36"/>
      <c r="F181" s="36"/>
      <c r="G181" s="36"/>
      <c r="H181" s="268"/>
      <c r="I181" s="268"/>
      <c r="J181" s="268"/>
      <c r="K181" s="268"/>
      <c r="L181" s="36"/>
    </row>
    <row r="182" spans="1:12">
      <c r="A182" s="52"/>
      <c r="B182" s="36"/>
      <c r="C182" s="36"/>
      <c r="D182" s="36"/>
      <c r="E182" s="36"/>
      <c r="F182" s="36"/>
      <c r="G182" s="36"/>
      <c r="H182" s="268"/>
      <c r="I182" s="268"/>
      <c r="J182" s="268"/>
      <c r="K182" s="268"/>
      <c r="L182" s="36"/>
    </row>
    <row r="183" spans="1:12">
      <c r="A183" s="52"/>
      <c r="B183" s="36"/>
      <c r="C183" s="36"/>
      <c r="D183" s="36"/>
      <c r="E183" s="36"/>
      <c r="F183" s="36"/>
      <c r="G183" s="36"/>
      <c r="H183" s="268"/>
      <c r="I183" s="268"/>
      <c r="J183" s="268"/>
      <c r="K183" s="268"/>
      <c r="L183" s="36"/>
    </row>
    <row r="184" spans="1:12">
      <c r="A184" s="52"/>
      <c r="B184" s="36"/>
      <c r="C184" s="36"/>
      <c r="D184" s="36"/>
      <c r="E184" s="36"/>
      <c r="F184" s="36"/>
      <c r="G184" s="36"/>
      <c r="H184" s="268"/>
      <c r="I184" s="268"/>
      <c r="J184" s="268"/>
      <c r="K184" s="268"/>
      <c r="L184" s="36"/>
    </row>
    <row r="185" spans="1:12">
      <c r="A185" s="52"/>
      <c r="B185" s="36"/>
      <c r="C185" s="36"/>
      <c r="D185" s="36"/>
      <c r="E185" s="36"/>
      <c r="F185" s="36"/>
      <c r="G185" s="36"/>
      <c r="H185" s="268"/>
      <c r="I185" s="268"/>
      <c r="J185" s="268"/>
      <c r="K185" s="268"/>
      <c r="L185" s="36"/>
    </row>
    <row r="186" spans="1:12">
      <c r="A186" s="52"/>
      <c r="B186" s="36"/>
      <c r="C186" s="36"/>
      <c r="D186" s="36"/>
      <c r="E186" s="36"/>
      <c r="F186" s="36"/>
      <c r="G186" s="36"/>
      <c r="H186" s="268"/>
      <c r="I186" s="268"/>
      <c r="J186" s="268"/>
      <c r="K186" s="268"/>
      <c r="L186" s="36"/>
    </row>
    <row r="187" spans="1:12">
      <c r="A187" s="52"/>
      <c r="B187" s="36"/>
      <c r="C187" s="36"/>
      <c r="D187" s="36"/>
      <c r="E187" s="36"/>
      <c r="F187" s="36"/>
      <c r="G187" s="36"/>
      <c r="H187" s="268"/>
      <c r="I187" s="268"/>
      <c r="J187" s="268"/>
      <c r="K187" s="268"/>
      <c r="L187" s="36"/>
    </row>
    <row r="188" spans="1:12">
      <c r="A188" s="52"/>
      <c r="B188" s="36"/>
      <c r="C188" s="36"/>
      <c r="D188" s="36"/>
      <c r="E188" s="36"/>
      <c r="F188" s="36"/>
      <c r="G188" s="36"/>
      <c r="H188" s="268"/>
      <c r="I188" s="268"/>
      <c r="J188" s="268"/>
      <c r="K188" s="268"/>
      <c r="L188" s="36"/>
    </row>
    <row r="189" spans="1:12">
      <c r="A189" s="52"/>
      <c r="B189" s="36"/>
      <c r="C189" s="36"/>
      <c r="D189" s="36"/>
      <c r="E189" s="36"/>
      <c r="F189" s="36"/>
      <c r="G189" s="36"/>
      <c r="H189" s="268"/>
      <c r="I189" s="268"/>
      <c r="J189" s="268"/>
      <c r="K189" s="268"/>
      <c r="L189" s="36"/>
    </row>
    <row r="190" spans="1:12">
      <c r="A190" s="52"/>
      <c r="B190" s="36"/>
      <c r="C190" s="36"/>
      <c r="D190" s="36"/>
      <c r="E190" s="36"/>
      <c r="F190" s="36"/>
      <c r="G190" s="36"/>
      <c r="H190" s="268"/>
      <c r="I190" s="268"/>
      <c r="J190" s="268"/>
      <c r="K190" s="268"/>
      <c r="L190" s="36"/>
    </row>
    <row r="191" spans="1:12">
      <c r="A191" s="52"/>
      <c r="B191" s="36"/>
      <c r="C191" s="36"/>
      <c r="D191" s="36"/>
      <c r="E191" s="36"/>
      <c r="F191" s="36"/>
      <c r="G191" s="36"/>
      <c r="H191" s="268"/>
      <c r="I191" s="268"/>
      <c r="J191" s="268"/>
      <c r="K191" s="268"/>
      <c r="L191" s="36"/>
    </row>
    <row r="192" spans="1:12">
      <c r="A192" s="52"/>
      <c r="B192" s="36"/>
      <c r="C192" s="36"/>
      <c r="D192" s="36"/>
      <c r="E192" s="36"/>
      <c r="F192" s="36"/>
      <c r="G192" s="36"/>
      <c r="H192" s="268"/>
      <c r="I192" s="268"/>
      <c r="J192" s="268"/>
      <c r="K192" s="268"/>
      <c r="L192" s="36"/>
    </row>
    <row r="193" spans="1:12">
      <c r="A193" s="52"/>
      <c r="B193" s="36"/>
      <c r="C193" s="36"/>
      <c r="D193" s="36"/>
      <c r="E193" s="36"/>
      <c r="F193" s="36"/>
      <c r="G193" s="36"/>
      <c r="H193" s="268"/>
      <c r="I193" s="268"/>
      <c r="J193" s="268"/>
      <c r="K193" s="268"/>
      <c r="L193" s="36"/>
    </row>
    <row r="194" spans="1:12">
      <c r="A194" s="52"/>
    </row>
    <row r="195" spans="1:12">
      <c r="A195" s="52"/>
    </row>
    <row r="196" spans="1:12">
      <c r="A196" s="52"/>
    </row>
    <row r="197" spans="1:12">
      <c r="A197" s="52"/>
    </row>
    <row r="198" spans="1:12">
      <c r="A198" s="52"/>
    </row>
    <row r="199" spans="1:12">
      <c r="A199" s="52"/>
    </row>
    <row r="200" spans="1:12">
      <c r="A200" s="52"/>
    </row>
    <row r="201" spans="1:12">
      <c r="A201" s="52"/>
    </row>
    <row r="202" spans="1:12">
      <c r="A202" s="52"/>
    </row>
    <row r="203" spans="1:12">
      <c r="A203" s="52"/>
    </row>
    <row r="204" spans="1:12">
      <c r="A204" s="52"/>
    </row>
    <row r="205" spans="1:12">
      <c r="A205" s="52"/>
    </row>
    <row r="206" spans="1:12">
      <c r="A206" s="52"/>
    </row>
    <row r="207" spans="1:12">
      <c r="A207" s="52"/>
    </row>
    <row r="208" spans="1:12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  <row r="497" spans="1:1">
      <c r="A497" s="52"/>
    </row>
    <row r="498" spans="1:1">
      <c r="A498" s="52"/>
    </row>
    <row r="499" spans="1:1">
      <c r="A499" s="52"/>
    </row>
    <row r="500" spans="1:1">
      <c r="A500" s="52"/>
    </row>
    <row r="501" spans="1:1">
      <c r="A501" s="52"/>
    </row>
    <row r="502" spans="1:1">
      <c r="A502" s="52"/>
    </row>
    <row r="503" spans="1:1">
      <c r="A503" s="52"/>
    </row>
    <row r="504" spans="1:1">
      <c r="A504" s="52"/>
    </row>
  </sheetData>
  <mergeCells count="47">
    <mergeCell ref="F80:G80"/>
    <mergeCell ref="F81:G81"/>
    <mergeCell ref="F82:G82"/>
    <mergeCell ref="F96:G96"/>
    <mergeCell ref="E86:G86"/>
    <mergeCell ref="F87:G87"/>
    <mergeCell ref="F88:G88"/>
    <mergeCell ref="F89:G89"/>
    <mergeCell ref="F90:G90"/>
    <mergeCell ref="F91:G91"/>
    <mergeCell ref="E93:G93"/>
    <mergeCell ref="F94:G94"/>
    <mergeCell ref="F95:G95"/>
    <mergeCell ref="E79:G79"/>
    <mergeCell ref="F75:G75"/>
    <mergeCell ref="E55:G55"/>
    <mergeCell ref="F56:G56"/>
    <mergeCell ref="F57:G57"/>
    <mergeCell ref="F58:G58"/>
    <mergeCell ref="E63:G63"/>
    <mergeCell ref="F64:G64"/>
    <mergeCell ref="F65:G65"/>
    <mergeCell ref="F66:G66"/>
    <mergeCell ref="E68:G68"/>
    <mergeCell ref="F69:G69"/>
    <mergeCell ref="F10:G10"/>
    <mergeCell ref="F35:G35"/>
    <mergeCell ref="F12:G12"/>
    <mergeCell ref="F76:G76"/>
    <mergeCell ref="F77:G77"/>
    <mergeCell ref="F11:G11"/>
    <mergeCell ref="E74:G74"/>
    <mergeCell ref="F17:G17"/>
    <mergeCell ref="E32:G32"/>
    <mergeCell ref="F33:G33"/>
    <mergeCell ref="F34:G34"/>
    <mergeCell ref="B2:L2"/>
    <mergeCell ref="A5:A6"/>
    <mergeCell ref="B5:B6"/>
    <mergeCell ref="C5:C6"/>
    <mergeCell ref="D5:D6"/>
    <mergeCell ref="E5:E6"/>
    <mergeCell ref="M4:M6"/>
    <mergeCell ref="B7:G7"/>
    <mergeCell ref="E8:G8"/>
    <mergeCell ref="F9:G9"/>
    <mergeCell ref="F5:G5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65" orientation="landscape" r:id="rId1"/>
  <rowBreaks count="1" manualBreakCount="1">
    <brk id="5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view="pageBreakPreview" zoomScaleNormal="100" zoomScaleSheetLayoutView="100" workbookViewId="0">
      <selection sqref="A1:D1"/>
    </sheetView>
  </sheetViews>
  <sheetFormatPr defaultRowHeight="12.75"/>
  <cols>
    <col min="1" max="2" width="6" customWidth="1"/>
    <col min="3" max="3" width="65.42578125" customWidth="1"/>
    <col min="4" max="4" width="16.140625" bestFit="1" customWidth="1"/>
    <col min="5" max="5" width="12.28515625" customWidth="1"/>
    <col min="6" max="6" width="20.42578125" customWidth="1"/>
  </cols>
  <sheetData>
    <row r="1" spans="1:6" ht="32.25" customHeight="1">
      <c r="A1" s="1026" t="s">
        <v>519</v>
      </c>
      <c r="B1" s="1026"/>
      <c r="C1" s="1026"/>
      <c r="D1" s="1026"/>
    </row>
    <row r="3" spans="1:6" ht="15.75">
      <c r="A3" s="1027" t="s">
        <v>365</v>
      </c>
      <c r="B3" s="1027"/>
      <c r="C3" s="1027"/>
      <c r="D3" s="1027"/>
    </row>
    <row r="4" spans="1:6" ht="15.75">
      <c r="A4" s="1028" t="s">
        <v>444</v>
      </c>
      <c r="B4" s="1028"/>
      <c r="C4" s="1028"/>
      <c r="D4" s="1028"/>
    </row>
    <row r="5" spans="1:6" ht="16.5" thickBot="1">
      <c r="A5" s="471"/>
      <c r="B5" s="471"/>
      <c r="C5" s="471"/>
      <c r="D5" s="472" t="s">
        <v>200</v>
      </c>
    </row>
    <row r="6" spans="1:6" ht="16.5" thickBot="1">
      <c r="A6" s="473"/>
      <c r="B6" s="474" t="s">
        <v>205</v>
      </c>
      <c r="C6" s="474" t="s">
        <v>206</v>
      </c>
      <c r="D6" s="475" t="s">
        <v>207</v>
      </c>
    </row>
    <row r="7" spans="1:6" s="17" customFormat="1" ht="34.5" customHeight="1" thickBot="1">
      <c r="A7" s="476">
        <v>1</v>
      </c>
      <c r="B7" s="1031" t="s">
        <v>196</v>
      </c>
      <c r="C7" s="1032"/>
      <c r="D7" s="970" t="s">
        <v>415</v>
      </c>
      <c r="E7" s="577" t="s">
        <v>507</v>
      </c>
      <c r="F7" s="990" t="s">
        <v>505</v>
      </c>
    </row>
    <row r="8" spans="1:6" s="17" customFormat="1" ht="15.75">
      <c r="A8" s="477">
        <v>2</v>
      </c>
      <c r="B8" s="1035" t="s">
        <v>389</v>
      </c>
      <c r="C8" s="1036"/>
      <c r="D8" s="971"/>
      <c r="E8" s="577"/>
      <c r="F8" s="577"/>
    </row>
    <row r="9" spans="1:6" s="17" customFormat="1" ht="24.95" customHeight="1">
      <c r="A9" s="478">
        <v>3</v>
      </c>
      <c r="B9" s="1029" t="s">
        <v>366</v>
      </c>
      <c r="C9" s="1030"/>
      <c r="D9" s="972">
        <f>SUM(D10:D11)</f>
        <v>98799266</v>
      </c>
      <c r="E9" s="577"/>
      <c r="F9" s="991">
        <f>D9+E9</f>
        <v>98799266</v>
      </c>
    </row>
    <row r="10" spans="1:6" s="17" customFormat="1" ht="24.95" customHeight="1">
      <c r="A10" s="467">
        <v>4</v>
      </c>
      <c r="B10" s="467"/>
      <c r="C10" s="479" t="s">
        <v>367</v>
      </c>
      <c r="D10" s="973">
        <v>72701566</v>
      </c>
      <c r="E10" s="577"/>
      <c r="F10" s="991">
        <f t="shared" ref="F10:F34" si="0">D10+E10</f>
        <v>72701566</v>
      </c>
    </row>
    <row r="11" spans="1:6" s="17" customFormat="1" ht="24.95" customHeight="1">
      <c r="A11" s="467">
        <v>5</v>
      </c>
      <c r="B11" s="467"/>
      <c r="C11" s="479" t="s">
        <v>368</v>
      </c>
      <c r="D11" s="974">
        <v>26097700</v>
      </c>
      <c r="E11" s="577"/>
      <c r="F11" s="991">
        <f t="shared" si="0"/>
        <v>26097700</v>
      </c>
    </row>
    <row r="12" spans="1:6" s="17" customFormat="1" ht="24.95" customHeight="1">
      <c r="A12" s="478">
        <v>6</v>
      </c>
      <c r="B12" s="481" t="s">
        <v>511</v>
      </c>
      <c r="C12" s="482"/>
      <c r="D12" s="972">
        <f>SUM(D13)</f>
        <v>0</v>
      </c>
      <c r="E12" s="577">
        <v>196033</v>
      </c>
      <c r="F12" s="991">
        <f t="shared" si="0"/>
        <v>196033</v>
      </c>
    </row>
    <row r="13" spans="1:6" s="17" customFormat="1" ht="24.95" customHeight="1">
      <c r="A13" s="467">
        <v>7</v>
      </c>
      <c r="B13" s="467"/>
      <c r="C13" s="482" t="s">
        <v>368</v>
      </c>
      <c r="D13" s="974">
        <v>0</v>
      </c>
      <c r="E13" s="577"/>
      <c r="F13" s="991">
        <f t="shared" si="0"/>
        <v>0</v>
      </c>
    </row>
    <row r="14" spans="1:6" s="17" customFormat="1" ht="39.950000000000003" customHeight="1">
      <c r="A14" s="467">
        <v>8</v>
      </c>
      <c r="B14" s="1029" t="s">
        <v>384</v>
      </c>
      <c r="C14" s="1030"/>
      <c r="D14" s="972">
        <f>SUM(D15:D16)</f>
        <v>12564508</v>
      </c>
      <c r="E14" s="577"/>
      <c r="F14" s="991">
        <f t="shared" si="0"/>
        <v>12564508</v>
      </c>
    </row>
    <row r="15" spans="1:6" s="17" customFormat="1" ht="24.95" customHeight="1">
      <c r="A15" s="478">
        <v>9</v>
      </c>
      <c r="B15" s="481"/>
      <c r="C15" s="479" t="s">
        <v>367</v>
      </c>
      <c r="D15" s="974">
        <f>3812841+1236474</f>
        <v>5049315</v>
      </c>
      <c r="E15" s="577"/>
      <c r="F15" s="991">
        <f t="shared" si="0"/>
        <v>5049315</v>
      </c>
    </row>
    <row r="16" spans="1:6" s="17" customFormat="1" ht="24.95" customHeight="1">
      <c r="A16" s="467">
        <v>10</v>
      </c>
      <c r="B16" s="481"/>
      <c r="C16" s="479" t="s">
        <v>368</v>
      </c>
      <c r="D16" s="974">
        <f>6640796+874397</f>
        <v>7515193</v>
      </c>
      <c r="E16" s="577"/>
      <c r="F16" s="991">
        <f t="shared" si="0"/>
        <v>7515193</v>
      </c>
    </row>
    <row r="17" spans="1:6" s="17" customFormat="1" ht="24.95" customHeight="1">
      <c r="A17" s="467">
        <v>11</v>
      </c>
      <c r="B17" s="481" t="s">
        <v>369</v>
      </c>
      <c r="C17" s="479"/>
      <c r="D17" s="974"/>
      <c r="E17" s="577"/>
      <c r="F17" s="991">
        <f t="shared" si="0"/>
        <v>0</v>
      </c>
    </row>
    <row r="18" spans="1:6" s="17" customFormat="1" ht="24.95" customHeight="1">
      <c r="A18" s="478">
        <v>12</v>
      </c>
      <c r="B18" s="467"/>
      <c r="C18" s="479" t="s">
        <v>373</v>
      </c>
      <c r="D18" s="972">
        <v>67886120</v>
      </c>
      <c r="E18" s="577"/>
      <c r="F18" s="991">
        <f t="shared" si="0"/>
        <v>67886120</v>
      </c>
    </row>
    <row r="19" spans="1:6" s="17" customFormat="1" ht="39.950000000000003" customHeight="1">
      <c r="A19" s="467">
        <v>13</v>
      </c>
      <c r="B19" s="1029" t="s">
        <v>510</v>
      </c>
      <c r="C19" s="1030"/>
      <c r="D19" s="972">
        <v>0</v>
      </c>
      <c r="E19" s="577">
        <f>6839865+389608</f>
        <v>7229473</v>
      </c>
      <c r="F19" s="991">
        <f t="shared" si="0"/>
        <v>7229473</v>
      </c>
    </row>
    <row r="20" spans="1:6" s="17" customFormat="1" ht="24.95" customHeight="1">
      <c r="A20" s="467">
        <v>14</v>
      </c>
      <c r="B20" s="1029" t="s">
        <v>385</v>
      </c>
      <c r="C20" s="1030"/>
      <c r="D20" s="975">
        <f>SUM(D21:D25)</f>
        <v>13763500.800000001</v>
      </c>
      <c r="E20" s="577"/>
      <c r="F20" s="991">
        <f t="shared" si="0"/>
        <v>13763500.800000001</v>
      </c>
    </row>
    <row r="21" spans="1:6" s="17" customFormat="1" ht="24.95" customHeight="1">
      <c r="A21" s="478">
        <v>15</v>
      </c>
      <c r="B21" s="467"/>
      <c r="C21" s="479" t="s">
        <v>370</v>
      </c>
      <c r="D21" s="973">
        <v>3276024.4</v>
      </c>
      <c r="E21" s="577"/>
      <c r="F21" s="991">
        <f t="shared" si="0"/>
        <v>3276024.4</v>
      </c>
    </row>
    <row r="22" spans="1:6" s="17" customFormat="1" ht="24.95" customHeight="1">
      <c r="A22" s="467">
        <v>16</v>
      </c>
      <c r="B22" s="467"/>
      <c r="C22" s="479" t="s">
        <v>371</v>
      </c>
      <c r="D22" s="973">
        <v>-37056</v>
      </c>
      <c r="E22" s="577"/>
      <c r="F22" s="991">
        <f t="shared" si="0"/>
        <v>-37056</v>
      </c>
    </row>
    <row r="23" spans="1:6" s="17" customFormat="1" ht="24.95" customHeight="1">
      <c r="A23" s="467">
        <v>17</v>
      </c>
      <c r="B23" s="467"/>
      <c r="C23" s="479" t="s">
        <v>372</v>
      </c>
      <c r="D23" s="973">
        <v>3300799.4</v>
      </c>
      <c r="E23" s="577"/>
      <c r="F23" s="991">
        <f t="shared" si="0"/>
        <v>3300799.4</v>
      </c>
    </row>
    <row r="24" spans="1:6" s="17" customFormat="1" ht="39.950000000000003" customHeight="1">
      <c r="A24" s="478">
        <v>18</v>
      </c>
      <c r="B24" s="481"/>
      <c r="C24" s="483" t="s">
        <v>386</v>
      </c>
      <c r="D24" s="973">
        <v>5629298</v>
      </c>
      <c r="E24" s="577"/>
      <c r="F24" s="991">
        <f t="shared" si="0"/>
        <v>5629298</v>
      </c>
    </row>
    <row r="25" spans="1:6" s="17" customFormat="1" ht="39.950000000000003" customHeight="1">
      <c r="A25" s="467">
        <v>19</v>
      </c>
      <c r="B25" s="481"/>
      <c r="C25" s="483" t="s">
        <v>445</v>
      </c>
      <c r="D25" s="973">
        <v>1594435</v>
      </c>
      <c r="E25" s="577"/>
      <c r="F25" s="991">
        <f t="shared" si="0"/>
        <v>1594435</v>
      </c>
    </row>
    <row r="26" spans="1:6" s="17" customFormat="1" ht="24.95" customHeight="1">
      <c r="A26" s="478">
        <v>20</v>
      </c>
      <c r="B26" s="484" t="s">
        <v>88</v>
      </c>
      <c r="C26" s="479"/>
      <c r="D26" s="975">
        <v>29620</v>
      </c>
      <c r="E26" s="577"/>
      <c r="F26" s="991">
        <f t="shared" si="0"/>
        <v>29620</v>
      </c>
    </row>
    <row r="27" spans="1:6" s="17" customFormat="1" ht="24.95" customHeight="1">
      <c r="A27" s="467">
        <v>21</v>
      </c>
      <c r="B27" s="1033" t="s">
        <v>387</v>
      </c>
      <c r="C27" s="1034"/>
      <c r="D27" s="976">
        <v>1306936</v>
      </c>
      <c r="E27" s="577"/>
      <c r="F27" s="991">
        <f t="shared" si="0"/>
        <v>1306936</v>
      </c>
    </row>
    <row r="28" spans="1:6" s="17" customFormat="1" ht="46.5" customHeight="1">
      <c r="A28" s="467">
        <v>22</v>
      </c>
      <c r="B28" s="1037" t="s">
        <v>390</v>
      </c>
      <c r="C28" s="1038"/>
      <c r="D28" s="972">
        <f>+D9++D12+D14+D18+D19+D20+D26+D27</f>
        <v>194349950.80000001</v>
      </c>
      <c r="E28" s="972">
        <f>+E9++E12+E14+E18+E19+E20+E26+E27</f>
        <v>7425506</v>
      </c>
      <c r="F28" s="991">
        <f t="shared" si="0"/>
        <v>201775456.80000001</v>
      </c>
    </row>
    <row r="29" spans="1:6" s="17" customFormat="1" ht="24.95" customHeight="1">
      <c r="A29" s="467">
        <v>22</v>
      </c>
      <c r="B29" s="485" t="s">
        <v>388</v>
      </c>
      <c r="C29" s="486"/>
      <c r="D29" s="975"/>
      <c r="E29" s="577"/>
      <c r="F29" s="991">
        <f t="shared" si="0"/>
        <v>0</v>
      </c>
    </row>
    <row r="30" spans="1:6" s="17" customFormat="1" ht="24.95" customHeight="1">
      <c r="A30" s="467">
        <v>22</v>
      </c>
      <c r="B30" s="487"/>
      <c r="C30" s="479" t="s">
        <v>102</v>
      </c>
      <c r="D30" s="976">
        <v>500000</v>
      </c>
      <c r="E30" s="577"/>
      <c r="F30" s="991">
        <f t="shared" si="0"/>
        <v>500000</v>
      </c>
    </row>
    <row r="31" spans="1:6" s="17" customFormat="1" ht="24.95" customHeight="1">
      <c r="A31" s="467">
        <v>22</v>
      </c>
      <c r="B31" s="487"/>
      <c r="C31" s="479" t="s">
        <v>461</v>
      </c>
      <c r="D31" s="976">
        <v>4029200</v>
      </c>
      <c r="E31" s="577"/>
      <c r="F31" s="991">
        <f t="shared" si="0"/>
        <v>4029200</v>
      </c>
    </row>
    <row r="32" spans="1:6" s="17" customFormat="1" ht="24.95" customHeight="1">
      <c r="A32" s="467">
        <v>22</v>
      </c>
      <c r="B32" s="487"/>
      <c r="C32" s="479" t="s">
        <v>383</v>
      </c>
      <c r="D32" s="975">
        <v>275466</v>
      </c>
      <c r="E32" s="577"/>
      <c r="F32" s="991">
        <f t="shared" si="0"/>
        <v>275466</v>
      </c>
    </row>
    <row r="33" spans="1:6" s="17" customFormat="1" ht="24.95" customHeight="1" thickBot="1">
      <c r="A33" s="467">
        <v>22</v>
      </c>
      <c r="B33" s="488" t="s">
        <v>391</v>
      </c>
      <c r="C33" s="489"/>
      <c r="D33" s="977">
        <f>SUM(D30:D32)</f>
        <v>4804666</v>
      </c>
      <c r="E33" s="977">
        <f>SUM(E30:E32)</f>
        <v>0</v>
      </c>
      <c r="F33" s="991">
        <f t="shared" si="0"/>
        <v>4804666</v>
      </c>
    </row>
    <row r="34" spans="1:6" s="17" customFormat="1" ht="24.95" customHeight="1" thickBot="1">
      <c r="A34" s="467">
        <v>22</v>
      </c>
      <c r="B34" s="490" t="s">
        <v>201</v>
      </c>
      <c r="C34" s="491"/>
      <c r="D34" s="978">
        <f>+D28+D33</f>
        <v>199154616.80000001</v>
      </c>
      <c r="E34" s="978">
        <f>+E28+E33</f>
        <v>7425506</v>
      </c>
      <c r="F34" s="991">
        <f t="shared" si="0"/>
        <v>206580122.80000001</v>
      </c>
    </row>
  </sheetData>
  <mergeCells count="11">
    <mergeCell ref="B19:C19"/>
    <mergeCell ref="B20:C20"/>
    <mergeCell ref="B27:C27"/>
    <mergeCell ref="B8:C8"/>
    <mergeCell ref="B28:C28"/>
    <mergeCell ref="A1:D1"/>
    <mergeCell ref="A3:D3"/>
    <mergeCell ref="A4:D4"/>
    <mergeCell ref="B9:C9"/>
    <mergeCell ref="B14:C14"/>
    <mergeCell ref="B7:C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30"/>
  <sheetViews>
    <sheetView topLeftCell="A13" zoomScaleNormal="100" workbookViewId="0">
      <selection activeCell="C8" sqref="C8"/>
    </sheetView>
  </sheetViews>
  <sheetFormatPr defaultRowHeight="16.5"/>
  <cols>
    <col min="1" max="1" width="6" style="496" customWidth="1"/>
    <col min="2" max="2" width="20" style="496" customWidth="1"/>
    <col min="3" max="3" width="43.28515625" style="496" customWidth="1"/>
    <col min="4" max="4" width="22" style="527" customWidth="1"/>
    <col min="5" max="16384" width="9.140625" style="496"/>
  </cols>
  <sheetData>
    <row r="1" spans="1:6" s="495" customFormat="1" ht="30.75" customHeight="1">
      <c r="A1" s="1039" t="s">
        <v>474</v>
      </c>
      <c r="B1" s="1039"/>
      <c r="C1" s="1039"/>
      <c r="D1" s="1039"/>
    </row>
    <row r="2" spans="1:6" ht="21.75" customHeight="1">
      <c r="B2" s="497"/>
      <c r="C2" s="497"/>
      <c r="D2" s="497"/>
      <c r="E2" s="497"/>
      <c r="F2" s="498"/>
    </row>
    <row r="3" spans="1:6" s="499" customFormat="1">
      <c r="A3" s="1042" t="s">
        <v>375</v>
      </c>
      <c r="B3" s="1042"/>
      <c r="C3" s="1042"/>
      <c r="D3" s="1042"/>
    </row>
    <row r="4" spans="1:6" s="499" customFormat="1">
      <c r="A4" s="1044" t="s">
        <v>446</v>
      </c>
      <c r="B4" s="1044"/>
      <c r="C4" s="1044"/>
      <c r="D4" s="1044"/>
    </row>
    <row r="5" spans="1:6" ht="18" customHeight="1" thickBot="1">
      <c r="B5" s="500"/>
      <c r="C5" s="500"/>
      <c r="D5" s="501" t="s">
        <v>200</v>
      </c>
    </row>
    <row r="6" spans="1:6" s="507" customFormat="1" ht="17.25" thickBot="1">
      <c r="A6" s="502"/>
      <c r="B6" s="503" t="s">
        <v>205</v>
      </c>
      <c r="C6" s="504"/>
      <c r="D6" s="505" t="s">
        <v>206</v>
      </c>
      <c r="E6" s="506"/>
    </row>
    <row r="7" spans="1:6" s="512" customFormat="1" ht="33.75" customHeight="1" thickBot="1">
      <c r="A7" s="508">
        <v>1</v>
      </c>
      <c r="B7" s="509" t="s">
        <v>217</v>
      </c>
      <c r="C7" s="509" t="s">
        <v>196</v>
      </c>
      <c r="D7" s="510" t="s">
        <v>71</v>
      </c>
      <c r="E7" s="511"/>
    </row>
    <row r="8" spans="1:6" s="499" customFormat="1" ht="30" customHeight="1">
      <c r="A8" s="513">
        <v>2</v>
      </c>
      <c r="B8" s="514" t="s">
        <v>325</v>
      </c>
      <c r="C8" s="514"/>
      <c r="D8" s="515">
        <f>SUM(D9:D10)</f>
        <v>5983000</v>
      </c>
    </row>
    <row r="9" spans="1:6" s="499" customFormat="1" ht="30" customHeight="1">
      <c r="A9" s="516">
        <v>3</v>
      </c>
      <c r="B9" s="517"/>
      <c r="C9" s="517" t="s">
        <v>376</v>
      </c>
      <c r="D9" s="518">
        <v>3500000</v>
      </c>
    </row>
    <row r="10" spans="1:6" s="499" customFormat="1" ht="30" customHeight="1">
      <c r="A10" s="516">
        <v>4</v>
      </c>
      <c r="B10" s="517"/>
      <c r="C10" s="517" t="s">
        <v>332</v>
      </c>
      <c r="D10" s="518">
        <v>2483000</v>
      </c>
    </row>
    <row r="11" spans="1:6" s="499" customFormat="1" ht="30" customHeight="1">
      <c r="A11" s="516">
        <v>5</v>
      </c>
      <c r="B11" s="519" t="s">
        <v>326</v>
      </c>
      <c r="C11" s="519"/>
      <c r="D11" s="520">
        <f>SUM(D12:D22)</f>
        <v>20357000</v>
      </c>
    </row>
    <row r="12" spans="1:6" s="499" customFormat="1" ht="27" customHeight="1">
      <c r="A12" s="516">
        <v>6</v>
      </c>
      <c r="B12" s="517"/>
      <c r="C12" s="517" t="s">
        <v>333</v>
      </c>
      <c r="D12" s="518">
        <v>3000000</v>
      </c>
    </row>
    <row r="13" spans="1:6" s="499" customFormat="1" ht="33" customHeight="1">
      <c r="A13" s="516">
        <v>7</v>
      </c>
      <c r="B13" s="517"/>
      <c r="C13" s="521" t="s">
        <v>335</v>
      </c>
      <c r="D13" s="518">
        <v>500000</v>
      </c>
    </row>
    <row r="14" spans="1:6" s="499" customFormat="1" ht="30" customHeight="1">
      <c r="A14" s="516">
        <v>8</v>
      </c>
      <c r="B14" s="517"/>
      <c r="C14" s="517" t="s">
        <v>334</v>
      </c>
      <c r="D14" s="518">
        <v>180000</v>
      </c>
    </row>
    <row r="15" spans="1:6" s="499" customFormat="1" ht="30" customHeight="1">
      <c r="A15" s="516">
        <v>9</v>
      </c>
      <c r="B15" s="517"/>
      <c r="C15" s="517" t="s">
        <v>336</v>
      </c>
      <c r="D15" s="518">
        <v>727000</v>
      </c>
    </row>
    <row r="16" spans="1:6" s="499" customFormat="1" ht="30" customHeight="1">
      <c r="A16" s="516">
        <v>10</v>
      </c>
      <c r="B16" s="517"/>
      <c r="C16" s="517" t="s">
        <v>337</v>
      </c>
      <c r="D16" s="518">
        <v>350000</v>
      </c>
    </row>
    <row r="17" spans="1:4" s="499" customFormat="1" ht="30" customHeight="1">
      <c r="A17" s="516">
        <v>11</v>
      </c>
      <c r="B17" s="517"/>
      <c r="C17" s="517" t="s">
        <v>338</v>
      </c>
      <c r="D17" s="518">
        <v>1700000</v>
      </c>
    </row>
    <row r="18" spans="1:4" s="499" customFormat="1" ht="30" customHeight="1">
      <c r="A18" s="516">
        <v>12</v>
      </c>
      <c r="B18" s="517"/>
      <c r="C18" s="517" t="s">
        <v>339</v>
      </c>
      <c r="D18" s="518">
        <v>5200000</v>
      </c>
    </row>
    <row r="19" spans="1:4" s="499" customFormat="1" ht="30" customHeight="1">
      <c r="A19" s="516">
        <v>13</v>
      </c>
      <c r="B19" s="517"/>
      <c r="C19" s="517" t="s">
        <v>340</v>
      </c>
      <c r="D19" s="518">
        <v>1000000</v>
      </c>
    </row>
    <row r="20" spans="1:4" s="499" customFormat="1" ht="32.25" customHeight="1">
      <c r="A20" s="516">
        <v>14</v>
      </c>
      <c r="B20" s="517"/>
      <c r="C20" s="521" t="s">
        <v>341</v>
      </c>
      <c r="D20" s="518">
        <v>200000</v>
      </c>
    </row>
    <row r="21" spans="1:4" s="499" customFormat="1" ht="30" customHeight="1">
      <c r="A21" s="516">
        <v>15</v>
      </c>
      <c r="B21" s="517"/>
      <c r="C21" s="521" t="s">
        <v>342</v>
      </c>
      <c r="D21" s="518">
        <v>5500000</v>
      </c>
    </row>
    <row r="22" spans="1:4" s="499" customFormat="1" ht="30" customHeight="1">
      <c r="A22" s="516">
        <v>16</v>
      </c>
      <c r="B22" s="517"/>
      <c r="C22" s="521" t="s">
        <v>343</v>
      </c>
      <c r="D22" s="518">
        <v>2000000</v>
      </c>
    </row>
    <row r="23" spans="1:4" s="499" customFormat="1" ht="30" customHeight="1">
      <c r="A23" s="516">
        <v>17</v>
      </c>
      <c r="B23" s="1043" t="s">
        <v>327</v>
      </c>
      <c r="C23" s="1043"/>
      <c r="D23" s="520">
        <v>560000</v>
      </c>
    </row>
    <row r="24" spans="1:4" s="524" customFormat="1" ht="30" customHeight="1" thickBot="1">
      <c r="A24" s="522">
        <v>18</v>
      </c>
      <c r="B24" s="1040" t="s">
        <v>321</v>
      </c>
      <c r="C24" s="1040"/>
      <c r="D24" s="523">
        <v>800000</v>
      </c>
    </row>
    <row r="25" spans="1:4" s="499" customFormat="1" ht="30" customHeight="1" thickBot="1">
      <c r="A25" s="525">
        <v>19</v>
      </c>
      <c r="B25" s="1041" t="s">
        <v>201</v>
      </c>
      <c r="C25" s="1041"/>
      <c r="D25" s="526">
        <f>+D8+D11+D23+D24</f>
        <v>27700000</v>
      </c>
    </row>
    <row r="27" spans="1:4">
      <c r="D27" s="495"/>
    </row>
    <row r="28" spans="1:4">
      <c r="B28" s="495"/>
      <c r="C28" s="495"/>
    </row>
    <row r="30" spans="1:4">
      <c r="D30" s="496"/>
    </row>
  </sheetData>
  <mergeCells count="6">
    <mergeCell ref="A1:D1"/>
    <mergeCell ref="B24:C24"/>
    <mergeCell ref="B25:C25"/>
    <mergeCell ref="A3:D3"/>
    <mergeCell ref="B23:C23"/>
    <mergeCell ref="A4:D4"/>
  </mergeCells>
  <pageMargins left="1.06" right="0.7" top="0.75" bottom="0.75" header="0.3" footer="0.3"/>
  <pageSetup paperSize="9" scale="92" orientation="portrait" r:id="rId1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31"/>
  <sheetViews>
    <sheetView zoomScaleNormal="100" workbookViewId="0">
      <selection activeCell="C12" sqref="C12"/>
    </sheetView>
  </sheetViews>
  <sheetFormatPr defaultRowHeight="12.75"/>
  <cols>
    <col min="1" max="1" width="5.28515625" customWidth="1"/>
    <col min="2" max="2" width="59.28515625" customWidth="1"/>
    <col min="3" max="3" width="20.140625" customWidth="1"/>
    <col min="4" max="4" width="53.140625" customWidth="1"/>
    <col min="5" max="5" width="15.28515625" bestFit="1" customWidth="1"/>
    <col min="6" max="6" width="13.5703125" customWidth="1"/>
    <col min="7" max="7" width="14.7109375" customWidth="1"/>
  </cols>
  <sheetData>
    <row r="1" spans="1:7" ht="15.75">
      <c r="A1" s="321" t="s">
        <v>520</v>
      </c>
      <c r="B1" s="321"/>
      <c r="C1" s="321"/>
      <c r="D1" s="321"/>
      <c r="E1" s="321"/>
    </row>
    <row r="2" spans="1:7" ht="15.75">
      <c r="A2" s="321"/>
      <c r="B2" s="321"/>
      <c r="C2" s="321"/>
      <c r="D2" s="321"/>
      <c r="E2" s="321"/>
    </row>
    <row r="3" spans="1:7" ht="29.25" customHeight="1">
      <c r="A3" s="1045" t="s">
        <v>392</v>
      </c>
      <c r="B3" s="1045"/>
      <c r="C3" s="1045"/>
      <c r="D3" s="1045"/>
      <c r="E3" s="1045"/>
      <c r="F3" s="7"/>
      <c r="G3" s="7"/>
    </row>
    <row r="4" spans="1:7" ht="27" customHeight="1">
      <c r="A4" s="1046" t="s">
        <v>447</v>
      </c>
      <c r="B4" s="1046"/>
      <c r="C4" s="1046"/>
      <c r="D4" s="1046"/>
      <c r="E4" s="1046"/>
      <c r="F4" s="7"/>
      <c r="G4" s="7"/>
    </row>
    <row r="5" spans="1:7" ht="12.75" customHeight="1">
      <c r="A5" s="321"/>
      <c r="B5" s="540"/>
      <c r="C5" s="540"/>
      <c r="D5" s="540"/>
      <c r="E5" s="540"/>
      <c r="F5" s="7"/>
      <c r="G5" s="7"/>
    </row>
    <row r="6" spans="1:7" s="3" customFormat="1" ht="16.5" thickBot="1">
      <c r="A6" s="321"/>
      <c r="B6" s="321"/>
      <c r="C6" s="321"/>
      <c r="D6" s="321"/>
      <c r="E6" s="433" t="s">
        <v>200</v>
      </c>
    </row>
    <row r="7" spans="1:7" s="3" customFormat="1" ht="16.5" thickBot="1">
      <c r="A7" s="528"/>
      <c r="B7" s="529" t="s">
        <v>205</v>
      </c>
      <c r="C7" s="442" t="s">
        <v>206</v>
      </c>
      <c r="D7" s="529" t="s">
        <v>207</v>
      </c>
      <c r="E7" s="442" t="s">
        <v>208</v>
      </c>
    </row>
    <row r="8" spans="1:7" s="162" customFormat="1" ht="51.75" customHeight="1" thickBot="1">
      <c r="A8" s="274">
        <v>1</v>
      </c>
      <c r="B8" s="438" t="s">
        <v>84</v>
      </c>
      <c r="C8" s="274" t="s">
        <v>71</v>
      </c>
      <c r="D8" s="438" t="s">
        <v>72</v>
      </c>
      <c r="E8" s="970" t="s">
        <v>71</v>
      </c>
      <c r="F8" s="992" t="s">
        <v>507</v>
      </c>
      <c r="G8" s="993" t="s">
        <v>505</v>
      </c>
    </row>
    <row r="9" spans="1:7" s="123" customFormat="1" ht="35.1" customHeight="1">
      <c r="A9" s="541">
        <v>2</v>
      </c>
      <c r="B9" s="530" t="s">
        <v>395</v>
      </c>
      <c r="C9" s="531">
        <v>0</v>
      </c>
      <c r="D9" s="530" t="s">
        <v>70</v>
      </c>
      <c r="E9" s="979">
        <f>29982252+1578013</f>
        <v>31560265</v>
      </c>
      <c r="F9" s="577">
        <v>0</v>
      </c>
      <c r="G9" s="991">
        <f>E9+F9</f>
        <v>31560265</v>
      </c>
    </row>
    <row r="10" spans="1:7" s="162" customFormat="1" ht="35.1" customHeight="1">
      <c r="A10" s="542">
        <v>3</v>
      </c>
      <c r="B10" s="532" t="s">
        <v>396</v>
      </c>
      <c r="C10" s="533">
        <f>SUM(C9)</f>
        <v>0</v>
      </c>
      <c r="D10" s="534" t="s">
        <v>69</v>
      </c>
      <c r="E10" s="980">
        <f>SUM(E9)</f>
        <v>31560265</v>
      </c>
      <c r="F10" s="983">
        <f>SUM(F9)</f>
        <v>0</v>
      </c>
      <c r="G10" s="991">
        <f t="shared" ref="G10:G15" si="0">E10+F10</f>
        <v>31560265</v>
      </c>
    </row>
    <row r="11" spans="1:7" s="123" customFormat="1" ht="35.1" customHeight="1">
      <c r="A11" s="542">
        <v>4</v>
      </c>
      <c r="B11" s="536" t="s">
        <v>394</v>
      </c>
      <c r="C11" s="535">
        <v>0</v>
      </c>
      <c r="D11" s="532" t="s">
        <v>393</v>
      </c>
      <c r="E11" s="981">
        <f>93648700+35000000</f>
        <v>128648700</v>
      </c>
      <c r="F11" s="577">
        <v>1284255</v>
      </c>
      <c r="G11" s="991">
        <f t="shared" si="0"/>
        <v>129932955</v>
      </c>
    </row>
    <row r="12" spans="1:7" s="123" customFormat="1" ht="35.1" customHeight="1">
      <c r="A12" s="542">
        <v>5</v>
      </c>
      <c r="B12" s="534" t="s">
        <v>397</v>
      </c>
      <c r="C12" s="535">
        <f>SUM(C11:C11)</f>
        <v>0</v>
      </c>
      <c r="D12" s="534" t="s">
        <v>68</v>
      </c>
      <c r="E12" s="980">
        <f>E11</f>
        <v>128648700</v>
      </c>
      <c r="F12" s="983">
        <f>F11</f>
        <v>1284255</v>
      </c>
      <c r="G12" s="991">
        <f t="shared" si="0"/>
        <v>129932955</v>
      </c>
    </row>
    <row r="13" spans="1:7" s="123" customFormat="1" ht="35.1" customHeight="1">
      <c r="A13" s="542">
        <v>6</v>
      </c>
      <c r="B13" s="534" t="s">
        <v>398</v>
      </c>
      <c r="C13" s="535">
        <v>0</v>
      </c>
      <c r="D13" s="534" t="s">
        <v>399</v>
      </c>
      <c r="E13" s="980">
        <v>0</v>
      </c>
      <c r="F13" s="983">
        <v>0</v>
      </c>
      <c r="G13" s="991">
        <f t="shared" si="0"/>
        <v>0</v>
      </c>
    </row>
    <row r="14" spans="1:7" s="123" customFormat="1" ht="35.1" customHeight="1">
      <c r="A14" s="986">
        <v>7</v>
      </c>
      <c r="B14" s="987" t="s">
        <v>513</v>
      </c>
      <c r="C14" s="988">
        <v>158630952</v>
      </c>
      <c r="D14" s="987"/>
      <c r="E14" s="989"/>
      <c r="F14" s="983"/>
      <c r="G14" s="991"/>
    </row>
    <row r="15" spans="1:7" s="162" customFormat="1" ht="35.1" customHeight="1" thickBot="1">
      <c r="A15" s="543">
        <v>8</v>
      </c>
      <c r="B15" s="537" t="s">
        <v>359</v>
      </c>
      <c r="C15" s="538">
        <f>C14</f>
        <v>158630952</v>
      </c>
      <c r="D15" s="539" t="s">
        <v>359</v>
      </c>
      <c r="E15" s="982">
        <f>SUM(E12)+E10</f>
        <v>160208965</v>
      </c>
      <c r="F15" s="984">
        <f>SUM(F12)+F10</f>
        <v>1284255</v>
      </c>
      <c r="G15" s="991">
        <f t="shared" si="0"/>
        <v>161493220</v>
      </c>
    </row>
    <row r="16" spans="1:7" ht="15.75">
      <c r="A16" s="321"/>
      <c r="B16" s="321"/>
      <c r="C16" s="321"/>
      <c r="D16" s="321"/>
      <c r="E16" s="321"/>
    </row>
    <row r="17" spans="1:5" ht="15.75">
      <c r="A17" s="321"/>
      <c r="B17" s="321"/>
      <c r="C17" s="321"/>
      <c r="D17" s="321"/>
      <c r="E17" s="321"/>
    </row>
    <row r="18" spans="1:5" ht="15.75">
      <c r="A18" s="321"/>
      <c r="B18" s="321"/>
      <c r="C18" s="321"/>
      <c r="D18" s="321"/>
      <c r="E18" s="321"/>
    </row>
    <row r="19" spans="1:5" ht="15.75">
      <c r="A19" s="321"/>
      <c r="B19" s="321"/>
      <c r="C19" s="321"/>
      <c r="D19" s="321"/>
      <c r="E19" s="321"/>
    </row>
    <row r="20" spans="1:5" ht="15.75">
      <c r="A20" s="321"/>
      <c r="B20" s="321"/>
      <c r="C20" s="321"/>
      <c r="D20" s="321"/>
      <c r="E20" s="321"/>
    </row>
    <row r="21" spans="1:5" ht="15.75">
      <c r="A21" s="321"/>
      <c r="B21" s="321"/>
      <c r="C21" s="321"/>
      <c r="D21" s="321"/>
      <c r="E21" s="321"/>
    </row>
    <row r="22" spans="1:5" ht="15.75">
      <c r="A22" s="321"/>
      <c r="B22" s="321"/>
      <c r="C22" s="321"/>
      <c r="D22" s="321"/>
      <c r="E22" s="321"/>
    </row>
    <row r="31" spans="1:5" s="1" customFormat="1"/>
  </sheetData>
  <mergeCells count="2">
    <mergeCell ref="A3:E3"/>
    <mergeCell ref="A4:E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1507"/>
  <sheetViews>
    <sheetView topLeftCell="A28" zoomScaleNormal="100" workbookViewId="0">
      <selection activeCell="B17" sqref="B17:D17"/>
    </sheetView>
  </sheetViews>
  <sheetFormatPr defaultRowHeight="12.75"/>
  <cols>
    <col min="1" max="1" width="5.140625" style="163" customWidth="1"/>
    <col min="2" max="2" width="33.7109375" style="19" customWidth="1"/>
    <col min="3" max="3" width="35.85546875" style="19" customWidth="1"/>
    <col min="4" max="4" width="17.5703125" style="19" customWidth="1"/>
    <col min="5" max="5" width="10.5703125" style="19" bestFit="1" customWidth="1"/>
    <col min="6" max="16384" width="9.140625" style="163"/>
  </cols>
  <sheetData>
    <row r="1" spans="1:5" ht="30" customHeight="1">
      <c r="A1" s="1047" t="s">
        <v>475</v>
      </c>
      <c r="B1" s="1047"/>
      <c r="C1" s="1047"/>
      <c r="D1" s="1047"/>
      <c r="E1" s="1047"/>
    </row>
    <row r="2" spans="1:5" ht="15.75">
      <c r="A2" s="552"/>
      <c r="B2" s="193"/>
      <c r="C2" s="544"/>
      <c r="D2" s="552"/>
      <c r="E2" s="552"/>
    </row>
    <row r="3" spans="1:5" ht="29.25" customHeight="1">
      <c r="A3" s="1057" t="s">
        <v>404</v>
      </c>
      <c r="B3" s="1057"/>
      <c r="C3" s="1057"/>
      <c r="D3" s="1057"/>
      <c r="E3" s="1057"/>
    </row>
    <row r="4" spans="1:5" ht="29.25" customHeight="1">
      <c r="A4" s="1058" t="s">
        <v>450</v>
      </c>
      <c r="B4" s="1058"/>
      <c r="C4" s="1058"/>
      <c r="D4" s="1058"/>
      <c r="E4" s="1058"/>
    </row>
    <row r="5" spans="1:5" ht="29.25" customHeight="1" thickBot="1">
      <c r="A5" s="553"/>
      <c r="B5" s="553"/>
      <c r="C5" s="553"/>
      <c r="D5" s="553"/>
      <c r="E5" s="553"/>
    </row>
    <row r="6" spans="1:5" ht="15" customHeight="1" thickBot="1">
      <c r="A6" s="545"/>
      <c r="B6" s="546" t="s">
        <v>205</v>
      </c>
      <c r="C6" s="547" t="s">
        <v>206</v>
      </c>
      <c r="D6" s="546" t="s">
        <v>207</v>
      </c>
      <c r="E6" s="548" t="s">
        <v>208</v>
      </c>
    </row>
    <row r="7" spans="1:5" ht="51.75" customHeight="1" thickBot="1">
      <c r="A7" s="554">
        <v>1</v>
      </c>
      <c r="B7" s="549" t="s">
        <v>400</v>
      </c>
      <c r="C7" s="549" t="s">
        <v>402</v>
      </c>
      <c r="D7" s="550" t="s">
        <v>401</v>
      </c>
      <c r="E7" s="549" t="s">
        <v>403</v>
      </c>
    </row>
    <row r="8" spans="1:5" ht="24.95" customHeight="1">
      <c r="A8" s="555">
        <v>2</v>
      </c>
      <c r="B8" s="1054" t="s">
        <v>107</v>
      </c>
      <c r="C8" s="556" t="s">
        <v>22</v>
      </c>
      <c r="D8" s="556">
        <v>1</v>
      </c>
      <c r="E8" s="1055">
        <f>SUM(D8:D12)</f>
        <v>23</v>
      </c>
    </row>
    <row r="9" spans="1:5" ht="24.95" customHeight="1">
      <c r="A9" s="557">
        <v>3</v>
      </c>
      <c r="B9" s="1049"/>
      <c r="C9" s="558" t="s">
        <v>448</v>
      </c>
      <c r="D9" s="558">
        <v>3</v>
      </c>
      <c r="E9" s="1052"/>
    </row>
    <row r="10" spans="1:5" ht="24.95" customHeight="1">
      <c r="A10" s="557">
        <v>4</v>
      </c>
      <c r="B10" s="1049"/>
      <c r="C10" s="558" t="s">
        <v>86</v>
      </c>
      <c r="D10" s="558">
        <v>13</v>
      </c>
      <c r="E10" s="1052"/>
    </row>
    <row r="11" spans="1:5" ht="24.95" customHeight="1">
      <c r="A11" s="557">
        <v>5</v>
      </c>
      <c r="B11" s="1049"/>
      <c r="C11" s="558" t="s">
        <v>91</v>
      </c>
      <c r="D11" s="558">
        <v>4</v>
      </c>
      <c r="E11" s="1052"/>
    </row>
    <row r="12" spans="1:5" ht="24.95" customHeight="1">
      <c r="A12" s="557">
        <v>6</v>
      </c>
      <c r="B12" s="1049"/>
      <c r="C12" s="558" t="s">
        <v>90</v>
      </c>
      <c r="D12" s="558">
        <v>2</v>
      </c>
      <c r="E12" s="1052"/>
    </row>
    <row r="13" spans="1:5" ht="24.95" customHeight="1">
      <c r="A13" s="557">
        <v>7</v>
      </c>
      <c r="B13" s="1053" t="s">
        <v>85</v>
      </c>
      <c r="C13" s="1053"/>
      <c r="D13" s="1053"/>
      <c r="E13" s="551">
        <f>SUM(D8:D12)</f>
        <v>23</v>
      </c>
    </row>
    <row r="14" spans="1:5" ht="30.75" customHeight="1">
      <c r="A14" s="557">
        <v>8</v>
      </c>
      <c r="B14" s="559" t="s">
        <v>361</v>
      </c>
      <c r="C14" s="558" t="s">
        <v>103</v>
      </c>
      <c r="D14" s="558">
        <v>1</v>
      </c>
      <c r="E14" s="1056">
        <f>SUM(D14:D16)</f>
        <v>100</v>
      </c>
    </row>
    <row r="15" spans="1:5" ht="24.95" customHeight="1">
      <c r="A15" s="557">
        <v>9</v>
      </c>
      <c r="B15" s="558" t="s">
        <v>24</v>
      </c>
      <c r="C15" s="558" t="s">
        <v>23</v>
      </c>
      <c r="D15" s="558">
        <v>4</v>
      </c>
      <c r="E15" s="1056"/>
    </row>
    <row r="16" spans="1:5" ht="24.95" customHeight="1">
      <c r="A16" s="557">
        <v>10</v>
      </c>
      <c r="B16" s="558" t="s">
        <v>98</v>
      </c>
      <c r="C16" s="558"/>
      <c r="D16" s="558">
        <v>95</v>
      </c>
      <c r="E16" s="1056"/>
    </row>
    <row r="17" spans="1:5" ht="24.95" customHeight="1">
      <c r="A17" s="557">
        <v>11</v>
      </c>
      <c r="B17" s="1053" t="s">
        <v>108</v>
      </c>
      <c r="C17" s="1053"/>
      <c r="D17" s="1053"/>
      <c r="E17" s="551">
        <f>SUM(D14:D16)</f>
        <v>100</v>
      </c>
    </row>
    <row r="18" spans="1:5" ht="24.95" customHeight="1">
      <c r="A18" s="557">
        <v>12</v>
      </c>
      <c r="B18" s="1049" t="s">
        <v>1</v>
      </c>
      <c r="C18" s="558" t="s">
        <v>360</v>
      </c>
      <c r="D18" s="558">
        <v>1</v>
      </c>
      <c r="E18" s="1048">
        <f>SUM(D18:D21)</f>
        <v>3</v>
      </c>
    </row>
    <row r="19" spans="1:5" ht="24.95" customHeight="1">
      <c r="A19" s="557">
        <v>13</v>
      </c>
      <c r="B19" s="1049"/>
      <c r="C19" s="558" t="s">
        <v>17</v>
      </c>
      <c r="D19" s="558">
        <v>1</v>
      </c>
      <c r="E19" s="1048"/>
    </row>
    <row r="20" spans="1:5" ht="31.5" customHeight="1">
      <c r="A20" s="557"/>
      <c r="B20" s="1049"/>
      <c r="C20" s="559" t="s">
        <v>449</v>
      </c>
      <c r="D20" s="558">
        <v>1</v>
      </c>
      <c r="E20" s="1048"/>
    </row>
    <row r="21" spans="1:5" ht="24.95" customHeight="1">
      <c r="A21" s="557">
        <v>14</v>
      </c>
      <c r="B21" s="1049"/>
      <c r="C21" s="558" t="s">
        <v>18</v>
      </c>
      <c r="D21" s="558">
        <v>0</v>
      </c>
      <c r="E21" s="1048"/>
    </row>
    <row r="22" spans="1:5" ht="24.95" customHeight="1">
      <c r="A22" s="557">
        <v>15</v>
      </c>
      <c r="B22" s="1053" t="s">
        <v>19</v>
      </c>
      <c r="C22" s="1053"/>
      <c r="D22" s="1053"/>
      <c r="E22" s="551">
        <f>SUM(D18:D21)</f>
        <v>3</v>
      </c>
    </row>
    <row r="23" spans="1:5" ht="24.95" customHeight="1">
      <c r="A23" s="557">
        <v>16</v>
      </c>
      <c r="B23" s="1049" t="s">
        <v>94</v>
      </c>
      <c r="C23" s="558" t="s">
        <v>16</v>
      </c>
      <c r="D23" s="558">
        <v>1</v>
      </c>
      <c r="E23" s="1052">
        <f>SUM(D23:D24)</f>
        <v>2</v>
      </c>
    </row>
    <row r="24" spans="1:5" ht="24.95" customHeight="1">
      <c r="A24" s="557">
        <v>17</v>
      </c>
      <c r="B24" s="1049"/>
      <c r="C24" s="558" t="s">
        <v>20</v>
      </c>
      <c r="D24" s="558">
        <v>1</v>
      </c>
      <c r="E24" s="1052"/>
    </row>
    <row r="25" spans="1:5" ht="24.95" customHeight="1" thickBot="1">
      <c r="A25" s="562">
        <v>18</v>
      </c>
      <c r="B25" s="1051" t="s">
        <v>21</v>
      </c>
      <c r="C25" s="1051"/>
      <c r="D25" s="1051"/>
      <c r="E25" s="560">
        <f>SUM(D23:D24)</f>
        <v>2</v>
      </c>
    </row>
    <row r="26" spans="1:5" s="19" customFormat="1" ht="39" customHeight="1" thickBot="1">
      <c r="A26" s="563">
        <v>19</v>
      </c>
      <c r="B26" s="1050" t="s">
        <v>359</v>
      </c>
      <c r="C26" s="1050"/>
      <c r="D26" s="1050"/>
      <c r="E26" s="561">
        <f>+E13+E17+E22+E25</f>
        <v>128</v>
      </c>
    </row>
    <row r="27" spans="1:5" s="19" customFormat="1"/>
    <row r="28" spans="1:5" s="19" customFormat="1"/>
    <row r="30" spans="1:5">
      <c r="D30" s="164" t="s">
        <v>99</v>
      </c>
    </row>
    <row r="36" s="19" customFormat="1"/>
    <row r="37" s="19" customFormat="1"/>
    <row r="38" s="19" customFormat="1"/>
    <row r="39" s="19" customFormat="1"/>
    <row r="40" s="19" customFormat="1"/>
    <row r="41" s="19" customFormat="1"/>
    <row r="42" s="19" customFormat="1"/>
    <row r="43" s="19" customFormat="1"/>
    <row r="44" s="19" customFormat="1"/>
    <row r="45" s="19" customFormat="1"/>
    <row r="46" s="19" customFormat="1"/>
    <row r="47" s="19" customFormat="1"/>
    <row r="48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="19" customFormat="1"/>
    <row r="66" s="19" customFormat="1"/>
    <row r="67" s="19" customFormat="1"/>
    <row r="68" s="19" customFormat="1"/>
    <row r="69" s="19" customFormat="1"/>
    <row r="70" s="19" customFormat="1"/>
    <row r="71" s="19" customFormat="1"/>
    <row r="72" s="19" customFormat="1"/>
    <row r="73" s="19" customFormat="1"/>
    <row r="74" s="19" customFormat="1"/>
    <row r="75" s="19" customFormat="1"/>
    <row r="76" s="19" customFormat="1"/>
    <row r="77" s="19" customFormat="1"/>
    <row r="78" s="19" customFormat="1"/>
    <row r="79" s="19" customFormat="1"/>
    <row r="80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  <row r="154" s="19" customFormat="1"/>
    <row r="155" s="19" customFormat="1"/>
    <row r="156" s="19" customFormat="1"/>
    <row r="157" s="19" customFormat="1"/>
    <row r="158" s="19" customFormat="1"/>
    <row r="159" s="19" customFormat="1"/>
    <row r="160" s="19" customFormat="1"/>
    <row r="161" s="19" customFormat="1"/>
    <row r="162" s="19" customFormat="1"/>
    <row r="163" s="19" customFormat="1"/>
    <row r="164" s="19" customFormat="1"/>
    <row r="165" s="19" customFormat="1"/>
    <row r="166" s="19" customFormat="1"/>
    <row r="167" s="19" customFormat="1"/>
    <row r="168" s="19" customFormat="1"/>
    <row r="169" s="19" customFormat="1"/>
    <row r="170" s="19" customFormat="1"/>
    <row r="171" s="19" customFormat="1"/>
    <row r="172" s="19" customFormat="1"/>
    <row r="173" s="19" customFormat="1"/>
    <row r="174" s="19" customFormat="1"/>
    <row r="175" s="19" customFormat="1"/>
    <row r="176" s="19" customFormat="1"/>
    <row r="177" s="19" customFormat="1"/>
    <row r="178" s="19" customFormat="1"/>
    <row r="179" s="19" customFormat="1"/>
    <row r="180" s="19" customFormat="1"/>
    <row r="181" s="19" customFormat="1"/>
    <row r="182" s="19" customFormat="1"/>
    <row r="183" s="19" customFormat="1"/>
    <row r="184" s="19" customFormat="1"/>
    <row r="185" s="19" customFormat="1"/>
    <row r="186" s="19" customFormat="1"/>
    <row r="187" s="19" customFormat="1"/>
    <row r="188" s="19" customFormat="1"/>
    <row r="189" s="19" customFormat="1"/>
    <row r="190" s="19" customFormat="1"/>
    <row r="191" s="19" customFormat="1"/>
    <row r="192" s="19" customFormat="1"/>
    <row r="193" s="19" customFormat="1"/>
    <row r="194" s="19" customFormat="1"/>
    <row r="195" s="19" customFormat="1"/>
    <row r="196" s="19" customFormat="1"/>
    <row r="197" s="19" customFormat="1"/>
    <row r="198" s="19" customFormat="1"/>
    <row r="199" s="19" customFormat="1"/>
    <row r="200" s="19" customFormat="1"/>
    <row r="201" s="19" customFormat="1"/>
    <row r="202" s="19" customFormat="1"/>
    <row r="203" s="19" customFormat="1"/>
    <row r="204" s="19" customFormat="1"/>
    <row r="205" s="19" customFormat="1"/>
    <row r="206" s="19" customFormat="1"/>
    <row r="207" s="19" customFormat="1"/>
    <row r="208" s="19" customFormat="1"/>
    <row r="209" s="19" customFormat="1"/>
    <row r="210" s="19" customFormat="1"/>
    <row r="211" s="19" customFormat="1"/>
    <row r="212" s="19" customFormat="1"/>
    <row r="213" s="19" customFormat="1"/>
    <row r="214" s="19" customFormat="1"/>
    <row r="215" s="19" customFormat="1"/>
    <row r="216" s="19" customFormat="1"/>
    <row r="217" s="19" customFormat="1"/>
    <row r="218" s="19" customFormat="1"/>
    <row r="219" s="19" customFormat="1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  <row r="234" s="19" customFormat="1"/>
    <row r="235" s="19" customFormat="1"/>
    <row r="236" s="19" customFormat="1"/>
    <row r="237" s="19" customFormat="1"/>
    <row r="238" s="19" customFormat="1"/>
    <row r="239" s="19" customFormat="1"/>
    <row r="240" s="19" customFormat="1"/>
    <row r="241" s="19" customFormat="1"/>
    <row r="242" s="19" customFormat="1"/>
    <row r="243" s="19" customFormat="1"/>
    <row r="244" s="19" customFormat="1"/>
    <row r="245" s="19" customFormat="1"/>
    <row r="246" s="19" customFormat="1"/>
    <row r="247" s="19" customFormat="1"/>
    <row r="248" s="19" customFormat="1"/>
    <row r="249" s="19" customFormat="1"/>
    <row r="250" s="19" customFormat="1"/>
    <row r="251" s="19" customFormat="1"/>
    <row r="252" s="19" customFormat="1"/>
    <row r="253" s="19" customFormat="1"/>
    <row r="254" s="19" customFormat="1"/>
    <row r="255" s="19" customFormat="1"/>
    <row r="256" s="19" customFormat="1"/>
    <row r="257" s="19" customFormat="1"/>
    <row r="258" s="19" customFormat="1"/>
    <row r="259" s="19" customFormat="1"/>
    <row r="260" s="19" customFormat="1"/>
    <row r="261" s="19" customFormat="1"/>
    <row r="262" s="19" customFormat="1"/>
    <row r="263" s="19" customFormat="1"/>
    <row r="264" s="19" customFormat="1"/>
    <row r="265" s="19" customFormat="1"/>
    <row r="266" s="19" customFormat="1"/>
    <row r="267" s="19" customFormat="1"/>
    <row r="268" s="19" customFormat="1"/>
    <row r="269" s="19" customFormat="1"/>
    <row r="270" s="19" customFormat="1"/>
    <row r="271" s="19" customFormat="1"/>
    <row r="272" s="19" customFormat="1"/>
    <row r="273" s="19" customFormat="1"/>
    <row r="274" s="19" customFormat="1"/>
    <row r="275" s="19" customFormat="1"/>
    <row r="276" s="19" customFormat="1"/>
    <row r="277" s="19" customFormat="1"/>
    <row r="278" s="19" customFormat="1"/>
    <row r="279" s="19" customFormat="1"/>
    <row r="280" s="19" customFormat="1"/>
    <row r="281" s="19" customFormat="1"/>
    <row r="282" s="19" customFormat="1"/>
    <row r="283" s="19" customFormat="1"/>
    <row r="284" s="19" customFormat="1"/>
    <row r="285" s="19" customFormat="1"/>
    <row r="286" s="19" customFormat="1"/>
    <row r="287" s="19" customFormat="1"/>
    <row r="288" s="19" customFormat="1"/>
    <row r="289" s="19" customFormat="1"/>
    <row r="290" s="19" customFormat="1"/>
    <row r="291" s="19" customFormat="1"/>
    <row r="292" s="19" customFormat="1"/>
    <row r="293" s="19" customFormat="1"/>
    <row r="294" s="19" customFormat="1"/>
    <row r="295" s="19" customFormat="1"/>
    <row r="296" s="19" customFormat="1"/>
    <row r="297" s="19" customFormat="1"/>
    <row r="298" s="19" customFormat="1"/>
    <row r="299" s="19" customFormat="1"/>
    <row r="300" s="19" customFormat="1"/>
    <row r="301" s="19" customFormat="1"/>
    <row r="302" s="19" customFormat="1"/>
    <row r="303" s="19" customFormat="1"/>
    <row r="304" s="19" customFormat="1"/>
    <row r="305" s="19" customFormat="1"/>
    <row r="306" s="19" customFormat="1"/>
    <row r="307" s="19" customFormat="1"/>
    <row r="308" s="19" customFormat="1"/>
    <row r="309" s="19" customFormat="1"/>
    <row r="310" s="19" customFormat="1"/>
    <row r="311" s="19" customFormat="1"/>
    <row r="312" s="19" customFormat="1"/>
    <row r="313" s="19" customFormat="1"/>
    <row r="314" s="19" customFormat="1"/>
    <row r="315" s="19" customFormat="1"/>
    <row r="316" s="19" customFormat="1"/>
    <row r="317" s="19" customFormat="1"/>
    <row r="318" s="19" customFormat="1"/>
    <row r="319" s="19" customFormat="1"/>
    <row r="320" s="19" customFormat="1"/>
    <row r="321" s="19" customFormat="1"/>
    <row r="322" s="19" customFormat="1"/>
    <row r="323" s="19" customFormat="1"/>
    <row r="324" s="19" customFormat="1"/>
    <row r="325" s="19" customFormat="1"/>
    <row r="326" s="19" customFormat="1"/>
    <row r="327" s="19" customFormat="1"/>
    <row r="328" s="19" customFormat="1"/>
    <row r="329" s="19" customFormat="1"/>
    <row r="330" s="19" customFormat="1"/>
    <row r="331" s="19" customFormat="1"/>
    <row r="332" s="19" customFormat="1"/>
    <row r="333" s="19" customFormat="1"/>
    <row r="334" s="19" customFormat="1"/>
    <row r="335" s="19" customFormat="1"/>
    <row r="336" s="19" customFormat="1"/>
    <row r="337" s="19" customFormat="1"/>
    <row r="338" s="19" customFormat="1"/>
    <row r="339" s="19" customFormat="1"/>
    <row r="340" s="19" customFormat="1"/>
    <row r="341" s="19" customFormat="1"/>
    <row r="342" s="19" customFormat="1"/>
    <row r="343" s="19" customFormat="1"/>
    <row r="344" s="19" customFormat="1"/>
    <row r="345" s="19" customFormat="1"/>
    <row r="346" s="19" customFormat="1"/>
    <row r="347" s="19" customFormat="1"/>
    <row r="348" s="19" customFormat="1"/>
    <row r="349" s="19" customFormat="1"/>
    <row r="350" s="19" customFormat="1"/>
    <row r="351" s="19" customFormat="1"/>
    <row r="352" s="19" customFormat="1"/>
    <row r="353" s="19" customFormat="1"/>
    <row r="354" s="19" customFormat="1"/>
    <row r="355" s="19" customFormat="1"/>
    <row r="356" s="19" customFormat="1"/>
    <row r="357" s="19" customFormat="1"/>
    <row r="358" s="19" customFormat="1"/>
    <row r="359" s="19" customFormat="1"/>
    <row r="360" s="19" customFormat="1"/>
    <row r="361" s="19" customFormat="1"/>
    <row r="362" s="19" customFormat="1"/>
    <row r="363" s="19" customFormat="1"/>
    <row r="364" s="19" customFormat="1"/>
    <row r="365" s="19" customFormat="1"/>
    <row r="366" s="19" customFormat="1"/>
    <row r="367" s="19" customFormat="1"/>
    <row r="368" s="19" customFormat="1"/>
    <row r="369" s="19" customFormat="1"/>
    <row r="370" s="19" customFormat="1"/>
    <row r="371" s="19" customFormat="1"/>
    <row r="372" s="19" customFormat="1"/>
    <row r="373" s="19" customFormat="1"/>
    <row r="374" s="19" customFormat="1"/>
    <row r="375" s="19" customFormat="1"/>
    <row r="376" s="19" customFormat="1"/>
    <row r="377" s="19" customFormat="1"/>
    <row r="378" s="19" customFormat="1"/>
    <row r="379" s="19" customFormat="1"/>
    <row r="380" s="19" customFormat="1"/>
    <row r="381" s="19" customFormat="1"/>
    <row r="382" s="19" customFormat="1"/>
    <row r="383" s="19" customFormat="1"/>
    <row r="384" s="19" customFormat="1"/>
    <row r="385" s="19" customFormat="1"/>
    <row r="386" s="19" customFormat="1"/>
    <row r="387" s="19" customFormat="1"/>
    <row r="388" s="19" customFormat="1"/>
    <row r="389" s="19" customFormat="1"/>
    <row r="390" s="19" customFormat="1"/>
    <row r="391" s="19" customFormat="1"/>
    <row r="392" s="19" customFormat="1"/>
    <row r="393" s="19" customFormat="1"/>
    <row r="394" s="19" customFormat="1"/>
    <row r="395" s="19" customFormat="1"/>
    <row r="396" s="19" customFormat="1"/>
    <row r="397" s="19" customFormat="1"/>
    <row r="398" s="19" customFormat="1"/>
    <row r="399" s="19" customFormat="1"/>
    <row r="400" s="19" customFormat="1"/>
    <row r="401" s="19" customFormat="1"/>
    <row r="402" s="19" customFormat="1"/>
    <row r="403" s="19" customFormat="1"/>
    <row r="404" s="19" customFormat="1"/>
    <row r="405" s="19" customFormat="1"/>
    <row r="406" s="19" customFormat="1"/>
    <row r="407" s="19" customFormat="1"/>
    <row r="408" s="19" customFormat="1"/>
    <row r="409" s="19" customFormat="1"/>
    <row r="410" s="19" customFormat="1"/>
    <row r="411" s="19" customFormat="1"/>
    <row r="412" s="19" customFormat="1"/>
    <row r="413" s="19" customFormat="1"/>
    <row r="414" s="19" customFormat="1"/>
    <row r="415" s="19" customFormat="1"/>
    <row r="416" s="19" customFormat="1"/>
    <row r="417" s="19" customFormat="1"/>
    <row r="418" s="19" customFormat="1"/>
    <row r="419" s="19" customFormat="1"/>
    <row r="420" s="19" customFormat="1"/>
    <row r="421" s="19" customFormat="1"/>
    <row r="422" s="19" customFormat="1"/>
    <row r="423" s="19" customFormat="1"/>
    <row r="424" s="19" customFormat="1"/>
    <row r="425" s="19" customFormat="1"/>
    <row r="426" s="19" customFormat="1"/>
    <row r="427" s="19" customFormat="1"/>
    <row r="428" s="19" customFormat="1"/>
    <row r="429" s="19" customFormat="1"/>
    <row r="430" s="19" customFormat="1"/>
    <row r="431" s="19" customFormat="1"/>
    <row r="432" s="19" customFormat="1"/>
    <row r="433" s="19" customFormat="1"/>
    <row r="434" s="19" customFormat="1"/>
    <row r="435" s="19" customFormat="1"/>
    <row r="436" s="19" customFormat="1"/>
    <row r="437" s="19" customFormat="1"/>
    <row r="438" s="19" customFormat="1"/>
    <row r="439" s="19" customFormat="1"/>
    <row r="440" s="19" customFormat="1"/>
    <row r="441" s="19" customFormat="1"/>
    <row r="442" s="19" customFormat="1"/>
    <row r="443" s="19" customFormat="1"/>
    <row r="444" s="19" customFormat="1"/>
    <row r="445" s="19" customFormat="1"/>
    <row r="446" s="19" customFormat="1"/>
    <row r="447" s="19" customFormat="1"/>
    <row r="448" s="19" customFormat="1"/>
    <row r="449" s="19" customFormat="1"/>
    <row r="450" s="19" customFormat="1"/>
    <row r="451" s="19" customFormat="1"/>
    <row r="452" s="19" customFormat="1"/>
    <row r="453" s="19" customFormat="1"/>
    <row r="454" s="19" customFormat="1"/>
    <row r="455" s="19" customFormat="1"/>
    <row r="456" s="19" customFormat="1"/>
    <row r="457" s="19" customFormat="1"/>
    <row r="458" s="19" customFormat="1"/>
    <row r="459" s="19" customFormat="1"/>
    <row r="460" s="19" customFormat="1"/>
    <row r="461" s="19" customFormat="1"/>
    <row r="462" s="19" customFormat="1"/>
    <row r="463" s="19" customFormat="1"/>
    <row r="464" s="19" customFormat="1"/>
    <row r="465" s="19" customFormat="1"/>
    <row r="466" s="19" customFormat="1"/>
    <row r="467" s="19" customFormat="1"/>
    <row r="468" s="19" customFormat="1"/>
    <row r="469" s="19" customFormat="1"/>
    <row r="470" s="19" customFormat="1"/>
    <row r="471" s="19" customFormat="1"/>
    <row r="472" s="19" customFormat="1"/>
    <row r="473" s="19" customFormat="1"/>
    <row r="474" s="19" customFormat="1"/>
    <row r="475" s="19" customFormat="1"/>
    <row r="476" s="19" customFormat="1"/>
    <row r="477" s="19" customFormat="1"/>
    <row r="478" s="19" customFormat="1"/>
    <row r="479" s="19" customFormat="1"/>
    <row r="480" s="19" customFormat="1"/>
    <row r="481" s="19" customFormat="1"/>
    <row r="482" s="19" customFormat="1"/>
    <row r="483" s="19" customFormat="1"/>
    <row r="484" s="19" customFormat="1"/>
    <row r="485" s="19" customFormat="1"/>
    <row r="486" s="19" customFormat="1"/>
    <row r="487" s="19" customFormat="1"/>
    <row r="488" s="19" customFormat="1"/>
    <row r="489" s="19" customFormat="1"/>
    <row r="490" s="19" customFormat="1"/>
    <row r="491" s="19" customFormat="1"/>
    <row r="492" s="19" customFormat="1"/>
    <row r="493" s="19" customFormat="1"/>
    <row r="494" s="19" customFormat="1"/>
    <row r="495" s="19" customFormat="1"/>
    <row r="496" s="19" customFormat="1"/>
    <row r="497" s="19" customFormat="1"/>
    <row r="498" s="19" customFormat="1"/>
    <row r="499" s="19" customFormat="1"/>
    <row r="500" s="19" customFormat="1"/>
    <row r="501" s="19" customFormat="1"/>
    <row r="502" s="19" customFormat="1"/>
    <row r="503" s="19" customFormat="1"/>
    <row r="504" s="19" customFormat="1"/>
    <row r="505" s="19" customFormat="1"/>
    <row r="506" s="19" customFormat="1"/>
    <row r="507" s="19" customFormat="1"/>
    <row r="508" s="19" customFormat="1"/>
    <row r="509" s="19" customFormat="1"/>
    <row r="510" s="19" customFormat="1"/>
    <row r="511" s="19" customFormat="1"/>
    <row r="512" s="19" customFormat="1"/>
    <row r="513" s="19" customFormat="1"/>
    <row r="514" s="19" customFormat="1"/>
    <row r="515" s="19" customFormat="1"/>
    <row r="516" s="19" customFormat="1"/>
    <row r="517" s="19" customFormat="1"/>
    <row r="518" s="19" customFormat="1"/>
    <row r="519" s="19" customFormat="1"/>
    <row r="520" s="19" customFormat="1"/>
    <row r="521" s="19" customFormat="1"/>
    <row r="522" s="19" customFormat="1"/>
    <row r="523" s="19" customFormat="1"/>
    <row r="524" s="19" customFormat="1"/>
    <row r="525" s="19" customFormat="1"/>
    <row r="526" s="19" customFormat="1"/>
    <row r="527" s="19" customFormat="1"/>
    <row r="528" s="19" customFormat="1"/>
    <row r="529" s="19" customFormat="1"/>
    <row r="530" s="19" customFormat="1"/>
    <row r="531" s="19" customFormat="1"/>
    <row r="532" s="19" customFormat="1"/>
    <row r="533" s="19" customFormat="1"/>
    <row r="534" s="19" customFormat="1"/>
    <row r="535" s="19" customFormat="1"/>
    <row r="536" s="19" customFormat="1"/>
    <row r="537" s="19" customFormat="1"/>
    <row r="538" s="19" customFormat="1"/>
    <row r="539" s="19" customFormat="1"/>
    <row r="540" s="19" customFormat="1"/>
    <row r="541" s="19" customFormat="1"/>
    <row r="542" s="19" customFormat="1"/>
    <row r="543" s="19" customFormat="1"/>
    <row r="544" s="19" customFormat="1"/>
    <row r="545" s="19" customFormat="1"/>
    <row r="546" s="19" customFormat="1"/>
    <row r="547" s="19" customFormat="1"/>
    <row r="548" s="19" customFormat="1"/>
    <row r="549" s="19" customFormat="1"/>
    <row r="550" s="19" customFormat="1"/>
    <row r="551" s="19" customFormat="1"/>
    <row r="552" s="19" customFormat="1"/>
    <row r="553" s="19" customFormat="1"/>
    <row r="554" s="19" customFormat="1"/>
    <row r="555" s="19" customFormat="1"/>
    <row r="556" s="19" customFormat="1"/>
    <row r="557" s="19" customFormat="1"/>
    <row r="558" s="19" customFormat="1"/>
    <row r="559" s="19" customFormat="1"/>
    <row r="560" s="19" customFormat="1"/>
    <row r="561" s="19" customFormat="1"/>
    <row r="562" s="19" customFormat="1"/>
    <row r="563" s="19" customFormat="1"/>
    <row r="564" s="19" customFormat="1"/>
    <row r="565" s="19" customFormat="1"/>
    <row r="566" s="19" customFormat="1"/>
    <row r="567" s="19" customFormat="1"/>
    <row r="568" s="19" customFormat="1"/>
    <row r="569" s="19" customFormat="1"/>
    <row r="570" s="19" customFormat="1"/>
    <row r="571" s="19" customFormat="1"/>
    <row r="572" s="19" customFormat="1"/>
    <row r="573" s="19" customFormat="1"/>
    <row r="574" s="19" customFormat="1"/>
    <row r="575" s="19" customFormat="1"/>
    <row r="576" s="19" customFormat="1"/>
    <row r="577" s="19" customFormat="1"/>
    <row r="578" s="19" customFormat="1"/>
    <row r="579" s="19" customFormat="1"/>
    <row r="580" s="19" customFormat="1"/>
    <row r="581" s="19" customFormat="1"/>
    <row r="582" s="19" customFormat="1"/>
    <row r="583" s="19" customFormat="1"/>
    <row r="584" s="19" customFormat="1"/>
    <row r="585" s="19" customFormat="1"/>
    <row r="586" s="19" customFormat="1"/>
    <row r="587" s="19" customFormat="1"/>
    <row r="588" s="19" customFormat="1"/>
    <row r="589" s="19" customFormat="1"/>
    <row r="590" s="19" customFormat="1"/>
    <row r="591" s="19" customFormat="1"/>
    <row r="592" s="19" customFormat="1"/>
    <row r="593" s="19" customFormat="1"/>
    <row r="594" s="19" customFormat="1"/>
    <row r="595" s="19" customFormat="1"/>
    <row r="596" s="19" customFormat="1"/>
    <row r="597" s="19" customFormat="1"/>
    <row r="598" s="19" customFormat="1"/>
    <row r="599" s="19" customFormat="1"/>
    <row r="600" s="19" customFormat="1"/>
    <row r="601" s="19" customFormat="1"/>
    <row r="602" s="19" customFormat="1"/>
    <row r="603" s="19" customFormat="1"/>
    <row r="604" s="19" customFormat="1"/>
    <row r="605" s="19" customFormat="1"/>
    <row r="606" s="19" customFormat="1"/>
    <row r="607" s="19" customFormat="1"/>
    <row r="608" s="19" customFormat="1"/>
    <row r="609" s="19" customFormat="1"/>
    <row r="610" s="19" customFormat="1"/>
    <row r="611" s="19" customFormat="1"/>
    <row r="612" s="19" customFormat="1"/>
    <row r="613" s="19" customFormat="1"/>
    <row r="614" s="19" customFormat="1"/>
    <row r="615" s="19" customFormat="1"/>
    <row r="616" s="19" customFormat="1"/>
    <row r="617" s="19" customFormat="1"/>
    <row r="618" s="19" customFormat="1"/>
    <row r="619" s="19" customFormat="1"/>
    <row r="620" s="19" customFormat="1"/>
    <row r="621" s="19" customFormat="1"/>
    <row r="622" s="19" customFormat="1"/>
    <row r="623" s="19" customFormat="1"/>
    <row r="624" s="19" customFormat="1"/>
    <row r="625" s="19" customFormat="1"/>
    <row r="626" s="19" customFormat="1"/>
    <row r="627" s="19" customFormat="1"/>
    <row r="628" s="19" customFormat="1"/>
    <row r="629" s="19" customFormat="1"/>
    <row r="630" s="19" customFormat="1"/>
    <row r="631" s="19" customFormat="1"/>
    <row r="632" s="19" customFormat="1"/>
    <row r="633" s="19" customFormat="1"/>
    <row r="634" s="19" customFormat="1"/>
    <row r="635" s="19" customFormat="1"/>
    <row r="636" s="19" customFormat="1"/>
    <row r="637" s="19" customFormat="1"/>
    <row r="638" s="19" customFormat="1"/>
    <row r="639" s="19" customFormat="1"/>
    <row r="640" s="19" customFormat="1"/>
    <row r="641" s="19" customFormat="1"/>
    <row r="642" s="19" customFormat="1"/>
    <row r="643" s="19" customFormat="1"/>
    <row r="644" s="19" customFormat="1"/>
    <row r="645" s="19" customFormat="1"/>
    <row r="646" s="19" customFormat="1"/>
    <row r="647" s="19" customFormat="1"/>
    <row r="648" s="19" customFormat="1"/>
    <row r="649" s="19" customFormat="1"/>
    <row r="650" s="19" customFormat="1"/>
    <row r="651" s="19" customFormat="1"/>
    <row r="652" s="19" customFormat="1"/>
    <row r="653" s="19" customFormat="1"/>
    <row r="654" s="19" customFormat="1"/>
    <row r="655" s="19" customFormat="1"/>
    <row r="656" s="19" customFormat="1"/>
    <row r="657" s="19" customFormat="1"/>
    <row r="658" s="19" customFormat="1"/>
    <row r="659" s="19" customFormat="1"/>
    <row r="660" s="19" customFormat="1"/>
    <row r="661" s="19" customFormat="1"/>
    <row r="662" s="19" customFormat="1"/>
    <row r="663" s="19" customFormat="1"/>
    <row r="664" s="19" customFormat="1"/>
    <row r="665" s="19" customFormat="1"/>
    <row r="666" s="19" customFormat="1"/>
    <row r="667" s="19" customFormat="1"/>
    <row r="668" s="19" customFormat="1"/>
    <row r="669" s="19" customFormat="1"/>
    <row r="670" s="19" customFormat="1"/>
    <row r="671" s="19" customFormat="1"/>
    <row r="672" s="19" customFormat="1"/>
    <row r="673" s="19" customFormat="1"/>
    <row r="674" s="19" customFormat="1"/>
    <row r="675" s="19" customFormat="1"/>
    <row r="676" s="19" customFormat="1"/>
    <row r="677" s="19" customFormat="1"/>
    <row r="678" s="19" customFormat="1"/>
    <row r="679" s="19" customFormat="1"/>
    <row r="680" s="19" customFormat="1"/>
    <row r="681" s="19" customFormat="1"/>
    <row r="682" s="19" customFormat="1"/>
    <row r="683" s="19" customFormat="1"/>
    <row r="684" s="19" customFormat="1"/>
    <row r="685" s="19" customFormat="1"/>
    <row r="686" s="19" customFormat="1"/>
    <row r="687" s="19" customFormat="1"/>
    <row r="688" s="19" customFormat="1"/>
    <row r="689" s="19" customFormat="1"/>
    <row r="690" s="19" customFormat="1"/>
    <row r="691" s="19" customFormat="1"/>
    <row r="692" s="19" customFormat="1"/>
    <row r="693" s="19" customFormat="1"/>
    <row r="694" s="19" customFormat="1"/>
    <row r="695" s="19" customFormat="1"/>
    <row r="696" s="19" customFormat="1"/>
    <row r="697" s="19" customFormat="1"/>
    <row r="698" s="19" customFormat="1"/>
    <row r="699" s="19" customFormat="1"/>
    <row r="700" s="19" customFormat="1"/>
    <row r="701" s="19" customFormat="1"/>
    <row r="702" s="19" customFormat="1"/>
    <row r="703" s="19" customFormat="1"/>
    <row r="704" s="19" customFormat="1"/>
    <row r="705" s="19" customFormat="1"/>
    <row r="706" s="19" customFormat="1"/>
    <row r="707" s="19" customFormat="1"/>
    <row r="708" s="19" customFormat="1"/>
    <row r="709" s="19" customFormat="1"/>
    <row r="710" s="19" customFormat="1"/>
    <row r="711" s="19" customFormat="1"/>
    <row r="712" s="19" customFormat="1"/>
    <row r="713" s="19" customFormat="1"/>
    <row r="714" s="19" customFormat="1"/>
    <row r="715" s="19" customFormat="1"/>
    <row r="716" s="19" customFormat="1"/>
    <row r="717" s="19" customFormat="1"/>
    <row r="718" s="19" customFormat="1"/>
    <row r="719" s="19" customFormat="1"/>
    <row r="720" s="19" customFormat="1"/>
    <row r="721" s="19" customFormat="1"/>
    <row r="722" s="19" customFormat="1"/>
    <row r="723" s="19" customFormat="1"/>
    <row r="724" s="19" customFormat="1"/>
    <row r="725" s="19" customFormat="1"/>
    <row r="726" s="19" customFormat="1"/>
    <row r="727" s="19" customFormat="1"/>
    <row r="728" s="19" customFormat="1"/>
    <row r="729" s="19" customFormat="1"/>
    <row r="730" s="19" customFormat="1"/>
    <row r="731" s="19" customFormat="1"/>
    <row r="732" s="19" customFormat="1"/>
    <row r="733" s="19" customFormat="1"/>
    <row r="734" s="19" customFormat="1"/>
    <row r="735" s="19" customFormat="1"/>
    <row r="736" s="19" customFormat="1"/>
    <row r="737" s="19" customFormat="1"/>
    <row r="738" s="19" customFormat="1"/>
    <row r="739" s="19" customFormat="1"/>
    <row r="740" s="19" customFormat="1"/>
    <row r="741" s="19" customFormat="1"/>
    <row r="742" s="19" customFormat="1"/>
    <row r="743" s="19" customFormat="1"/>
    <row r="744" s="19" customFormat="1"/>
    <row r="745" s="19" customFormat="1"/>
    <row r="746" s="19" customFormat="1"/>
    <row r="747" s="19" customFormat="1"/>
    <row r="748" s="19" customFormat="1"/>
    <row r="749" s="19" customFormat="1"/>
    <row r="750" s="19" customFormat="1"/>
    <row r="751" s="19" customFormat="1"/>
    <row r="752" s="19" customFormat="1"/>
    <row r="753" s="19" customFormat="1"/>
    <row r="754" s="19" customFormat="1"/>
    <row r="755" s="19" customFormat="1"/>
    <row r="756" s="19" customFormat="1"/>
    <row r="757" s="19" customFormat="1"/>
    <row r="758" s="19" customFormat="1"/>
    <row r="759" s="19" customFormat="1"/>
    <row r="760" s="19" customFormat="1"/>
    <row r="761" s="19" customFormat="1"/>
    <row r="762" s="19" customFormat="1"/>
    <row r="763" s="19" customFormat="1"/>
    <row r="764" s="19" customFormat="1"/>
    <row r="765" s="19" customFormat="1"/>
    <row r="766" s="19" customFormat="1"/>
    <row r="767" s="19" customFormat="1"/>
    <row r="768" s="19" customFormat="1"/>
    <row r="769" s="19" customFormat="1"/>
    <row r="770" s="19" customFormat="1"/>
    <row r="771" s="19" customFormat="1"/>
    <row r="772" s="19" customFormat="1"/>
    <row r="773" s="19" customFormat="1"/>
    <row r="774" s="19" customFormat="1"/>
    <row r="775" s="19" customFormat="1"/>
    <row r="776" s="19" customFormat="1"/>
    <row r="777" s="19" customFormat="1"/>
    <row r="778" s="19" customFormat="1"/>
    <row r="779" s="19" customFormat="1"/>
    <row r="780" s="19" customFormat="1"/>
    <row r="781" s="19" customFormat="1"/>
    <row r="782" s="19" customFormat="1"/>
    <row r="783" s="19" customFormat="1"/>
    <row r="784" s="19" customFormat="1"/>
    <row r="785" s="19" customFormat="1"/>
    <row r="786" s="19" customFormat="1"/>
    <row r="787" s="19" customFormat="1"/>
    <row r="788" s="19" customFormat="1"/>
    <row r="789" s="19" customFormat="1"/>
    <row r="790" s="19" customFormat="1"/>
    <row r="791" s="19" customFormat="1"/>
    <row r="792" s="19" customFormat="1"/>
    <row r="793" s="19" customFormat="1"/>
    <row r="794" s="19" customFormat="1"/>
    <row r="795" s="19" customFormat="1"/>
    <row r="796" s="19" customFormat="1"/>
    <row r="797" s="19" customFormat="1"/>
    <row r="798" s="19" customFormat="1"/>
    <row r="799" s="19" customFormat="1"/>
    <row r="800" s="19" customFormat="1"/>
    <row r="801" s="19" customFormat="1"/>
    <row r="802" s="19" customFormat="1"/>
    <row r="803" s="19" customFormat="1"/>
    <row r="804" s="19" customFormat="1"/>
    <row r="805" s="19" customFormat="1"/>
    <row r="806" s="19" customFormat="1"/>
    <row r="807" s="19" customFormat="1"/>
    <row r="808" s="19" customFormat="1"/>
    <row r="809" s="19" customFormat="1"/>
    <row r="810" s="19" customFormat="1"/>
    <row r="811" s="19" customFormat="1"/>
    <row r="812" s="19" customFormat="1"/>
    <row r="813" s="19" customFormat="1"/>
    <row r="814" s="19" customFormat="1"/>
    <row r="815" s="19" customFormat="1"/>
    <row r="816" s="19" customFormat="1"/>
    <row r="817" s="19" customFormat="1"/>
    <row r="818" s="19" customFormat="1"/>
    <row r="819" s="19" customFormat="1"/>
    <row r="820" s="19" customFormat="1"/>
    <row r="821" s="19" customFormat="1"/>
    <row r="822" s="19" customFormat="1"/>
    <row r="823" s="19" customFormat="1"/>
    <row r="824" s="19" customFormat="1"/>
    <row r="825" s="19" customFormat="1"/>
    <row r="826" s="19" customFormat="1"/>
    <row r="827" s="19" customFormat="1"/>
    <row r="828" s="19" customFormat="1"/>
    <row r="829" s="19" customFormat="1"/>
    <row r="830" s="19" customFormat="1"/>
    <row r="831" s="19" customFormat="1"/>
    <row r="832" s="19" customFormat="1"/>
    <row r="833" s="19" customFormat="1"/>
    <row r="834" s="19" customFormat="1"/>
    <row r="835" s="19" customFormat="1"/>
    <row r="836" s="19" customFormat="1"/>
    <row r="837" s="19" customFormat="1"/>
    <row r="838" s="19" customFormat="1"/>
    <row r="839" s="19" customFormat="1"/>
    <row r="840" s="19" customFormat="1"/>
    <row r="841" s="19" customFormat="1"/>
    <row r="842" s="19" customFormat="1"/>
    <row r="843" s="19" customFormat="1"/>
    <row r="844" s="19" customFormat="1"/>
    <row r="845" s="19" customFormat="1"/>
    <row r="846" s="19" customFormat="1"/>
    <row r="847" s="19" customFormat="1"/>
    <row r="848" s="19" customFormat="1"/>
    <row r="849" s="19" customFormat="1"/>
    <row r="850" s="19" customFormat="1"/>
    <row r="851" s="19" customFormat="1"/>
    <row r="852" s="19" customFormat="1"/>
    <row r="853" s="19" customFormat="1"/>
    <row r="854" s="19" customFormat="1"/>
    <row r="855" s="19" customFormat="1"/>
    <row r="856" s="19" customFormat="1"/>
    <row r="857" s="19" customFormat="1"/>
    <row r="858" s="19" customFormat="1"/>
    <row r="859" s="19" customFormat="1"/>
    <row r="860" s="19" customFormat="1"/>
    <row r="861" s="19" customFormat="1"/>
    <row r="862" s="19" customFormat="1"/>
    <row r="863" s="19" customFormat="1"/>
    <row r="864" s="19" customFormat="1"/>
    <row r="865" s="19" customFormat="1"/>
    <row r="866" s="19" customFormat="1"/>
    <row r="867" s="19" customFormat="1"/>
    <row r="868" s="19" customFormat="1"/>
    <row r="869" s="19" customFormat="1"/>
    <row r="870" s="19" customFormat="1"/>
    <row r="871" s="19" customFormat="1"/>
    <row r="872" s="19" customFormat="1"/>
    <row r="873" s="19" customFormat="1"/>
    <row r="874" s="19" customFormat="1"/>
    <row r="875" s="19" customFormat="1"/>
    <row r="876" s="19" customFormat="1"/>
    <row r="877" s="19" customFormat="1"/>
    <row r="878" s="19" customFormat="1"/>
    <row r="879" s="19" customFormat="1"/>
    <row r="880" s="19" customFormat="1"/>
    <row r="881" s="19" customFormat="1"/>
    <row r="882" s="19" customFormat="1"/>
    <row r="883" s="19" customFormat="1"/>
    <row r="884" s="19" customFormat="1"/>
    <row r="885" s="19" customFormat="1"/>
    <row r="886" s="19" customFormat="1"/>
    <row r="887" s="19" customFormat="1"/>
    <row r="888" s="19" customFormat="1"/>
    <row r="889" s="19" customFormat="1"/>
    <row r="890" s="19" customFormat="1"/>
    <row r="891" s="19" customFormat="1"/>
    <row r="892" s="19" customFormat="1"/>
    <row r="893" s="19" customFormat="1"/>
    <row r="894" s="19" customFormat="1"/>
    <row r="895" s="19" customFormat="1"/>
    <row r="896" s="19" customFormat="1"/>
    <row r="897" s="19" customFormat="1"/>
    <row r="898" s="19" customFormat="1"/>
    <row r="899" s="19" customFormat="1"/>
    <row r="900" s="19" customFormat="1"/>
    <row r="901" s="19" customFormat="1"/>
    <row r="902" s="19" customFormat="1"/>
    <row r="903" s="19" customFormat="1"/>
    <row r="904" s="19" customFormat="1"/>
    <row r="905" s="19" customFormat="1"/>
    <row r="906" s="19" customFormat="1"/>
    <row r="907" s="19" customFormat="1"/>
    <row r="908" s="19" customFormat="1"/>
    <row r="909" s="19" customFormat="1"/>
    <row r="910" s="19" customFormat="1"/>
    <row r="911" s="19" customFormat="1"/>
    <row r="912" s="19" customFormat="1"/>
    <row r="913" s="19" customFormat="1"/>
    <row r="914" s="19" customFormat="1"/>
    <row r="915" s="19" customFormat="1"/>
    <row r="916" s="19" customFormat="1"/>
    <row r="917" s="19" customFormat="1"/>
    <row r="918" s="19" customFormat="1"/>
    <row r="919" s="19" customFormat="1"/>
    <row r="920" s="19" customFormat="1"/>
    <row r="921" s="19" customFormat="1"/>
    <row r="922" s="19" customFormat="1"/>
    <row r="923" s="19" customFormat="1"/>
    <row r="924" s="19" customFormat="1"/>
    <row r="925" s="19" customFormat="1"/>
    <row r="926" s="19" customFormat="1"/>
    <row r="927" s="19" customFormat="1"/>
    <row r="928" s="19" customFormat="1"/>
    <row r="929" s="19" customFormat="1"/>
    <row r="930" s="19" customFormat="1"/>
    <row r="931" s="19" customFormat="1"/>
    <row r="932" s="19" customFormat="1"/>
    <row r="933" s="19" customFormat="1"/>
    <row r="934" s="19" customFormat="1"/>
    <row r="935" s="19" customFormat="1"/>
    <row r="936" s="19" customFormat="1"/>
    <row r="937" s="19" customFormat="1"/>
    <row r="938" s="19" customFormat="1"/>
    <row r="939" s="19" customFormat="1"/>
    <row r="940" s="19" customFormat="1"/>
    <row r="941" s="19" customFormat="1"/>
    <row r="942" s="19" customFormat="1"/>
    <row r="943" s="19" customFormat="1"/>
    <row r="944" s="19" customFormat="1"/>
    <row r="945" s="19" customFormat="1"/>
    <row r="946" s="19" customFormat="1"/>
    <row r="947" s="19" customFormat="1"/>
    <row r="948" s="19" customFormat="1"/>
    <row r="949" s="19" customFormat="1"/>
    <row r="950" s="19" customFormat="1"/>
    <row r="951" s="19" customFormat="1"/>
    <row r="952" s="19" customFormat="1"/>
    <row r="953" s="19" customFormat="1"/>
    <row r="954" s="19" customFormat="1"/>
    <row r="955" s="19" customFormat="1"/>
    <row r="956" s="19" customFormat="1"/>
    <row r="957" s="19" customFormat="1"/>
    <row r="958" s="19" customFormat="1"/>
    <row r="959" s="19" customFormat="1"/>
    <row r="960" s="19" customFormat="1"/>
    <row r="961" s="19" customFormat="1"/>
    <row r="962" s="19" customFormat="1"/>
    <row r="963" s="19" customFormat="1"/>
    <row r="964" s="19" customFormat="1"/>
    <row r="965" s="19" customFormat="1"/>
    <row r="966" s="19" customFormat="1"/>
    <row r="967" s="19" customFormat="1"/>
    <row r="968" s="19" customFormat="1"/>
    <row r="969" s="19" customFormat="1"/>
    <row r="970" s="19" customFormat="1"/>
    <row r="971" s="19" customFormat="1"/>
    <row r="972" s="19" customFormat="1"/>
    <row r="973" s="19" customFormat="1"/>
    <row r="974" s="19" customFormat="1"/>
    <row r="975" s="19" customFormat="1"/>
    <row r="976" s="19" customFormat="1"/>
    <row r="977" s="19" customFormat="1"/>
    <row r="978" s="19" customFormat="1"/>
    <row r="979" s="19" customFormat="1"/>
    <row r="980" s="19" customFormat="1"/>
    <row r="981" s="19" customFormat="1"/>
    <row r="982" s="19" customFormat="1"/>
    <row r="983" s="19" customFormat="1"/>
    <row r="984" s="19" customFormat="1"/>
    <row r="985" s="19" customFormat="1"/>
    <row r="986" s="19" customFormat="1"/>
    <row r="987" s="19" customFormat="1"/>
    <row r="988" s="19" customFormat="1"/>
    <row r="989" s="19" customFormat="1"/>
    <row r="990" s="19" customFormat="1"/>
    <row r="991" s="19" customFormat="1"/>
    <row r="992" s="19" customFormat="1"/>
    <row r="993" s="19" customFormat="1"/>
    <row r="994" s="19" customFormat="1"/>
    <row r="995" s="19" customFormat="1"/>
    <row r="996" s="19" customFormat="1"/>
    <row r="997" s="19" customFormat="1"/>
    <row r="998" s="19" customFormat="1"/>
    <row r="999" s="19" customFormat="1"/>
    <row r="1000" s="19" customFormat="1"/>
    <row r="1001" s="19" customFormat="1"/>
    <row r="1002" s="19" customFormat="1"/>
    <row r="1003" s="19" customFormat="1"/>
    <row r="1004" s="19" customFormat="1"/>
    <row r="1005" s="19" customFormat="1"/>
    <row r="1006" s="19" customFormat="1"/>
    <row r="1007" s="19" customFormat="1"/>
    <row r="1008" s="19" customFormat="1"/>
    <row r="1009" s="19" customFormat="1"/>
    <row r="1010" s="19" customFormat="1"/>
    <row r="1011" s="19" customFormat="1"/>
    <row r="1012" s="19" customFormat="1"/>
    <row r="1013" s="19" customFormat="1"/>
    <row r="1014" s="19" customFormat="1"/>
    <row r="1015" s="19" customFormat="1"/>
    <row r="1016" s="19" customFormat="1"/>
    <row r="1017" s="19" customFormat="1"/>
    <row r="1018" s="19" customFormat="1"/>
    <row r="1019" s="19" customFormat="1"/>
    <row r="1020" s="19" customFormat="1"/>
    <row r="1021" s="19" customFormat="1"/>
    <row r="1022" s="19" customFormat="1"/>
    <row r="1023" s="19" customFormat="1"/>
    <row r="1024" s="19" customFormat="1"/>
    <row r="1025" s="19" customFormat="1"/>
    <row r="1026" s="19" customFormat="1"/>
    <row r="1027" s="19" customFormat="1"/>
    <row r="1028" s="19" customFormat="1"/>
    <row r="1029" s="19" customFormat="1"/>
    <row r="1030" s="19" customFormat="1"/>
    <row r="1031" s="19" customFormat="1"/>
    <row r="1032" s="19" customFormat="1"/>
    <row r="1033" s="19" customFormat="1"/>
    <row r="1034" s="19" customFormat="1"/>
    <row r="1035" s="19" customFormat="1"/>
    <row r="1036" s="19" customFormat="1"/>
    <row r="1037" s="19" customFormat="1"/>
    <row r="1038" s="19" customFormat="1"/>
    <row r="1039" s="19" customFormat="1"/>
    <row r="1040" s="19" customFormat="1"/>
    <row r="1041" s="19" customFormat="1"/>
    <row r="1042" s="19" customFormat="1"/>
    <row r="1043" s="19" customFormat="1"/>
    <row r="1044" s="19" customFormat="1"/>
    <row r="1045" s="19" customFormat="1"/>
    <row r="1046" s="19" customFormat="1"/>
    <row r="1047" s="19" customFormat="1"/>
    <row r="1048" s="19" customFormat="1"/>
    <row r="1049" s="19" customFormat="1"/>
    <row r="1050" s="19" customFormat="1"/>
    <row r="1051" s="19" customFormat="1"/>
    <row r="1052" s="19" customFormat="1"/>
    <row r="1053" s="19" customFormat="1"/>
    <row r="1054" s="19" customFormat="1"/>
    <row r="1055" s="19" customFormat="1"/>
    <row r="1056" s="19" customFormat="1"/>
    <row r="1057" s="19" customFormat="1"/>
    <row r="1058" s="19" customFormat="1"/>
    <row r="1059" s="19" customFormat="1"/>
    <row r="1060" s="19" customFormat="1"/>
    <row r="1061" s="19" customFormat="1"/>
    <row r="1062" s="19" customFormat="1"/>
    <row r="1063" s="19" customFormat="1"/>
    <row r="1064" s="19" customFormat="1"/>
    <row r="1065" s="19" customFormat="1"/>
    <row r="1066" s="19" customFormat="1"/>
    <row r="1067" s="19" customFormat="1"/>
    <row r="1068" s="19" customFormat="1"/>
    <row r="1069" s="19" customFormat="1"/>
    <row r="1070" s="19" customFormat="1"/>
    <row r="1071" s="19" customFormat="1"/>
    <row r="1072" s="19" customFormat="1"/>
    <row r="1073" s="19" customFormat="1"/>
    <row r="1074" s="19" customFormat="1"/>
    <row r="1075" s="19" customFormat="1"/>
    <row r="1076" s="19" customFormat="1"/>
    <row r="1077" s="19" customFormat="1"/>
    <row r="1078" s="19" customFormat="1"/>
    <row r="1079" s="19" customFormat="1"/>
    <row r="1080" s="19" customFormat="1"/>
    <row r="1081" s="19" customFormat="1"/>
    <row r="1082" s="19" customFormat="1"/>
    <row r="1083" s="19" customFormat="1"/>
    <row r="1084" s="19" customFormat="1"/>
    <row r="1085" s="19" customFormat="1"/>
    <row r="1086" s="19" customFormat="1"/>
    <row r="1087" s="19" customFormat="1"/>
    <row r="1088" s="19" customFormat="1"/>
    <row r="1089" s="19" customFormat="1"/>
    <row r="1090" s="19" customFormat="1"/>
    <row r="1091" s="19" customFormat="1"/>
    <row r="1092" s="19" customFormat="1"/>
    <row r="1093" s="19" customFormat="1"/>
    <row r="1094" s="19" customFormat="1"/>
    <row r="1095" s="19" customFormat="1"/>
    <row r="1096" s="19" customFormat="1"/>
    <row r="1097" s="19" customFormat="1"/>
    <row r="1098" s="19" customFormat="1"/>
    <row r="1099" s="19" customFormat="1"/>
    <row r="1100" s="19" customFormat="1"/>
    <row r="1101" s="19" customFormat="1"/>
    <row r="1102" s="19" customFormat="1"/>
    <row r="1103" s="19" customFormat="1"/>
    <row r="1104" s="19" customFormat="1"/>
    <row r="1105" s="19" customFormat="1"/>
    <row r="1106" s="19" customFormat="1"/>
    <row r="1107" s="19" customFormat="1"/>
    <row r="1108" s="19" customFormat="1"/>
    <row r="1109" s="19" customFormat="1"/>
    <row r="1110" s="19" customFormat="1"/>
    <row r="1111" s="19" customFormat="1"/>
    <row r="1112" s="19" customFormat="1"/>
    <row r="1113" s="19" customFormat="1"/>
    <row r="1114" s="19" customFormat="1"/>
    <row r="1115" s="19" customFormat="1"/>
    <row r="1116" s="19" customFormat="1"/>
    <row r="1117" s="19" customFormat="1"/>
    <row r="1118" s="19" customFormat="1"/>
    <row r="1119" s="19" customFormat="1"/>
    <row r="1120" s="19" customFormat="1"/>
    <row r="1121" s="19" customFormat="1"/>
    <row r="1122" s="19" customFormat="1"/>
    <row r="1123" s="19" customFormat="1"/>
    <row r="1124" s="19" customFormat="1"/>
    <row r="1125" s="19" customFormat="1"/>
    <row r="1126" s="19" customFormat="1"/>
    <row r="1127" s="19" customFormat="1"/>
    <row r="1128" s="19" customFormat="1"/>
    <row r="1129" s="19" customFormat="1"/>
    <row r="1130" s="19" customFormat="1"/>
    <row r="1131" s="19" customFormat="1"/>
    <row r="1132" s="19" customFormat="1"/>
    <row r="1133" s="19" customFormat="1"/>
    <row r="1134" s="19" customFormat="1"/>
    <row r="1135" s="19" customFormat="1"/>
    <row r="1136" s="19" customFormat="1"/>
    <row r="1137" s="19" customFormat="1"/>
    <row r="1138" s="19" customFormat="1"/>
    <row r="1139" s="19" customFormat="1"/>
    <row r="1140" s="19" customFormat="1"/>
    <row r="1141" s="19" customFormat="1"/>
    <row r="1142" s="19" customFormat="1"/>
    <row r="1143" s="19" customFormat="1"/>
    <row r="1144" s="19" customFormat="1"/>
    <row r="1145" s="19" customFormat="1"/>
    <row r="1146" s="19" customFormat="1"/>
    <row r="1147" s="19" customFormat="1"/>
    <row r="1148" s="19" customFormat="1"/>
    <row r="1149" s="19" customFormat="1"/>
    <row r="1150" s="19" customFormat="1"/>
    <row r="1151" s="19" customFormat="1"/>
    <row r="1152" s="19" customFormat="1"/>
    <row r="1153" s="19" customFormat="1"/>
    <row r="1154" s="19" customFormat="1"/>
    <row r="1155" s="19" customFormat="1"/>
    <row r="1156" s="19" customFormat="1"/>
    <row r="1157" s="19" customFormat="1"/>
    <row r="1158" s="19" customFormat="1"/>
    <row r="1159" s="19" customFormat="1"/>
    <row r="1160" s="19" customFormat="1"/>
    <row r="1161" s="19" customFormat="1"/>
    <row r="1162" s="19" customFormat="1"/>
    <row r="1163" s="19" customFormat="1"/>
    <row r="1164" s="19" customFormat="1"/>
    <row r="1165" s="19" customFormat="1"/>
    <row r="1166" s="19" customFormat="1"/>
    <row r="1167" s="19" customFormat="1"/>
    <row r="1168" s="19" customFormat="1"/>
    <row r="1169" s="19" customFormat="1"/>
    <row r="1170" s="19" customFormat="1"/>
    <row r="1171" s="19" customFormat="1"/>
    <row r="1172" s="19" customFormat="1"/>
    <row r="1173" s="19" customFormat="1"/>
    <row r="1174" s="19" customFormat="1"/>
    <row r="1175" s="19" customFormat="1"/>
    <row r="1176" s="19" customFormat="1"/>
    <row r="1177" s="19" customFormat="1"/>
    <row r="1178" s="19" customFormat="1"/>
    <row r="1179" s="19" customFormat="1"/>
    <row r="1180" s="19" customFormat="1"/>
    <row r="1181" s="19" customFormat="1"/>
    <row r="1182" s="19" customFormat="1"/>
    <row r="1183" s="19" customFormat="1"/>
    <row r="1184" s="19" customFormat="1"/>
    <row r="1185" s="19" customFormat="1"/>
    <row r="1186" s="19" customFormat="1"/>
    <row r="1187" s="19" customFormat="1"/>
    <row r="1188" s="19" customFormat="1"/>
    <row r="1189" s="19" customFormat="1"/>
    <row r="1190" s="19" customFormat="1"/>
    <row r="1191" s="19" customFormat="1"/>
    <row r="1192" s="19" customFormat="1"/>
    <row r="1193" s="19" customFormat="1"/>
    <row r="1194" s="19" customFormat="1"/>
    <row r="1195" s="19" customFormat="1"/>
    <row r="1196" s="19" customFormat="1"/>
    <row r="1197" s="19" customFormat="1"/>
    <row r="1198" s="19" customFormat="1"/>
    <row r="1199" s="19" customFormat="1"/>
    <row r="1200" s="19" customFormat="1"/>
    <row r="1201" s="19" customFormat="1"/>
    <row r="1202" s="19" customFormat="1"/>
    <row r="1203" s="19" customFormat="1"/>
    <row r="1204" s="19" customFormat="1"/>
    <row r="1205" s="19" customFormat="1"/>
    <row r="1206" s="19" customFormat="1"/>
    <row r="1207" s="19" customFormat="1"/>
    <row r="1208" s="19" customFormat="1"/>
    <row r="1209" s="19" customFormat="1"/>
    <row r="1210" s="19" customFormat="1"/>
    <row r="1211" s="19" customFormat="1"/>
    <row r="1212" s="19" customFormat="1"/>
    <row r="1213" s="19" customFormat="1"/>
    <row r="1214" s="19" customFormat="1"/>
    <row r="1215" s="19" customFormat="1"/>
    <row r="1216" s="19" customFormat="1"/>
    <row r="1217" s="19" customFormat="1"/>
    <row r="1218" s="19" customFormat="1"/>
    <row r="1219" s="19" customFormat="1"/>
    <row r="1220" s="19" customFormat="1"/>
    <row r="1221" s="19" customFormat="1"/>
    <row r="1222" s="19" customFormat="1"/>
    <row r="1223" s="19" customFormat="1"/>
    <row r="1224" s="19" customFormat="1"/>
    <row r="1225" s="19" customFormat="1"/>
    <row r="1226" s="19" customFormat="1"/>
    <row r="1227" s="19" customFormat="1"/>
    <row r="1228" s="19" customFormat="1"/>
    <row r="1229" s="19" customFormat="1"/>
    <row r="1230" s="19" customFormat="1"/>
    <row r="1231" s="19" customFormat="1"/>
    <row r="1232" s="19" customFormat="1"/>
    <row r="1233" s="19" customFormat="1"/>
    <row r="1234" s="19" customFormat="1"/>
    <row r="1235" s="19" customFormat="1"/>
    <row r="1236" s="19" customFormat="1"/>
    <row r="1237" s="19" customFormat="1"/>
    <row r="1238" s="19" customFormat="1"/>
    <row r="1239" s="19" customFormat="1"/>
    <row r="1240" s="19" customFormat="1"/>
    <row r="1241" s="19" customFormat="1"/>
    <row r="1242" s="19" customFormat="1"/>
    <row r="1243" s="19" customFormat="1"/>
    <row r="1244" s="19" customFormat="1"/>
    <row r="1245" s="19" customFormat="1"/>
    <row r="1246" s="19" customFormat="1"/>
    <row r="1247" s="19" customFormat="1"/>
    <row r="1248" s="19" customFormat="1"/>
    <row r="1249" s="19" customFormat="1"/>
    <row r="1250" s="19" customFormat="1"/>
    <row r="1251" s="19" customFormat="1"/>
    <row r="1252" s="19" customFormat="1"/>
    <row r="1253" s="19" customFormat="1"/>
    <row r="1254" s="19" customFormat="1"/>
    <row r="1255" s="19" customFormat="1"/>
    <row r="1256" s="19" customFormat="1"/>
    <row r="1257" s="19" customFormat="1"/>
    <row r="1258" s="19" customFormat="1"/>
    <row r="1259" s="19" customFormat="1"/>
    <row r="1260" s="19" customFormat="1"/>
    <row r="1261" s="19" customFormat="1"/>
    <row r="1262" s="19" customFormat="1"/>
    <row r="1263" s="19" customFormat="1"/>
    <row r="1264" s="19" customFormat="1"/>
    <row r="1265" s="19" customFormat="1"/>
    <row r="1266" s="19" customFormat="1"/>
    <row r="1267" s="19" customFormat="1"/>
    <row r="1268" s="19" customFormat="1"/>
    <row r="1269" s="19" customFormat="1"/>
    <row r="1270" s="19" customFormat="1"/>
    <row r="1271" s="19" customFormat="1"/>
    <row r="1272" s="19" customFormat="1"/>
    <row r="1273" s="19" customFormat="1"/>
    <row r="1274" s="19" customFormat="1"/>
    <row r="1275" s="19" customFormat="1"/>
    <row r="1276" s="19" customFormat="1"/>
    <row r="1277" s="19" customFormat="1"/>
    <row r="1278" s="19" customFormat="1"/>
    <row r="1279" s="19" customFormat="1"/>
    <row r="1280" s="19" customFormat="1"/>
    <row r="1281" s="19" customFormat="1"/>
    <row r="1282" s="19" customFormat="1"/>
    <row r="1283" s="19" customFormat="1"/>
    <row r="1284" s="19" customFormat="1"/>
    <row r="1285" s="19" customFormat="1"/>
    <row r="1286" s="19" customFormat="1"/>
    <row r="1287" s="19" customFormat="1"/>
    <row r="1288" s="19" customFormat="1"/>
    <row r="1289" s="19" customFormat="1"/>
    <row r="1290" s="19" customFormat="1"/>
    <row r="1291" s="19" customFormat="1"/>
    <row r="1292" s="19" customFormat="1"/>
    <row r="1293" s="19" customFormat="1"/>
    <row r="1294" s="19" customFormat="1"/>
    <row r="1295" s="19" customFormat="1"/>
    <row r="1296" s="19" customFormat="1"/>
    <row r="1297" s="19" customFormat="1"/>
    <row r="1298" s="19" customFormat="1"/>
    <row r="1299" s="19" customFormat="1"/>
    <row r="1300" s="19" customFormat="1"/>
    <row r="1301" s="19" customFormat="1"/>
    <row r="1302" s="19" customFormat="1"/>
    <row r="1303" s="19" customFormat="1"/>
    <row r="1304" s="19" customFormat="1"/>
    <row r="1305" s="19" customFormat="1"/>
    <row r="1306" s="19" customFormat="1"/>
    <row r="1307" s="19" customFormat="1"/>
    <row r="1308" s="19" customFormat="1"/>
    <row r="1309" s="19" customFormat="1"/>
    <row r="1310" s="19" customFormat="1"/>
    <row r="1311" s="19" customFormat="1"/>
    <row r="1312" s="19" customFormat="1"/>
    <row r="1313" s="19" customFormat="1"/>
    <row r="1314" s="19" customFormat="1"/>
    <row r="1315" s="19" customFormat="1"/>
    <row r="1316" s="19" customFormat="1"/>
    <row r="1317" s="19" customFormat="1"/>
    <row r="1318" s="19" customFormat="1"/>
    <row r="1319" s="19" customFormat="1"/>
    <row r="1320" s="19" customFormat="1"/>
    <row r="1321" s="19" customFormat="1"/>
    <row r="1322" s="19" customFormat="1"/>
    <row r="1323" s="19" customFormat="1"/>
    <row r="1324" s="19" customFormat="1"/>
    <row r="1325" s="19" customFormat="1"/>
    <row r="1326" s="19" customFormat="1"/>
    <row r="1327" s="19" customFormat="1"/>
    <row r="1328" s="19" customFormat="1"/>
    <row r="1329" s="19" customFormat="1"/>
    <row r="1330" s="19" customFormat="1"/>
    <row r="1331" s="19" customFormat="1"/>
    <row r="1332" s="19" customFormat="1"/>
    <row r="1333" s="19" customFormat="1"/>
    <row r="1334" s="19" customFormat="1"/>
    <row r="1335" s="19" customFormat="1"/>
    <row r="1336" s="19" customFormat="1"/>
    <row r="1337" s="19" customFormat="1"/>
    <row r="1338" s="19" customFormat="1"/>
    <row r="1339" s="19" customFormat="1"/>
    <row r="1340" s="19" customFormat="1"/>
    <row r="1341" s="19" customFormat="1"/>
    <row r="1342" s="19" customFormat="1"/>
    <row r="1343" s="19" customFormat="1"/>
    <row r="1344" s="19" customFormat="1"/>
    <row r="1345" s="19" customFormat="1"/>
    <row r="1346" s="19" customFormat="1"/>
    <row r="1347" s="19" customFormat="1"/>
    <row r="1348" s="19" customFormat="1"/>
    <row r="1349" s="19" customFormat="1"/>
    <row r="1350" s="19" customFormat="1"/>
    <row r="1351" s="19" customFormat="1"/>
    <row r="1352" s="19" customFormat="1"/>
    <row r="1353" s="19" customFormat="1"/>
    <row r="1354" s="19" customFormat="1"/>
    <row r="1355" s="19" customFormat="1"/>
    <row r="1356" s="19" customFormat="1"/>
    <row r="1357" s="19" customFormat="1"/>
    <row r="1358" s="19" customFormat="1"/>
    <row r="1359" s="19" customFormat="1"/>
    <row r="1360" s="19" customFormat="1"/>
    <row r="1361" s="19" customFormat="1"/>
    <row r="1362" s="19" customFormat="1"/>
    <row r="1363" s="19" customFormat="1"/>
    <row r="1364" s="19" customFormat="1"/>
    <row r="1365" s="19" customFormat="1"/>
    <row r="1366" s="19" customFormat="1"/>
    <row r="1367" s="19" customFormat="1"/>
    <row r="1368" s="19" customFormat="1"/>
    <row r="1369" s="19" customFormat="1"/>
    <row r="1370" s="19" customFormat="1"/>
    <row r="1371" s="19" customFormat="1"/>
    <row r="1372" s="19" customFormat="1"/>
    <row r="1373" s="19" customFormat="1"/>
    <row r="1374" s="19" customFormat="1"/>
    <row r="1375" s="19" customFormat="1"/>
    <row r="1376" s="19" customFormat="1"/>
    <row r="1377" s="19" customFormat="1"/>
    <row r="1378" s="19" customFormat="1"/>
    <row r="1379" s="19" customFormat="1"/>
    <row r="1380" s="19" customFormat="1"/>
    <row r="1381" s="19" customFormat="1"/>
    <row r="1382" s="19" customFormat="1"/>
    <row r="1383" s="19" customFormat="1"/>
    <row r="1384" s="19" customFormat="1"/>
    <row r="1385" s="19" customFormat="1"/>
    <row r="1386" s="19" customFormat="1"/>
    <row r="1387" s="19" customFormat="1"/>
    <row r="1388" s="19" customFormat="1"/>
    <row r="1389" s="19" customFormat="1"/>
    <row r="1390" s="19" customFormat="1"/>
    <row r="1391" s="19" customFormat="1"/>
    <row r="1392" s="19" customFormat="1"/>
    <row r="1393" s="19" customFormat="1"/>
    <row r="1394" s="19" customFormat="1"/>
    <row r="1395" s="19" customFormat="1"/>
    <row r="1396" s="19" customFormat="1"/>
    <row r="1397" s="19" customFormat="1"/>
    <row r="1398" s="19" customFormat="1"/>
    <row r="1399" s="19" customFormat="1"/>
    <row r="1400" s="19" customFormat="1"/>
    <row r="1401" s="19" customFormat="1"/>
    <row r="1402" s="19" customFormat="1"/>
    <row r="1403" s="19" customFormat="1"/>
    <row r="1404" s="19" customFormat="1"/>
    <row r="1405" s="19" customFormat="1"/>
    <row r="1406" s="19" customFormat="1"/>
    <row r="1407" s="19" customFormat="1"/>
    <row r="1408" s="19" customFormat="1"/>
    <row r="1409" s="19" customFormat="1"/>
    <row r="1410" s="19" customFormat="1"/>
    <row r="1411" s="19" customFormat="1"/>
    <row r="1412" s="19" customFormat="1"/>
    <row r="1413" s="19" customFormat="1"/>
    <row r="1414" s="19" customFormat="1"/>
    <row r="1415" s="19" customFormat="1"/>
    <row r="1416" s="19" customFormat="1"/>
    <row r="1417" s="19" customFormat="1"/>
    <row r="1418" s="19" customFormat="1"/>
    <row r="1419" s="19" customFormat="1"/>
    <row r="1420" s="19" customFormat="1"/>
    <row r="1421" s="19" customFormat="1"/>
    <row r="1422" s="19" customFormat="1"/>
    <row r="1423" s="19" customFormat="1"/>
    <row r="1424" s="19" customFormat="1"/>
    <row r="1425" s="19" customFormat="1"/>
    <row r="1426" s="19" customFormat="1"/>
    <row r="1427" s="19" customFormat="1"/>
    <row r="1428" s="19" customFormat="1"/>
    <row r="1429" s="19" customFormat="1"/>
    <row r="1430" s="19" customFormat="1"/>
    <row r="1431" s="19" customFormat="1"/>
    <row r="1432" s="19" customFormat="1"/>
    <row r="1433" s="19" customFormat="1"/>
    <row r="1434" s="19" customFormat="1"/>
    <row r="1435" s="19" customFormat="1"/>
    <row r="1436" s="19" customFormat="1"/>
    <row r="1437" s="19" customFormat="1"/>
    <row r="1438" s="19" customFormat="1"/>
    <row r="1439" s="19" customFormat="1"/>
    <row r="1440" s="19" customFormat="1"/>
    <row r="1441" s="19" customFormat="1"/>
    <row r="1442" s="19" customFormat="1"/>
    <row r="1443" s="19" customFormat="1"/>
    <row r="1444" s="19" customFormat="1"/>
    <row r="1445" s="19" customFormat="1"/>
    <row r="1446" s="19" customFormat="1"/>
    <row r="1447" s="19" customFormat="1"/>
    <row r="1448" s="19" customFormat="1"/>
    <row r="1449" s="19" customFormat="1"/>
    <row r="1450" s="19" customFormat="1"/>
    <row r="1451" s="19" customFormat="1"/>
    <row r="1452" s="19" customFormat="1"/>
    <row r="1453" s="19" customFormat="1"/>
    <row r="1454" s="19" customFormat="1"/>
    <row r="1455" s="19" customFormat="1"/>
    <row r="1456" s="19" customFormat="1"/>
    <row r="1457" s="19" customFormat="1"/>
    <row r="1458" s="19" customFormat="1"/>
    <row r="1459" s="19" customFormat="1"/>
    <row r="1460" s="19" customFormat="1"/>
    <row r="1461" s="19" customFormat="1"/>
    <row r="1462" s="19" customFormat="1"/>
    <row r="1463" s="19" customFormat="1"/>
    <row r="1464" s="19" customFormat="1"/>
    <row r="1465" s="19" customFormat="1"/>
    <row r="1466" s="19" customFormat="1"/>
    <row r="1467" s="19" customFormat="1"/>
    <row r="1468" s="19" customFormat="1"/>
    <row r="1469" s="19" customFormat="1"/>
    <row r="1470" s="19" customFormat="1"/>
    <row r="1471" s="19" customFormat="1"/>
    <row r="1472" s="19" customFormat="1"/>
    <row r="1473" s="19" customFormat="1"/>
    <row r="1474" s="19" customFormat="1"/>
    <row r="1475" s="19" customFormat="1"/>
    <row r="1476" s="19" customFormat="1"/>
    <row r="1477" s="19" customFormat="1"/>
    <row r="1478" s="19" customFormat="1"/>
    <row r="1479" s="19" customFormat="1"/>
    <row r="1480" s="19" customFormat="1"/>
    <row r="1481" s="19" customFormat="1"/>
    <row r="1482" s="19" customFormat="1"/>
    <row r="1483" s="19" customFormat="1"/>
    <row r="1484" s="19" customFormat="1"/>
    <row r="1485" s="19" customFormat="1"/>
    <row r="1486" s="19" customFormat="1"/>
    <row r="1487" s="19" customFormat="1"/>
    <row r="1488" s="19" customFormat="1"/>
    <row r="1489" s="19" customFormat="1"/>
    <row r="1490" s="19" customFormat="1"/>
    <row r="1491" s="19" customFormat="1"/>
    <row r="1492" s="19" customFormat="1"/>
    <row r="1493" s="19" customFormat="1"/>
    <row r="1494" s="19" customFormat="1"/>
    <row r="1495" s="19" customFormat="1"/>
    <row r="1496" s="19" customFormat="1"/>
    <row r="1497" s="19" customFormat="1"/>
    <row r="1498" s="19" customFormat="1"/>
    <row r="1499" s="19" customFormat="1"/>
    <row r="1500" s="19" customFormat="1"/>
    <row r="1501" s="19" customFormat="1"/>
    <row r="1502" s="19" customFormat="1"/>
    <row r="1503" s="19" customFormat="1"/>
    <row r="1504" s="19" customFormat="1"/>
    <row r="1505" s="19" customFormat="1"/>
    <row r="1506" s="19" customFormat="1"/>
    <row r="1507" s="19" customFormat="1"/>
  </sheetData>
  <mergeCells count="15">
    <mergeCell ref="A1:E1"/>
    <mergeCell ref="E18:E21"/>
    <mergeCell ref="B18:B21"/>
    <mergeCell ref="B26:D26"/>
    <mergeCell ref="B25:D25"/>
    <mergeCell ref="B23:B24"/>
    <mergeCell ref="E23:E24"/>
    <mergeCell ref="B22:D22"/>
    <mergeCell ref="B8:B12"/>
    <mergeCell ref="B13:D13"/>
    <mergeCell ref="B17:D17"/>
    <mergeCell ref="E8:E12"/>
    <mergeCell ref="E14:E16"/>
    <mergeCell ref="A3:E3"/>
    <mergeCell ref="A4:E4"/>
  </mergeCells>
  <printOptions horizontalCentered="1"/>
  <pageMargins left="0.19685039370078741" right="0.15748031496062992" top="0.27559055118110237" bottom="0.43307086614173229" header="0.15748031496062992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R33"/>
  <sheetViews>
    <sheetView zoomScaleNormal="100" workbookViewId="0"/>
  </sheetViews>
  <sheetFormatPr defaultRowHeight="15"/>
  <cols>
    <col min="1" max="1" width="4.5703125" style="136" customWidth="1"/>
    <col min="2" max="2" width="38.140625" style="231" customWidth="1"/>
    <col min="3" max="3" width="16.7109375" style="231" customWidth="1"/>
    <col min="4" max="4" width="14.5703125" style="136" customWidth="1"/>
    <col min="5" max="8" width="15.42578125" style="136" bestFit="1" customWidth="1"/>
    <col min="9" max="9" width="13.5703125" style="136" bestFit="1" customWidth="1"/>
    <col min="10" max="16384" width="9.140625" style="136"/>
  </cols>
  <sheetData>
    <row r="1" spans="1:9" ht="18" customHeight="1">
      <c r="A1" s="269" t="s">
        <v>476</v>
      </c>
      <c r="B1" s="227"/>
      <c r="C1" s="227"/>
      <c r="D1" s="6"/>
      <c r="E1" s="5"/>
      <c r="F1" s="5"/>
      <c r="G1" s="5"/>
      <c r="H1" s="5"/>
      <c r="I1" s="5"/>
    </row>
    <row r="2" spans="1:9" ht="24.75" customHeight="1">
      <c r="A2" s="5"/>
      <c r="B2" s="228"/>
      <c r="C2" s="228"/>
      <c r="D2" s="5"/>
      <c r="E2" s="5"/>
      <c r="F2" s="5"/>
      <c r="G2" s="5"/>
      <c r="H2" s="5"/>
      <c r="I2" s="5"/>
    </row>
    <row r="3" spans="1:9" ht="44.25" customHeight="1">
      <c r="A3" s="1060" t="s">
        <v>362</v>
      </c>
      <c r="B3" s="1060"/>
      <c r="C3" s="1060"/>
      <c r="D3" s="1060"/>
      <c r="E3" s="1060"/>
      <c r="F3" s="1060"/>
      <c r="G3" s="1060"/>
      <c r="H3" s="1060"/>
      <c r="I3" s="1060"/>
    </row>
    <row r="4" spans="1:9" ht="21" customHeight="1">
      <c r="A4" s="141"/>
      <c r="B4" s="180"/>
      <c r="C4" s="180"/>
      <c r="D4" s="141"/>
      <c r="E4" s="141"/>
      <c r="F4" s="141"/>
      <c r="G4" s="141"/>
      <c r="H4" s="141"/>
      <c r="I4" s="141"/>
    </row>
    <row r="5" spans="1:9" ht="16.5" thickBot="1">
      <c r="A5" s="137"/>
      <c r="B5" s="227"/>
      <c r="C5" s="227"/>
      <c r="D5" s="137"/>
      <c r="E5" s="137"/>
      <c r="F5" s="137"/>
      <c r="G5" s="137"/>
      <c r="H5" s="137"/>
      <c r="I5" s="140" t="s">
        <v>200</v>
      </c>
    </row>
    <row r="6" spans="1:9" ht="16.5" thickBot="1">
      <c r="A6" s="1063"/>
      <c r="B6" s="229" t="s">
        <v>205</v>
      </c>
      <c r="C6" s="229" t="s">
        <v>206</v>
      </c>
      <c r="D6" s="166" t="s">
        <v>207</v>
      </c>
      <c r="E6" s="166" t="s">
        <v>208</v>
      </c>
      <c r="F6" s="166" t="s">
        <v>209</v>
      </c>
      <c r="G6" s="166" t="s">
        <v>210</v>
      </c>
      <c r="H6" s="166" t="s">
        <v>211</v>
      </c>
      <c r="I6" s="166" t="s">
        <v>212</v>
      </c>
    </row>
    <row r="7" spans="1:9" ht="21.75" customHeight="1" thickBot="1">
      <c r="A7" s="1064"/>
      <c r="B7" s="1061" t="s">
        <v>29</v>
      </c>
      <c r="C7" s="1061" t="s">
        <v>104</v>
      </c>
      <c r="D7" s="1061" t="s">
        <v>28</v>
      </c>
      <c r="E7" s="1062" t="s">
        <v>105</v>
      </c>
      <c r="F7" s="1062"/>
      <c r="G7" s="1062"/>
      <c r="H7" s="1062"/>
      <c r="I7" s="1061" t="s">
        <v>27</v>
      </c>
    </row>
    <row r="8" spans="1:9" ht="50.25" customHeight="1" thickBot="1">
      <c r="A8" s="1065"/>
      <c r="B8" s="1061"/>
      <c r="C8" s="1061"/>
      <c r="D8" s="1061"/>
      <c r="E8" s="165">
        <v>2018</v>
      </c>
      <c r="F8" s="165">
        <v>2019</v>
      </c>
      <c r="G8" s="165">
        <v>2020</v>
      </c>
      <c r="H8" s="165">
        <v>2021</v>
      </c>
      <c r="I8" s="1061"/>
    </row>
    <row r="9" spans="1:9" s="226" customFormat="1" ht="50.25" customHeight="1">
      <c r="A9" s="232">
        <v>1</v>
      </c>
      <c r="B9" s="243" t="s">
        <v>464</v>
      </c>
      <c r="C9" s="243" t="s">
        <v>462</v>
      </c>
      <c r="D9" s="244">
        <v>2002</v>
      </c>
      <c r="E9" s="245">
        <f>28000*1.27*12</f>
        <v>426720</v>
      </c>
      <c r="F9" s="245">
        <f>28000*1.27*12</f>
        <v>426720</v>
      </c>
      <c r="G9" s="245">
        <f>28000*1.27*12</f>
        <v>426720</v>
      </c>
      <c r="H9" s="245">
        <f>28000*1.27*12</f>
        <v>426720</v>
      </c>
      <c r="I9" s="243" t="s">
        <v>463</v>
      </c>
    </row>
    <row r="10" spans="1:9" ht="50.25" customHeight="1">
      <c r="A10" s="233">
        <v>2</v>
      </c>
      <c r="B10" s="246" t="s">
        <v>465</v>
      </c>
      <c r="C10" s="246" t="s">
        <v>462</v>
      </c>
      <c r="D10" s="247">
        <v>2016</v>
      </c>
      <c r="E10" s="248">
        <f>8000*1.27*12</f>
        <v>121920</v>
      </c>
      <c r="F10" s="248">
        <f>8000*1.27*12</f>
        <v>121920</v>
      </c>
      <c r="G10" s="248">
        <f>8000*1.27*12</f>
        <v>121920</v>
      </c>
      <c r="H10" s="248">
        <f>8000*1.27*12</f>
        <v>121920</v>
      </c>
      <c r="I10" s="246" t="s">
        <v>463</v>
      </c>
    </row>
    <row r="11" spans="1:9" ht="50.25" customHeight="1">
      <c r="A11" s="233">
        <v>3</v>
      </c>
      <c r="B11" s="246" t="s">
        <v>466</v>
      </c>
      <c r="C11" s="246" t="s">
        <v>462</v>
      </c>
      <c r="D11" s="247">
        <v>2016</v>
      </c>
      <c r="E11" s="248">
        <f>15430*1.27*12</f>
        <v>235153.19999999998</v>
      </c>
      <c r="F11" s="248">
        <f>15430*1.27*12</f>
        <v>235153.19999999998</v>
      </c>
      <c r="G11" s="248">
        <f>15430*1.27*12</f>
        <v>235153.19999999998</v>
      </c>
      <c r="H11" s="248">
        <f>15430*1.27*12</f>
        <v>235153.19999999998</v>
      </c>
      <c r="I11" s="246" t="s">
        <v>463</v>
      </c>
    </row>
    <row r="12" spans="1:9" ht="50.25" customHeight="1">
      <c r="A12" s="233">
        <v>4</v>
      </c>
      <c r="B12" s="246" t="s">
        <v>467</v>
      </c>
      <c r="C12" s="246" t="s">
        <v>462</v>
      </c>
      <c r="D12" s="247">
        <v>2013</v>
      </c>
      <c r="E12" s="248">
        <f>271920</f>
        <v>271920</v>
      </c>
      <c r="F12" s="248">
        <f>271920</f>
        <v>271920</v>
      </c>
      <c r="G12" s="248">
        <f>271920</f>
        <v>271920</v>
      </c>
      <c r="H12" s="248">
        <f>271920</f>
        <v>271920</v>
      </c>
      <c r="I12" s="246" t="s">
        <v>463</v>
      </c>
    </row>
    <row r="13" spans="1:9" ht="50.25" customHeight="1">
      <c r="A13" s="233">
        <v>5</v>
      </c>
      <c r="B13" s="246" t="s">
        <v>468</v>
      </c>
      <c r="C13" s="246" t="s">
        <v>462</v>
      </c>
      <c r="D13" s="247">
        <v>2009</v>
      </c>
      <c r="E13" s="248">
        <v>53539</v>
      </c>
      <c r="F13" s="248">
        <v>53539</v>
      </c>
      <c r="G13" s="248">
        <v>53539</v>
      </c>
      <c r="H13" s="248">
        <v>53539</v>
      </c>
      <c r="I13" s="246" t="s">
        <v>463</v>
      </c>
    </row>
    <row r="14" spans="1:9" ht="50.25" customHeight="1">
      <c r="A14" s="233">
        <v>6</v>
      </c>
      <c r="B14" s="246" t="s">
        <v>469</v>
      </c>
      <c r="C14" s="246" t="s">
        <v>462</v>
      </c>
      <c r="D14" s="247">
        <v>2010</v>
      </c>
      <c r="E14" s="248">
        <v>5148</v>
      </c>
      <c r="F14" s="248">
        <v>5148</v>
      </c>
      <c r="G14" s="248">
        <v>5148</v>
      </c>
      <c r="H14" s="248">
        <v>5148</v>
      </c>
      <c r="I14" s="246" t="s">
        <v>463</v>
      </c>
    </row>
    <row r="15" spans="1:9" ht="50.25" customHeight="1">
      <c r="A15" s="233">
        <v>7</v>
      </c>
      <c r="B15" s="246" t="s">
        <v>470</v>
      </c>
      <c r="C15" s="246" t="s">
        <v>462</v>
      </c>
      <c r="D15" s="247">
        <v>2016</v>
      </c>
      <c r="E15" s="248">
        <v>10608</v>
      </c>
      <c r="F15" s="248">
        <v>10608</v>
      </c>
      <c r="G15" s="248">
        <v>10608</v>
      </c>
      <c r="H15" s="248">
        <v>10608</v>
      </c>
      <c r="I15" s="246" t="s">
        <v>463</v>
      </c>
    </row>
    <row r="16" spans="1:9" ht="50.25" customHeight="1">
      <c r="A16" s="233">
        <v>8</v>
      </c>
      <c r="B16" s="246" t="s">
        <v>471</v>
      </c>
      <c r="C16" s="246" t="s">
        <v>462</v>
      </c>
      <c r="D16" s="247">
        <v>2015</v>
      </c>
      <c r="E16" s="248">
        <v>8580</v>
      </c>
      <c r="F16" s="248">
        <v>8580</v>
      </c>
      <c r="G16" s="248">
        <v>8580</v>
      </c>
      <c r="H16" s="248">
        <v>8580</v>
      </c>
      <c r="I16" s="246" t="s">
        <v>463</v>
      </c>
    </row>
    <row r="17" spans="1:18" ht="50.25" customHeight="1">
      <c r="A17" s="233">
        <v>9</v>
      </c>
      <c r="B17" s="246" t="s">
        <v>473</v>
      </c>
      <c r="C17" s="246" t="s">
        <v>462</v>
      </c>
      <c r="D17" s="247">
        <v>2010</v>
      </c>
      <c r="E17" s="248">
        <f>14500*1.27*12</f>
        <v>220980</v>
      </c>
      <c r="F17" s="248">
        <f>14500*1.27*12</f>
        <v>220980</v>
      </c>
      <c r="G17" s="248">
        <f>14500*1.27*12</f>
        <v>220980</v>
      </c>
      <c r="H17" s="248">
        <f>14500*1.27*12</f>
        <v>220980</v>
      </c>
      <c r="I17" s="246" t="s">
        <v>463</v>
      </c>
    </row>
    <row r="18" spans="1:18" ht="63.75" thickBot="1">
      <c r="A18" s="233">
        <v>10</v>
      </c>
      <c r="B18" s="246" t="s">
        <v>472</v>
      </c>
      <c r="C18" s="246" t="s">
        <v>65</v>
      </c>
      <c r="D18" s="247">
        <v>2011</v>
      </c>
      <c r="E18" s="248">
        <v>46020</v>
      </c>
      <c r="F18" s="248">
        <v>46020</v>
      </c>
      <c r="G18" s="248">
        <v>46020</v>
      </c>
      <c r="H18" s="248">
        <v>46020</v>
      </c>
      <c r="I18" s="246" t="s">
        <v>463</v>
      </c>
    </row>
    <row r="19" spans="1:18" s="142" customFormat="1" ht="35.1" customHeight="1">
      <c r="A19" s="234"/>
      <c r="B19" s="235" t="s">
        <v>66</v>
      </c>
      <c r="C19" s="235"/>
      <c r="D19" s="239"/>
      <c r="E19" s="240">
        <f>SUM(E9:E18)</f>
        <v>1400588.2</v>
      </c>
      <c r="F19" s="240">
        <f t="shared" ref="F19:H19" si="0">SUM(F9:F18)</f>
        <v>1400588.2</v>
      </c>
      <c r="G19" s="240">
        <f t="shared" si="0"/>
        <v>1400588.2</v>
      </c>
      <c r="H19" s="240">
        <f t="shared" si="0"/>
        <v>1400588.2</v>
      </c>
      <c r="I19" s="236"/>
    </row>
    <row r="20" spans="1:18" s="142" customFormat="1" ht="35.1" customHeight="1">
      <c r="A20" s="168"/>
      <c r="B20" s="235" t="s">
        <v>26</v>
      </c>
      <c r="C20" s="235"/>
      <c r="D20" s="239"/>
      <c r="E20" s="241">
        <v>0</v>
      </c>
      <c r="F20" s="241">
        <v>0</v>
      </c>
      <c r="G20" s="241">
        <v>0</v>
      </c>
      <c r="H20" s="241">
        <v>0</v>
      </c>
      <c r="I20" s="237"/>
    </row>
    <row r="21" spans="1:18" s="142" customFormat="1" ht="35.1" customHeight="1">
      <c r="A21" s="167"/>
      <c r="B21" s="1059" t="s">
        <v>359</v>
      </c>
      <c r="C21" s="1059"/>
      <c r="D21" s="1059"/>
      <c r="E21" s="242">
        <f>SUM(E19,E20)</f>
        <v>1400588.2</v>
      </c>
      <c r="F21" s="242">
        <f>SUM(F19,F20)</f>
        <v>1400588.2</v>
      </c>
      <c r="G21" s="242">
        <f>SUM(G19,G20)</f>
        <v>1400588.2</v>
      </c>
      <c r="H21" s="242">
        <f>SUM(H19,H20)</f>
        <v>1400588.2</v>
      </c>
      <c r="I21" s="238"/>
    </row>
    <row r="22" spans="1:18" ht="15.75">
      <c r="A22" s="137"/>
      <c r="B22" s="230"/>
      <c r="C22" s="230"/>
      <c r="D22" s="137"/>
      <c r="E22" s="137"/>
      <c r="F22" s="137"/>
      <c r="G22" s="137"/>
      <c r="H22" s="137"/>
      <c r="I22" s="137"/>
    </row>
    <row r="23" spans="1:18" ht="15.75">
      <c r="A23" s="137"/>
      <c r="B23" s="227"/>
      <c r="C23" s="227"/>
      <c r="D23" s="137"/>
      <c r="E23" s="137"/>
      <c r="F23" s="137"/>
      <c r="G23" s="137"/>
      <c r="H23" s="137"/>
      <c r="I23" s="137"/>
    </row>
    <row r="24" spans="1:18"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</row>
    <row r="25" spans="1:18" ht="15.75">
      <c r="E25" s="139"/>
      <c r="F25" s="139"/>
      <c r="G25" s="139"/>
      <c r="H25" s="139"/>
      <c r="I25" s="138"/>
      <c r="J25" s="138"/>
      <c r="K25" s="138"/>
      <c r="L25" s="138"/>
      <c r="M25" s="138"/>
      <c r="N25" s="138"/>
      <c r="O25" s="138"/>
      <c r="P25" s="138"/>
      <c r="Q25" s="138"/>
      <c r="R25" s="138"/>
    </row>
    <row r="26" spans="1:18" ht="15.75">
      <c r="E26" s="139"/>
      <c r="F26" s="139"/>
      <c r="G26" s="139"/>
      <c r="H26" s="139"/>
      <c r="I26" s="138"/>
      <c r="J26" s="138"/>
      <c r="K26" s="138"/>
      <c r="L26" s="138"/>
      <c r="M26" s="138"/>
      <c r="N26" s="138"/>
      <c r="O26" s="138"/>
      <c r="P26" s="138"/>
      <c r="Q26" s="138"/>
      <c r="R26" s="138"/>
    </row>
    <row r="27" spans="1:18" ht="15.75">
      <c r="E27" s="139"/>
      <c r="F27" s="139"/>
      <c r="G27" s="139"/>
      <c r="H27" s="139"/>
      <c r="I27" s="138"/>
      <c r="J27" s="138"/>
      <c r="K27" s="138"/>
      <c r="L27" s="138"/>
      <c r="M27" s="138"/>
      <c r="N27" s="138"/>
      <c r="O27" s="138"/>
      <c r="P27" s="138"/>
      <c r="Q27" s="138"/>
      <c r="R27" s="138"/>
    </row>
    <row r="28" spans="1:18" ht="15.75">
      <c r="E28" s="139"/>
      <c r="F28" s="139"/>
      <c r="G28" s="139"/>
      <c r="H28" s="139"/>
      <c r="I28" s="138"/>
      <c r="J28" s="138"/>
      <c r="K28" s="138"/>
      <c r="L28" s="138"/>
      <c r="M28" s="138"/>
      <c r="N28" s="138"/>
      <c r="O28" s="138"/>
      <c r="P28" s="138"/>
      <c r="Q28" s="138"/>
      <c r="R28" s="138"/>
    </row>
    <row r="29" spans="1:18" ht="15.75">
      <c r="E29" s="139"/>
      <c r="F29" s="139"/>
      <c r="G29" s="139"/>
      <c r="H29" s="139"/>
      <c r="I29" s="138"/>
      <c r="J29" s="138"/>
      <c r="K29" s="138"/>
      <c r="L29" s="138"/>
      <c r="M29" s="138"/>
      <c r="N29" s="138"/>
      <c r="O29" s="138"/>
      <c r="P29" s="138"/>
      <c r="Q29" s="138"/>
      <c r="R29" s="138"/>
    </row>
    <row r="30" spans="1:18" ht="15.75">
      <c r="E30" s="139"/>
      <c r="F30" s="139"/>
      <c r="G30" s="139"/>
      <c r="H30" s="139"/>
      <c r="I30" s="138"/>
      <c r="J30" s="138"/>
      <c r="K30" s="138"/>
      <c r="L30" s="138"/>
      <c r="M30" s="138"/>
      <c r="N30" s="138"/>
      <c r="O30" s="138"/>
      <c r="P30" s="138"/>
      <c r="Q30" s="138"/>
      <c r="R30" s="138"/>
    </row>
    <row r="31" spans="1:18"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</row>
    <row r="32" spans="1:18"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5:18"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</row>
  </sheetData>
  <mergeCells count="8">
    <mergeCell ref="B21:D21"/>
    <mergeCell ref="A3:I3"/>
    <mergeCell ref="B7:B8"/>
    <mergeCell ref="D7:D8"/>
    <mergeCell ref="I7:I8"/>
    <mergeCell ref="E7:H7"/>
    <mergeCell ref="C7:C8"/>
    <mergeCell ref="A6:A8"/>
  </mergeCells>
  <pageMargins left="0.74803149606299213" right="0.74803149606299213" top="1.023622047244094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mérleg1</vt:lpstr>
      <vt:lpstr>feladatalapú tám.2</vt:lpstr>
      <vt:lpstr>bevételek3</vt:lpstr>
      <vt:lpstr>kiadások4</vt:lpstr>
      <vt:lpstr>működési pe átad5</vt:lpstr>
      <vt:lpstr>ellátottak pénzbeli jutt.6</vt:lpstr>
      <vt:lpstr>felhalmozási7</vt:lpstr>
      <vt:lpstr>álláshely8</vt:lpstr>
      <vt:lpstr>kötelezettségek n+3év9</vt:lpstr>
      <vt:lpstr>közvetett támogatás10</vt:lpstr>
      <vt:lpstr>adósságkel.11</vt:lpstr>
      <vt:lpstr>likviditási ütemterv12</vt:lpstr>
      <vt:lpstr>önk</vt:lpstr>
      <vt:lpstr>12.sz.melléklet</vt:lpstr>
      <vt:lpstr>saját bevétel13</vt:lpstr>
      <vt:lpstr>civil szerv tám.14</vt:lpstr>
      <vt:lpstr>Címrend15</vt:lpstr>
      <vt:lpstr>bevételek3!Nyomtatási_cím</vt:lpstr>
      <vt:lpstr>'feladatalapú tám.2'!Nyomtatási_cím</vt:lpstr>
      <vt:lpstr>kiadások4!Nyomtatási_cím</vt:lpstr>
      <vt:lpstr>'kötelezettségek n+3év9'!Nyomtatási_cím</vt:lpstr>
      <vt:lpstr>álláshely8!Nyomtatási_terület</vt:lpstr>
      <vt:lpstr>bevételek3!Nyomtatási_terület</vt:lpstr>
      <vt:lpstr>'civil szerv tám.14'!Nyomtatási_terület</vt:lpstr>
      <vt:lpstr>'ellátottak pénzbeli jutt.6'!Nyomtatási_terület</vt:lpstr>
      <vt:lpstr>kiadások4!Nyomtatási_terület</vt:lpstr>
      <vt:lpstr>'közvetett támogatás10'!Nyomtatási_terület</vt:lpstr>
      <vt:lpstr>'működési pe átad5'!Nyomtatási_terület</vt:lpstr>
      <vt:lpstr>önk!Nyomtatási_terület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repar</cp:lastModifiedBy>
  <cp:lastPrinted>2018-04-23T09:24:46Z</cp:lastPrinted>
  <dcterms:created xsi:type="dcterms:W3CDTF">2000-02-01T14:49:25Z</dcterms:created>
  <dcterms:modified xsi:type="dcterms:W3CDTF">2018-10-05T09:18:51Z</dcterms:modified>
</cp:coreProperties>
</file>