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codeName="ThisWorkbook" defaultThemeVersion="124226"/>
  <bookViews>
    <workbookView xWindow="4665" yWindow="525" windowWidth="12660" windowHeight="11640" tabRatio="727" firstSheet="26" activeTab="29"/>
  </bookViews>
  <sheets>
    <sheet name="1.1.sz.mell. " sheetId="979" r:id="rId1"/>
    <sheet name="1.2.sz.mell. " sheetId="980" r:id="rId2"/>
    <sheet name="1.3.sz.mell." sheetId="981" r:id="rId3"/>
    <sheet name="1.4.sz.mell. " sheetId="946" r:id="rId4"/>
    <sheet name="2.1.sz.mell " sheetId="982" r:id="rId5"/>
    <sheet name="2.2.sz.mell ." sheetId="983" r:id="rId6"/>
    <sheet name="6.sz.mell." sheetId="984" r:id="rId7"/>
    <sheet name="8. sz. mell. " sheetId="986" r:id="rId8"/>
    <sheet name="9.1. sz. mell." sheetId="987" r:id="rId9"/>
    <sheet name="9.1.1. sz. mell. " sheetId="988" r:id="rId10"/>
    <sheet name="9.1.2. sz. mell." sheetId="989" r:id="rId11"/>
    <sheet name="9.2. sz. mell. " sheetId="990" r:id="rId12"/>
    <sheet name="9.2.3. sz. mell." sheetId="958" r:id="rId13"/>
    <sheet name="9.3. sz. mell" sheetId="1017" r:id="rId14"/>
    <sheet name="9.3.1. sz. mell EOI" sheetId="1018" r:id="rId15"/>
    <sheet name="9.4. sz. mell EKIK" sheetId="1020" r:id="rId16"/>
    <sheet name="9.4.1. sz. mell EKIK" sheetId="1021" r:id="rId17"/>
    <sheet name="9.5. sz. mell VK" sheetId="1023" r:id="rId18"/>
    <sheet name="9.5.1. sz. mell VK " sheetId="1024" r:id="rId19"/>
    <sheet name="9.5.2. sz. mell VK" sheetId="1025" r:id="rId20"/>
    <sheet name="9.6. sz. mell Kornisné Kp." sheetId="1026" r:id="rId21"/>
    <sheet name="9.6.1. sz. mell Kornisné Kp. " sheetId="1027" r:id="rId22"/>
    <sheet name="9.6.2. sz. mell Kornisné Kp." sheetId="1028" r:id="rId23"/>
    <sheet name="9.7. sz. mell TIB  " sheetId="1029" r:id="rId24"/>
    <sheet name="9.7.1. sz. mell TIB  " sheetId="1030" r:id="rId25"/>
    <sheet name="int.összesítő" sheetId="1032" r:id="rId26"/>
    <sheet name="engedélyezett álláshelyek " sheetId="971" r:id="rId27"/>
    <sheet name="tartalék" sheetId="1005" r:id="rId28"/>
    <sheet name="1.sz tájékoztató t " sheetId="1006" r:id="rId29"/>
    <sheet name="4.sz tájékoztató t " sheetId="1007" r:id="rId30"/>
    <sheet name="5.sz. tájékoztató" sheetId="976" r:id="rId31"/>
    <sheet name="6.sz tájékoztató t " sheetId="1008" r:id="rId32"/>
    <sheet name="feladatos Önk. " sheetId="1009" r:id="rId33"/>
  </sheets>
  <definedNames>
    <definedName name="_xlnm.Print_Titles" localSheetId="8">'9.1. sz. mell.'!$1:$6</definedName>
    <definedName name="_xlnm.Print_Titles" localSheetId="9">'9.1.1. sz. mell. '!$1:$6</definedName>
    <definedName name="_xlnm.Print_Titles" localSheetId="10">'9.1.2. sz. mell.'!$1:$6</definedName>
    <definedName name="_xlnm.Print_Titles" localSheetId="11">'9.2. sz. mell. '!$1:$6</definedName>
    <definedName name="_xlnm.Print_Titles" localSheetId="12">'9.2.3. sz. mell.'!$1:$6</definedName>
    <definedName name="_xlnm.Print_Titles" localSheetId="13">'9.3. sz. mell'!$1:$6</definedName>
    <definedName name="_xlnm.Print_Titles" localSheetId="14">'9.3.1. sz. mell EOI'!$1:$6</definedName>
    <definedName name="_xlnm.Print_Titles" localSheetId="15">'9.4. sz. mell EKIK'!$1:$6</definedName>
    <definedName name="_xlnm.Print_Titles" localSheetId="16">'9.4.1. sz. mell EKIK'!$1:$6</definedName>
    <definedName name="_xlnm.Print_Titles" localSheetId="17">'9.5. sz. mell VK'!$1:$6</definedName>
    <definedName name="_xlnm.Print_Titles" localSheetId="18">'9.5.1. sz. mell VK '!$1:$6</definedName>
    <definedName name="_xlnm.Print_Titles" localSheetId="19">'9.5.2. sz. mell VK'!$1:$6</definedName>
    <definedName name="_xlnm.Print_Titles" localSheetId="20">'9.6. sz. mell Kornisné Kp.'!$1:$6</definedName>
    <definedName name="_xlnm.Print_Titles" localSheetId="21">'9.6.1. sz. mell Kornisné Kp. '!$1:$6</definedName>
    <definedName name="_xlnm.Print_Titles" localSheetId="22">'9.6.2. sz. mell Kornisné Kp.'!$1:$6</definedName>
    <definedName name="_xlnm.Print_Titles" localSheetId="23">'9.7. sz. mell TIB  '!$1:$6</definedName>
    <definedName name="_xlnm.Print_Titles" localSheetId="24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'!$A$1:$E$32</definedName>
    <definedName name="_xlnm.Print_Area" localSheetId="8">'9.1. sz. mell.'!$A$1:$C$158</definedName>
  </definedNames>
  <calcPr calcId="145621"/>
</workbook>
</file>

<file path=xl/calcChain.xml><?xml version="1.0" encoding="utf-8"?>
<calcChain xmlns="http://schemas.openxmlformats.org/spreadsheetml/2006/main">
  <c r="H9" i="987" l="1"/>
  <c r="H10" i="987"/>
  <c r="H11" i="987"/>
  <c r="H12" i="987"/>
  <c r="H13" i="987"/>
  <c r="H14" i="987"/>
  <c r="H15" i="987"/>
  <c r="H16" i="987"/>
  <c r="H17" i="987"/>
  <c r="H18" i="987"/>
  <c r="H19" i="987"/>
  <c r="H20" i="987"/>
  <c r="H21" i="987"/>
  <c r="H22" i="987"/>
  <c r="H23" i="987"/>
  <c r="H24" i="987"/>
  <c r="H25" i="987"/>
  <c r="H26" i="987"/>
  <c r="H27" i="987"/>
  <c r="H28" i="987"/>
  <c r="H29" i="987"/>
  <c r="H30" i="987"/>
  <c r="H31" i="987"/>
  <c r="H32" i="987"/>
  <c r="H33" i="987"/>
  <c r="H34" i="987"/>
  <c r="H35" i="987"/>
  <c r="H36" i="987"/>
  <c r="H37" i="987"/>
  <c r="H38" i="987"/>
  <c r="H39" i="987"/>
  <c r="H40" i="987"/>
  <c r="H41" i="987"/>
  <c r="H42" i="987"/>
  <c r="H43" i="987"/>
  <c r="H44" i="987"/>
  <c r="H45" i="987"/>
  <c r="H46" i="987"/>
  <c r="H47" i="987"/>
  <c r="H48" i="987"/>
  <c r="H49" i="987"/>
  <c r="H50" i="987"/>
  <c r="H51" i="987"/>
  <c r="H52" i="987"/>
  <c r="H53" i="987"/>
  <c r="H54" i="987"/>
  <c r="H55" i="987"/>
  <c r="H56" i="987"/>
  <c r="H57" i="987"/>
  <c r="H58" i="987"/>
  <c r="H59" i="987"/>
  <c r="H60" i="987"/>
  <c r="H61" i="987"/>
  <c r="H62" i="987"/>
  <c r="H63" i="987"/>
  <c r="H64" i="987"/>
  <c r="H65" i="987"/>
  <c r="H66" i="987"/>
  <c r="H67" i="987"/>
  <c r="H68" i="987"/>
  <c r="H69" i="987"/>
  <c r="H70" i="987"/>
  <c r="H71" i="987"/>
  <c r="H72" i="987"/>
  <c r="H73" i="987"/>
  <c r="H74" i="987"/>
  <c r="H75" i="987"/>
  <c r="H76" i="987"/>
  <c r="H77" i="987"/>
  <c r="H78" i="987"/>
  <c r="H79" i="987"/>
  <c r="H80" i="987"/>
  <c r="H81" i="987"/>
  <c r="H82" i="987"/>
  <c r="H83" i="987"/>
  <c r="H84" i="987"/>
  <c r="H85" i="987"/>
  <c r="H86" i="987"/>
  <c r="H87" i="987"/>
  <c r="H88" i="987"/>
  <c r="H89" i="987"/>
  <c r="H90" i="987"/>
  <c r="H91" i="987"/>
  <c r="H92" i="987"/>
  <c r="H93" i="987"/>
  <c r="H94" i="987"/>
  <c r="H95" i="987"/>
  <c r="H96" i="987"/>
  <c r="H97" i="987"/>
  <c r="H98" i="987"/>
  <c r="H99" i="987"/>
  <c r="H100" i="987"/>
  <c r="H101" i="987"/>
  <c r="H102" i="987"/>
  <c r="H103" i="987"/>
  <c r="H104" i="987"/>
  <c r="H105" i="987"/>
  <c r="H106" i="987"/>
  <c r="H107" i="987"/>
  <c r="H108" i="987"/>
  <c r="H109" i="987"/>
  <c r="H110" i="987"/>
  <c r="H111" i="987"/>
  <c r="H112" i="987"/>
  <c r="H113" i="987"/>
  <c r="H114" i="987"/>
  <c r="H115" i="987"/>
  <c r="H116" i="987"/>
  <c r="H117" i="987"/>
  <c r="H118" i="987"/>
  <c r="H119" i="987"/>
  <c r="H120" i="987"/>
  <c r="H121" i="987"/>
  <c r="H122" i="987"/>
  <c r="H123" i="987"/>
  <c r="H124" i="987"/>
  <c r="H125" i="987"/>
  <c r="H126" i="987"/>
  <c r="H127" i="987"/>
  <c r="H128" i="987"/>
  <c r="H129" i="987"/>
  <c r="H130" i="987"/>
  <c r="H131" i="987"/>
  <c r="H132" i="987"/>
  <c r="H133" i="987"/>
  <c r="H134" i="987"/>
  <c r="H135" i="987"/>
  <c r="H136" i="987"/>
  <c r="H137" i="987"/>
  <c r="H138" i="987"/>
  <c r="H139" i="987"/>
  <c r="H140" i="987"/>
  <c r="H141" i="987"/>
  <c r="H142" i="987"/>
  <c r="H143" i="987"/>
  <c r="H144" i="987"/>
  <c r="H145" i="987"/>
  <c r="H146" i="987"/>
  <c r="H147" i="987"/>
  <c r="H148" i="987"/>
  <c r="H149" i="987"/>
  <c r="H150" i="987"/>
  <c r="H151" i="987"/>
  <c r="H152" i="987"/>
  <c r="H153" i="987"/>
  <c r="H154" i="987"/>
  <c r="H155" i="987"/>
  <c r="H156" i="987"/>
  <c r="H157" i="987"/>
  <c r="H158" i="987"/>
  <c r="H8" i="987"/>
  <c r="D9" i="987"/>
  <c r="D10" i="987"/>
  <c r="D11" i="987"/>
  <c r="D12" i="987"/>
  <c r="D13" i="987"/>
  <c r="D14" i="987"/>
  <c r="D15" i="987"/>
  <c r="D16" i="987"/>
  <c r="D17" i="987"/>
  <c r="D18" i="987"/>
  <c r="D19" i="987"/>
  <c r="D20" i="987"/>
  <c r="D21" i="987"/>
  <c r="D22" i="987"/>
  <c r="D23" i="987"/>
  <c r="D24" i="987"/>
  <c r="D25" i="987"/>
  <c r="D26" i="987"/>
  <c r="D27" i="987"/>
  <c r="D28" i="987"/>
  <c r="D29" i="987"/>
  <c r="D30" i="987"/>
  <c r="D31" i="987"/>
  <c r="D32" i="987"/>
  <c r="D33" i="987"/>
  <c r="D34" i="987"/>
  <c r="D35" i="987"/>
  <c r="D36" i="987"/>
  <c r="D37" i="987"/>
  <c r="D38" i="987"/>
  <c r="D39" i="987"/>
  <c r="D40" i="987"/>
  <c r="D41" i="987"/>
  <c r="D42" i="987"/>
  <c r="D43" i="987"/>
  <c r="D44" i="987"/>
  <c r="D45" i="987"/>
  <c r="D46" i="987"/>
  <c r="D47" i="987"/>
  <c r="D48" i="987"/>
  <c r="D49" i="987"/>
  <c r="D50" i="987"/>
  <c r="D51" i="987"/>
  <c r="D52" i="987"/>
  <c r="D53" i="987"/>
  <c r="D54" i="987"/>
  <c r="D55" i="987"/>
  <c r="D56" i="987"/>
  <c r="D57" i="987"/>
  <c r="D58" i="987"/>
  <c r="D59" i="987"/>
  <c r="D60" i="987"/>
  <c r="D61" i="987"/>
  <c r="D62" i="987"/>
  <c r="D63" i="987"/>
  <c r="D64" i="987"/>
  <c r="D65" i="987"/>
  <c r="D66" i="987"/>
  <c r="D67" i="987"/>
  <c r="D68" i="987"/>
  <c r="D69" i="987"/>
  <c r="D70" i="987"/>
  <c r="D71" i="987"/>
  <c r="D72" i="987"/>
  <c r="D73" i="987"/>
  <c r="D74" i="987"/>
  <c r="D75" i="987"/>
  <c r="D76" i="987"/>
  <c r="D77" i="987"/>
  <c r="D78" i="987"/>
  <c r="D79" i="987"/>
  <c r="D80" i="987"/>
  <c r="D81" i="987"/>
  <c r="D82" i="987"/>
  <c r="D83" i="987"/>
  <c r="D84" i="987"/>
  <c r="D85" i="987"/>
  <c r="D86" i="987"/>
  <c r="D87" i="987"/>
  <c r="D88" i="987"/>
  <c r="D89" i="987"/>
  <c r="D90" i="987"/>
  <c r="D91" i="987"/>
  <c r="D92" i="987"/>
  <c r="D93" i="987"/>
  <c r="D94" i="987"/>
  <c r="D95" i="987"/>
  <c r="D96" i="987"/>
  <c r="D97" i="987"/>
  <c r="D98" i="987"/>
  <c r="D99" i="987"/>
  <c r="D100" i="987"/>
  <c r="D101" i="987"/>
  <c r="D102" i="987"/>
  <c r="D103" i="987"/>
  <c r="D104" i="987"/>
  <c r="D105" i="987"/>
  <c r="D106" i="987"/>
  <c r="D107" i="987"/>
  <c r="D108" i="987"/>
  <c r="D109" i="987"/>
  <c r="D110" i="987"/>
  <c r="D111" i="987"/>
  <c r="D112" i="987"/>
  <c r="D113" i="987"/>
  <c r="D114" i="987"/>
  <c r="D115" i="987"/>
  <c r="D116" i="987"/>
  <c r="D117" i="987"/>
  <c r="D118" i="987"/>
  <c r="D119" i="987"/>
  <c r="D120" i="987"/>
  <c r="D121" i="987"/>
  <c r="D122" i="987"/>
  <c r="D123" i="987"/>
  <c r="D124" i="987"/>
  <c r="D125" i="987"/>
  <c r="D126" i="987"/>
  <c r="D127" i="987"/>
  <c r="D128" i="987"/>
  <c r="D129" i="987"/>
  <c r="D130" i="987"/>
  <c r="D131" i="987"/>
  <c r="D132" i="987"/>
  <c r="D133" i="987"/>
  <c r="D134" i="987"/>
  <c r="D135" i="987"/>
  <c r="D136" i="987"/>
  <c r="D137" i="987"/>
  <c r="D138" i="987"/>
  <c r="D139" i="987"/>
  <c r="D140" i="987"/>
  <c r="D141" i="987"/>
  <c r="D142" i="987"/>
  <c r="D143" i="987"/>
  <c r="D144" i="987"/>
  <c r="D145" i="987"/>
  <c r="D146" i="987"/>
  <c r="D147" i="987"/>
  <c r="D148" i="987"/>
  <c r="D149" i="987"/>
  <c r="D150" i="987"/>
  <c r="D151" i="987"/>
  <c r="D152" i="987"/>
  <c r="D153" i="987"/>
  <c r="D154" i="987"/>
  <c r="D155" i="987"/>
  <c r="D156" i="987"/>
  <c r="D157" i="987"/>
  <c r="D158" i="987"/>
  <c r="D8" i="987"/>
  <c r="I27" i="1009" l="1"/>
  <c r="M32" i="1009"/>
  <c r="N20" i="1007"/>
  <c r="M20" i="1007"/>
  <c r="N24" i="1007"/>
  <c r="D110" i="1006"/>
  <c r="D112" i="1006"/>
  <c r="D15" i="1005"/>
  <c r="C110" i="989"/>
  <c r="C112" i="988"/>
  <c r="C110" i="987"/>
  <c r="C112" i="987"/>
  <c r="D110" i="981"/>
  <c r="D112" i="980"/>
  <c r="E11" i="982" l="1"/>
  <c r="E10" i="982"/>
  <c r="C112" i="979"/>
  <c r="C110" i="979"/>
  <c r="B30" i="1009" l="1"/>
  <c r="B47" i="1009"/>
  <c r="J26" i="1009"/>
  <c r="J12" i="1009"/>
  <c r="I47" i="1009"/>
  <c r="I15" i="1009"/>
  <c r="I19" i="1009"/>
  <c r="I39" i="1009"/>
  <c r="J27" i="1009"/>
  <c r="B27" i="1009"/>
  <c r="I14" i="1009"/>
  <c r="B14" i="1009"/>
  <c r="J9" i="1009"/>
  <c r="I32" i="1009"/>
  <c r="I18" i="1009"/>
  <c r="I50" i="1009"/>
  <c r="I49" i="1009"/>
  <c r="J35" i="1009"/>
  <c r="J43" i="1009"/>
  <c r="B43" i="1009"/>
  <c r="B29" i="1009"/>
  <c r="D40" i="1008"/>
  <c r="B26" i="976"/>
  <c r="M24" i="1007"/>
  <c r="N23" i="1007"/>
  <c r="N21" i="1007"/>
  <c r="N19" i="1007"/>
  <c r="M19" i="1007"/>
  <c r="N18" i="1007"/>
  <c r="M18" i="1007"/>
  <c r="N17" i="1007"/>
  <c r="M17" i="1007"/>
  <c r="N16" i="1007"/>
  <c r="M16" i="1007"/>
  <c r="N11" i="1007"/>
  <c r="M9" i="1007"/>
  <c r="N9" i="1007"/>
  <c r="Q26" i="1007"/>
  <c r="Q14" i="1007"/>
  <c r="R5" i="1007"/>
  <c r="R6" i="1007"/>
  <c r="R7" i="1007"/>
  <c r="R8" i="1007"/>
  <c r="R15" i="1007"/>
  <c r="R22" i="1007"/>
  <c r="R25" i="1007"/>
  <c r="R10" i="1007"/>
  <c r="R13" i="1007"/>
  <c r="M6" i="1007"/>
  <c r="D152" i="1006"/>
  <c r="D153" i="1006" s="1"/>
  <c r="D151" i="1006"/>
  <c r="D150" i="1006"/>
  <c r="D149" i="1006"/>
  <c r="D148" i="1006"/>
  <c r="D147" i="1006"/>
  <c r="D146" i="1006"/>
  <c r="G145" i="1006"/>
  <c r="F145" i="1006"/>
  <c r="E145" i="1006"/>
  <c r="D145" i="1006"/>
  <c r="D144" i="1006"/>
  <c r="D143" i="1006"/>
  <c r="E142" i="1006"/>
  <c r="D142" i="1006"/>
  <c r="D141" i="1006"/>
  <c r="G140" i="1006"/>
  <c r="F140" i="1006"/>
  <c r="E140" i="1006"/>
  <c r="D140" i="1006"/>
  <c r="D139" i="1006"/>
  <c r="D138" i="1006"/>
  <c r="D137" i="1006"/>
  <c r="D136" i="1006"/>
  <c r="D135" i="1006"/>
  <c r="D134" i="1006"/>
  <c r="G133" i="1006"/>
  <c r="F133" i="1006"/>
  <c r="E133" i="1006"/>
  <c r="D133" i="1006"/>
  <c r="D132" i="1006"/>
  <c r="D131" i="1006"/>
  <c r="D130" i="1006"/>
  <c r="G129" i="1006"/>
  <c r="G153" i="1006" s="1"/>
  <c r="F129" i="1006"/>
  <c r="F153" i="1006" s="1"/>
  <c r="E129" i="1006"/>
  <c r="E153" i="1006" s="1"/>
  <c r="D129" i="1006"/>
  <c r="E127" i="1006"/>
  <c r="D127" i="1006"/>
  <c r="D126" i="1006"/>
  <c r="D125" i="1006"/>
  <c r="D124" i="1006"/>
  <c r="D123" i="1006"/>
  <c r="D122" i="1006"/>
  <c r="D121" i="1006"/>
  <c r="D119" i="1006" s="1"/>
  <c r="D120" i="1006"/>
  <c r="E119" i="1006"/>
  <c r="D118" i="1006"/>
  <c r="E117" i="1006"/>
  <c r="D117" i="1006"/>
  <c r="D116" i="1006"/>
  <c r="E115" i="1006"/>
  <c r="D115" i="1006" s="1"/>
  <c r="G114" i="1006"/>
  <c r="F114" i="1006"/>
  <c r="E114" i="1006"/>
  <c r="E113" i="1006"/>
  <c r="D113" i="1006" s="1"/>
  <c r="D111" i="1006" s="1"/>
  <c r="E112" i="1006"/>
  <c r="G111" i="1006"/>
  <c r="E111" i="1006"/>
  <c r="E110" i="1006"/>
  <c r="D109" i="1006"/>
  <c r="D108" i="1006"/>
  <c r="D107" i="1006"/>
  <c r="D106" i="1006"/>
  <c r="D105" i="1006"/>
  <c r="D104" i="1006"/>
  <c r="D103" i="1006"/>
  <c r="D102" i="1006"/>
  <c r="D101" i="1006"/>
  <c r="D100" i="1006"/>
  <c r="D99" i="1006"/>
  <c r="F98" i="1006"/>
  <c r="E98" i="1006"/>
  <c r="D98" i="1006"/>
  <c r="E97" i="1006"/>
  <c r="D97" i="1006"/>
  <c r="E96" i="1006"/>
  <c r="D96" i="1006"/>
  <c r="E95" i="1006"/>
  <c r="D95" i="1006"/>
  <c r="E94" i="1006"/>
  <c r="D94" i="1006"/>
  <c r="G93" i="1006"/>
  <c r="G128" i="1006" s="1"/>
  <c r="G154" i="1006" s="1"/>
  <c r="F93" i="1006"/>
  <c r="F128" i="1006" s="1"/>
  <c r="E93" i="1006"/>
  <c r="E128" i="1006" s="1"/>
  <c r="E154" i="1006" s="1"/>
  <c r="D85" i="1006"/>
  <c r="D86" i="1006" s="1"/>
  <c r="D84" i="1006"/>
  <c r="D83" i="1006"/>
  <c r="D82" i="1006"/>
  <c r="D81" i="1006"/>
  <c r="D80" i="1006"/>
  <c r="G79" i="1006"/>
  <c r="F79" i="1006"/>
  <c r="E79" i="1006"/>
  <c r="D79" i="1006"/>
  <c r="D78" i="1006"/>
  <c r="D77" i="1006"/>
  <c r="D76" i="1006"/>
  <c r="G75" i="1006"/>
  <c r="F75" i="1006"/>
  <c r="E75" i="1006"/>
  <c r="D75" i="1006"/>
  <c r="D74" i="1006"/>
  <c r="D73" i="1006"/>
  <c r="G72" i="1006"/>
  <c r="F72" i="1006"/>
  <c r="E72" i="1006"/>
  <c r="D72" i="1006"/>
  <c r="D71" i="1006"/>
  <c r="D70" i="1006"/>
  <c r="D69" i="1006"/>
  <c r="D68" i="1006"/>
  <c r="G67" i="1006"/>
  <c r="F67" i="1006"/>
  <c r="E67" i="1006"/>
  <c r="D67" i="1006"/>
  <c r="D66" i="1006"/>
  <c r="D65" i="1006"/>
  <c r="D64" i="1006"/>
  <c r="G63" i="1006"/>
  <c r="G86" i="1006" s="1"/>
  <c r="F63" i="1006"/>
  <c r="F86" i="1006" s="1"/>
  <c r="E63" i="1006"/>
  <c r="E86" i="1006" s="1"/>
  <c r="D63" i="1006"/>
  <c r="D61" i="1006"/>
  <c r="D60" i="1006"/>
  <c r="D59" i="1006"/>
  <c r="D58" i="1006"/>
  <c r="G57" i="1006"/>
  <c r="F57" i="1006"/>
  <c r="E57" i="1006"/>
  <c r="D57" i="1006"/>
  <c r="D56" i="1006"/>
  <c r="E55" i="1006"/>
  <c r="D55" i="1006"/>
  <c r="E54" i="1006"/>
  <c r="D54" i="1006"/>
  <c r="D52" i="1006" s="1"/>
  <c r="D53" i="1006"/>
  <c r="G52" i="1006"/>
  <c r="F52" i="1006"/>
  <c r="E52" i="1006"/>
  <c r="D51" i="1006"/>
  <c r="D50" i="1006"/>
  <c r="E48" i="1006"/>
  <c r="D48" i="1006" s="1"/>
  <c r="D46" i="1006" s="1"/>
  <c r="D47" i="1006"/>
  <c r="G46" i="1006"/>
  <c r="F46" i="1006"/>
  <c r="E46" i="1006"/>
  <c r="E45" i="1006"/>
  <c r="D45" i="1006"/>
  <c r="E44" i="1006"/>
  <c r="D44" i="1006"/>
  <c r="D43" i="1006"/>
  <c r="D42" i="1006"/>
  <c r="D41" i="1006"/>
  <c r="E40" i="1006"/>
  <c r="D40" i="1006" s="1"/>
  <c r="D34" i="1006" s="1"/>
  <c r="D39" i="1006"/>
  <c r="E38" i="1006"/>
  <c r="D38" i="1006"/>
  <c r="E37" i="1006"/>
  <c r="D37" i="1006"/>
  <c r="E36" i="1006"/>
  <c r="D36" i="1006"/>
  <c r="E35" i="1006"/>
  <c r="D35" i="1006"/>
  <c r="G34" i="1006"/>
  <c r="F34" i="1006"/>
  <c r="E34" i="1006"/>
  <c r="D33" i="1006"/>
  <c r="D32" i="1006"/>
  <c r="E31" i="1006"/>
  <c r="D31" i="1006"/>
  <c r="D30" i="1006"/>
  <c r="D29" i="1006"/>
  <c r="E28" i="1006"/>
  <c r="D28" i="1006"/>
  <c r="E27" i="1006"/>
  <c r="D27" i="1006"/>
  <c r="G26" i="1006"/>
  <c r="F26" i="1006"/>
  <c r="E26" i="1006"/>
  <c r="D26" i="1006"/>
  <c r="D25" i="1006"/>
  <c r="E24" i="1006"/>
  <c r="D24" i="1006" s="1"/>
  <c r="D19" i="1006" s="1"/>
  <c r="D23" i="1006"/>
  <c r="D22" i="1006"/>
  <c r="D21" i="1006"/>
  <c r="D20" i="1006"/>
  <c r="G19" i="1006"/>
  <c r="F19" i="1006"/>
  <c r="E19" i="1006"/>
  <c r="D18" i="1006"/>
  <c r="E17" i="1006"/>
  <c r="D17" i="1006"/>
  <c r="D16" i="1006"/>
  <c r="D15" i="1006"/>
  <c r="D14" i="1006"/>
  <c r="D13" i="1006"/>
  <c r="G12" i="1006"/>
  <c r="F12" i="1006"/>
  <c r="E12" i="1006"/>
  <c r="D12" i="1006"/>
  <c r="D11" i="1006"/>
  <c r="E10" i="1006"/>
  <c r="D10" i="1006"/>
  <c r="E9" i="1006"/>
  <c r="D9" i="1006"/>
  <c r="E8" i="1006"/>
  <c r="D8" i="1006"/>
  <c r="D7" i="1006"/>
  <c r="D6" i="1006"/>
  <c r="G5" i="1006"/>
  <c r="G62" i="1006" s="1"/>
  <c r="G87" i="1006" s="1"/>
  <c r="F5" i="1006"/>
  <c r="F62" i="1006" s="1"/>
  <c r="F87" i="1006" s="1"/>
  <c r="E5" i="1006"/>
  <c r="E62" i="1006" s="1"/>
  <c r="E87" i="1006" s="1"/>
  <c r="D5" i="1006"/>
  <c r="C14" i="990"/>
  <c r="C10" i="990"/>
  <c r="C10" i="958"/>
  <c r="C14" i="958"/>
  <c r="C41" i="958"/>
  <c r="C41" i="990"/>
  <c r="G15" i="1032"/>
  <c r="C49" i="958"/>
  <c r="C49" i="990"/>
  <c r="C96" i="987"/>
  <c r="C96" i="989"/>
  <c r="C95" i="987"/>
  <c r="C95" i="989"/>
  <c r="C94" i="989"/>
  <c r="C127" i="988"/>
  <c r="C116" i="988"/>
  <c r="C115" i="988"/>
  <c r="C113" i="988"/>
  <c r="C97" i="988"/>
  <c r="C96" i="988"/>
  <c r="C127" i="987"/>
  <c r="C113" i="987"/>
  <c r="C116" i="987"/>
  <c r="C115" i="987"/>
  <c r="C97" i="987"/>
  <c r="C94" i="987"/>
  <c r="C48" i="987"/>
  <c r="C48" i="989"/>
  <c r="C43" i="989"/>
  <c r="C38" i="989"/>
  <c r="C20" i="989"/>
  <c r="C13" i="989"/>
  <c r="C57" i="988"/>
  <c r="F57" i="987" s="1"/>
  <c r="G57" i="987" s="1"/>
  <c r="C48" i="988"/>
  <c r="C43" i="988"/>
  <c r="C40" i="988"/>
  <c r="C13" i="988"/>
  <c r="C11" i="988"/>
  <c r="C57" i="987"/>
  <c r="C43" i="987"/>
  <c r="C40" i="987"/>
  <c r="C38" i="987"/>
  <c r="C20" i="987"/>
  <c r="C13" i="987"/>
  <c r="C11" i="987"/>
  <c r="C38" i="986"/>
  <c r="E28" i="984"/>
  <c r="B28" i="984"/>
  <c r="E81" i="984"/>
  <c r="F25" i="984"/>
  <c r="F26" i="984"/>
  <c r="F27" i="984"/>
  <c r="F29" i="984"/>
  <c r="F30" i="984"/>
  <c r="F31" i="984"/>
  <c r="F32" i="984"/>
  <c r="F33" i="984"/>
  <c r="F34" i="984"/>
  <c r="F35" i="984"/>
  <c r="F36" i="984"/>
  <c r="F37" i="984"/>
  <c r="F38" i="984"/>
  <c r="F39" i="984"/>
  <c r="F40" i="984"/>
  <c r="F41" i="984"/>
  <c r="F42" i="984"/>
  <c r="F50" i="984"/>
  <c r="F52" i="984"/>
  <c r="F55" i="984"/>
  <c r="F62" i="984"/>
  <c r="F64" i="984"/>
  <c r="F65" i="984"/>
  <c r="F66" i="984"/>
  <c r="F67" i="984"/>
  <c r="F68" i="984"/>
  <c r="F69" i="984"/>
  <c r="F70" i="984"/>
  <c r="F71" i="984"/>
  <c r="F72" i="984"/>
  <c r="F73" i="984"/>
  <c r="E24" i="984"/>
  <c r="B24" i="984"/>
  <c r="F24" i="984" s="1"/>
  <c r="C96" i="946"/>
  <c r="D96" i="981"/>
  <c r="D95" i="981"/>
  <c r="D94" i="981"/>
  <c r="E7" i="983"/>
  <c r="C116" i="979"/>
  <c r="D127" i="980"/>
  <c r="D116" i="980"/>
  <c r="D115" i="980"/>
  <c r="D113" i="980"/>
  <c r="D97" i="980"/>
  <c r="D96" i="980"/>
  <c r="D95" i="980"/>
  <c r="D94" i="980"/>
  <c r="H99" i="979"/>
  <c r="H100" i="979"/>
  <c r="H101" i="979"/>
  <c r="H102" i="979"/>
  <c r="H103" i="979"/>
  <c r="H104" i="979"/>
  <c r="H105" i="979"/>
  <c r="H106" i="979"/>
  <c r="H107" i="979"/>
  <c r="H108" i="979"/>
  <c r="H109" i="979"/>
  <c r="H117" i="979"/>
  <c r="H118" i="979"/>
  <c r="H120" i="979"/>
  <c r="H121" i="979"/>
  <c r="H122" i="979"/>
  <c r="H123" i="979"/>
  <c r="H124" i="979"/>
  <c r="H125" i="979"/>
  <c r="H126" i="979"/>
  <c r="H129" i="979"/>
  <c r="H130" i="979"/>
  <c r="H131" i="979"/>
  <c r="H132" i="979"/>
  <c r="H133" i="979"/>
  <c r="H134" i="979"/>
  <c r="H135" i="979"/>
  <c r="H136" i="979"/>
  <c r="H137" i="979"/>
  <c r="H138" i="979"/>
  <c r="H139" i="979"/>
  <c r="H140" i="979"/>
  <c r="H141" i="979"/>
  <c r="H142" i="979"/>
  <c r="H143" i="979"/>
  <c r="H144" i="979"/>
  <c r="H145" i="979"/>
  <c r="H146" i="979"/>
  <c r="H147" i="979"/>
  <c r="H148" i="979"/>
  <c r="H149" i="979"/>
  <c r="H150" i="979"/>
  <c r="H151" i="979"/>
  <c r="H152" i="979"/>
  <c r="H153" i="979"/>
  <c r="H6" i="979"/>
  <c r="H7" i="979"/>
  <c r="H8" i="979"/>
  <c r="H9" i="979"/>
  <c r="H10" i="979"/>
  <c r="H11" i="979"/>
  <c r="H12" i="979"/>
  <c r="H13" i="979"/>
  <c r="H14" i="979"/>
  <c r="H15" i="979"/>
  <c r="H16" i="979"/>
  <c r="H17" i="979"/>
  <c r="H18" i="979"/>
  <c r="H19" i="979"/>
  <c r="H20" i="979"/>
  <c r="H21" i="979"/>
  <c r="H22" i="979"/>
  <c r="H23" i="979"/>
  <c r="H24" i="979"/>
  <c r="H25" i="979"/>
  <c r="H26" i="979"/>
  <c r="H27" i="979"/>
  <c r="H28" i="979"/>
  <c r="H29" i="979"/>
  <c r="H30" i="979"/>
  <c r="H31" i="979"/>
  <c r="H32" i="979"/>
  <c r="H33" i="979"/>
  <c r="H34" i="979"/>
  <c r="H35" i="979"/>
  <c r="H36" i="979"/>
  <c r="H37" i="979"/>
  <c r="H38" i="979"/>
  <c r="H39" i="979"/>
  <c r="H40" i="979"/>
  <c r="H41" i="979"/>
  <c r="H42" i="979"/>
  <c r="H43" i="979"/>
  <c r="H44" i="979"/>
  <c r="H45" i="979"/>
  <c r="H46" i="979"/>
  <c r="H47" i="979"/>
  <c r="H48" i="979"/>
  <c r="H49" i="979"/>
  <c r="H50" i="979"/>
  <c r="H51" i="979"/>
  <c r="H52" i="979"/>
  <c r="H53" i="979"/>
  <c r="H54" i="979"/>
  <c r="H55" i="979"/>
  <c r="H56" i="979"/>
  <c r="H57" i="979"/>
  <c r="H58" i="979"/>
  <c r="H59" i="979"/>
  <c r="H60" i="979"/>
  <c r="H61" i="979"/>
  <c r="H62" i="979"/>
  <c r="H63" i="979"/>
  <c r="H64" i="979"/>
  <c r="H65" i="979"/>
  <c r="H66" i="979"/>
  <c r="H67" i="979"/>
  <c r="H68" i="979"/>
  <c r="H69" i="979"/>
  <c r="H70" i="979"/>
  <c r="H71" i="979"/>
  <c r="H72" i="979"/>
  <c r="H73" i="979"/>
  <c r="H74" i="979"/>
  <c r="H75" i="979"/>
  <c r="H76" i="979"/>
  <c r="H77" i="979"/>
  <c r="H78" i="979"/>
  <c r="H79" i="979"/>
  <c r="H80" i="979"/>
  <c r="H81" i="979"/>
  <c r="H82" i="979"/>
  <c r="H83" i="979"/>
  <c r="H84" i="979"/>
  <c r="H85" i="979"/>
  <c r="H86" i="979"/>
  <c r="H87" i="979"/>
  <c r="H5" i="979"/>
  <c r="D45" i="981"/>
  <c r="D40" i="981"/>
  <c r="D35" i="981"/>
  <c r="D17" i="981"/>
  <c r="D10" i="981"/>
  <c r="D54" i="980"/>
  <c r="D45" i="980"/>
  <c r="D40" i="980"/>
  <c r="F39" i="980"/>
  <c r="D36" i="980"/>
  <c r="D37" i="980"/>
  <c r="D10" i="980"/>
  <c r="D8" i="980"/>
  <c r="G47" i="990"/>
  <c r="H47" i="990" s="1"/>
  <c r="G48" i="990"/>
  <c r="H48" i="990" s="1"/>
  <c r="G49" i="990"/>
  <c r="H49" i="990" s="1"/>
  <c r="G50" i="990"/>
  <c r="H50" i="990" s="1"/>
  <c r="G51" i="990"/>
  <c r="H51" i="990" s="1"/>
  <c r="G52" i="990"/>
  <c r="H52" i="990" s="1"/>
  <c r="G53" i="990"/>
  <c r="H53" i="990" s="1"/>
  <c r="G54" i="990"/>
  <c r="H54" i="990" s="1"/>
  <c r="G55" i="990"/>
  <c r="H55" i="990" s="1"/>
  <c r="G56" i="990"/>
  <c r="H56" i="990" s="1"/>
  <c r="G57" i="990"/>
  <c r="H57" i="990" s="1"/>
  <c r="G60" i="990"/>
  <c r="H60" i="990" s="1"/>
  <c r="G61" i="990"/>
  <c r="H61" i="990" s="1"/>
  <c r="G9" i="990"/>
  <c r="H9" i="990" s="1"/>
  <c r="G10" i="990"/>
  <c r="G11" i="990"/>
  <c r="H11" i="990" s="1"/>
  <c r="G12" i="990"/>
  <c r="H12" i="990" s="1"/>
  <c r="G13" i="990"/>
  <c r="H13" i="990" s="1"/>
  <c r="G14" i="990"/>
  <c r="H14" i="990" s="1"/>
  <c r="G15" i="990"/>
  <c r="H15" i="990" s="1"/>
  <c r="G16" i="990"/>
  <c r="H16" i="990" s="1"/>
  <c r="G17" i="990"/>
  <c r="H17" i="990" s="1"/>
  <c r="G18" i="990"/>
  <c r="H18" i="990" s="1"/>
  <c r="G19" i="990"/>
  <c r="H19" i="990" s="1"/>
  <c r="G20" i="990"/>
  <c r="H20" i="990" s="1"/>
  <c r="G21" i="990"/>
  <c r="H21" i="990" s="1"/>
  <c r="G22" i="990"/>
  <c r="H22" i="990" s="1"/>
  <c r="G23" i="990"/>
  <c r="H23" i="990" s="1"/>
  <c r="G24" i="990"/>
  <c r="H24" i="990" s="1"/>
  <c r="G25" i="990"/>
  <c r="H25" i="990" s="1"/>
  <c r="G26" i="990"/>
  <c r="H26" i="990" s="1"/>
  <c r="G27" i="990"/>
  <c r="H27" i="990" s="1"/>
  <c r="G28" i="990"/>
  <c r="H28" i="990" s="1"/>
  <c r="G29" i="990"/>
  <c r="H29" i="990" s="1"/>
  <c r="G30" i="990"/>
  <c r="H30" i="990" s="1"/>
  <c r="G31" i="990"/>
  <c r="H31" i="990" s="1"/>
  <c r="G32" i="990"/>
  <c r="H32" i="990" s="1"/>
  <c r="G33" i="990"/>
  <c r="H33" i="990" s="1"/>
  <c r="G34" i="990"/>
  <c r="H34" i="990" s="1"/>
  <c r="G35" i="990"/>
  <c r="H35" i="990" s="1"/>
  <c r="G36" i="990"/>
  <c r="H36" i="990" s="1"/>
  <c r="G39" i="990"/>
  <c r="H39" i="990" s="1"/>
  <c r="G40" i="990"/>
  <c r="H40" i="990" s="1"/>
  <c r="G41" i="990"/>
  <c r="G9" i="987"/>
  <c r="G10" i="987"/>
  <c r="G12" i="987"/>
  <c r="G14" i="987"/>
  <c r="G16" i="987"/>
  <c r="G17" i="987"/>
  <c r="G18" i="987"/>
  <c r="G19" i="987"/>
  <c r="G21" i="987"/>
  <c r="G22" i="987"/>
  <c r="G23" i="987"/>
  <c r="G24" i="987"/>
  <c r="G25" i="987"/>
  <c r="G26" i="987"/>
  <c r="G27" i="987"/>
  <c r="G28" i="987"/>
  <c r="G29" i="987"/>
  <c r="G30" i="987"/>
  <c r="G31" i="987"/>
  <c r="G32" i="987"/>
  <c r="G33" i="987"/>
  <c r="G34" i="987"/>
  <c r="G35" i="987"/>
  <c r="G36" i="987"/>
  <c r="G39" i="987"/>
  <c r="G41" i="987"/>
  <c r="G42" i="987"/>
  <c r="G44" i="987"/>
  <c r="G45" i="987"/>
  <c r="G46" i="987"/>
  <c r="G47" i="987"/>
  <c r="G49" i="987"/>
  <c r="G50" i="987"/>
  <c r="G51" i="987"/>
  <c r="G52" i="987"/>
  <c r="G53" i="987"/>
  <c r="G54" i="987"/>
  <c r="G56" i="987"/>
  <c r="G58" i="987"/>
  <c r="G59" i="987"/>
  <c r="G60" i="987"/>
  <c r="G61" i="987"/>
  <c r="G62" i="987"/>
  <c r="G63" i="987"/>
  <c r="G64" i="987"/>
  <c r="G66" i="987"/>
  <c r="G67" i="987"/>
  <c r="G68" i="987"/>
  <c r="G69" i="987"/>
  <c r="G70" i="987"/>
  <c r="G71" i="987"/>
  <c r="G72" i="987"/>
  <c r="G73" i="987"/>
  <c r="G74" i="987"/>
  <c r="G75" i="987"/>
  <c r="G76" i="987"/>
  <c r="G77" i="987"/>
  <c r="G78" i="987"/>
  <c r="G79" i="987"/>
  <c r="G80" i="987"/>
  <c r="G81" i="987"/>
  <c r="G82" i="987"/>
  <c r="G83" i="987"/>
  <c r="G84" i="987"/>
  <c r="G85" i="987"/>
  <c r="G86" i="987"/>
  <c r="G87" i="987"/>
  <c r="G88" i="987"/>
  <c r="G89" i="987"/>
  <c r="G99" i="987"/>
  <c r="G100" i="987"/>
  <c r="G101" i="987"/>
  <c r="G102" i="987"/>
  <c r="G103" i="987"/>
  <c r="G104" i="987"/>
  <c r="G105" i="987"/>
  <c r="G106" i="987"/>
  <c r="G107" i="987"/>
  <c r="G108" i="987"/>
  <c r="G109" i="987"/>
  <c r="G117" i="987"/>
  <c r="G118" i="987"/>
  <c r="G120" i="987"/>
  <c r="G121" i="987"/>
  <c r="G122" i="987"/>
  <c r="G123" i="987"/>
  <c r="G124" i="987"/>
  <c r="G125" i="987"/>
  <c r="G126" i="987"/>
  <c r="G129" i="987"/>
  <c r="G130" i="987"/>
  <c r="G131" i="987"/>
  <c r="G132" i="987"/>
  <c r="G133" i="987"/>
  <c r="G134" i="987"/>
  <c r="G135" i="987"/>
  <c r="G136" i="987"/>
  <c r="G137" i="987"/>
  <c r="G138" i="987"/>
  <c r="G139" i="987"/>
  <c r="G140" i="987"/>
  <c r="G141" i="987"/>
  <c r="G142" i="987"/>
  <c r="G143" i="987"/>
  <c r="G144" i="987"/>
  <c r="G145" i="987"/>
  <c r="G146" i="987"/>
  <c r="G147" i="987"/>
  <c r="G148" i="987"/>
  <c r="G149" i="987"/>
  <c r="G150" i="987"/>
  <c r="G151" i="987"/>
  <c r="G152" i="987"/>
  <c r="G153" i="987"/>
  <c r="G154" i="987"/>
  <c r="F9" i="987"/>
  <c r="F10" i="987"/>
  <c r="F11" i="987"/>
  <c r="G11" i="987" s="1"/>
  <c r="F12" i="987"/>
  <c r="F13" i="987"/>
  <c r="G13" i="987" s="1"/>
  <c r="F14" i="987"/>
  <c r="F16" i="987"/>
  <c r="F17" i="987"/>
  <c r="F18" i="987"/>
  <c r="F19" i="987"/>
  <c r="F20" i="987"/>
  <c r="G20" i="987" s="1"/>
  <c r="F21" i="987"/>
  <c r="F22" i="987"/>
  <c r="F23" i="987"/>
  <c r="F24" i="987"/>
  <c r="F25" i="987"/>
  <c r="F26" i="987"/>
  <c r="F27" i="987"/>
  <c r="F28" i="987"/>
  <c r="F29" i="987"/>
  <c r="F30" i="987"/>
  <c r="F31" i="987"/>
  <c r="F32" i="987"/>
  <c r="F33" i="987"/>
  <c r="F34" i="987"/>
  <c r="F35" i="987"/>
  <c r="F36" i="987"/>
  <c r="F38" i="987"/>
  <c r="G38" i="987" s="1"/>
  <c r="F39" i="987"/>
  <c r="F40" i="987"/>
  <c r="G40" i="987" s="1"/>
  <c r="F41" i="987"/>
  <c r="F42" i="987"/>
  <c r="F43" i="987"/>
  <c r="G43" i="987" s="1"/>
  <c r="F44" i="987"/>
  <c r="F45" i="987"/>
  <c r="F46" i="987"/>
  <c r="F47" i="987"/>
  <c r="F48" i="987"/>
  <c r="G48" i="987" s="1"/>
  <c r="F49" i="987"/>
  <c r="F50" i="987"/>
  <c r="F51" i="987"/>
  <c r="F52" i="987"/>
  <c r="F53" i="987"/>
  <c r="F54" i="987"/>
  <c r="F56" i="987"/>
  <c r="F58" i="987"/>
  <c r="F59" i="987"/>
  <c r="F60" i="987"/>
  <c r="F61" i="987"/>
  <c r="F62" i="987"/>
  <c r="F63" i="987"/>
  <c r="F64" i="987"/>
  <c r="F66" i="987"/>
  <c r="F67" i="987"/>
  <c r="F68" i="987"/>
  <c r="F69" i="987"/>
  <c r="F70" i="987"/>
  <c r="F71" i="987"/>
  <c r="F72" i="987"/>
  <c r="F73" i="987"/>
  <c r="F74" i="987"/>
  <c r="F75" i="987"/>
  <c r="F76" i="987"/>
  <c r="F77" i="987"/>
  <c r="F78" i="987"/>
  <c r="F79" i="987"/>
  <c r="F80" i="987"/>
  <c r="F81" i="987"/>
  <c r="F82" i="987"/>
  <c r="F83" i="987"/>
  <c r="F84" i="987"/>
  <c r="F85" i="987"/>
  <c r="F86" i="987"/>
  <c r="F87" i="987"/>
  <c r="F88" i="987"/>
  <c r="F89" i="987"/>
  <c r="F94" i="987"/>
  <c r="G94" i="987" s="1"/>
  <c r="F95" i="987"/>
  <c r="F96" i="987"/>
  <c r="G96" i="987" s="1"/>
  <c r="F97" i="987"/>
  <c r="G97" i="987" s="1"/>
  <c r="F99" i="987"/>
  <c r="F100" i="987"/>
  <c r="F101" i="987"/>
  <c r="F102" i="987"/>
  <c r="F103" i="987"/>
  <c r="F104" i="987"/>
  <c r="F105" i="987"/>
  <c r="F106" i="987"/>
  <c r="F107" i="987"/>
  <c r="F108" i="987"/>
  <c r="F109" i="987"/>
  <c r="F110" i="987"/>
  <c r="G110" i="987" s="1"/>
  <c r="F112" i="987"/>
  <c r="G112" i="987" s="1"/>
  <c r="F113" i="987"/>
  <c r="G113" i="987" s="1"/>
  <c r="F115" i="987"/>
  <c r="G115" i="987" s="1"/>
  <c r="F116" i="987"/>
  <c r="G116" i="987" s="1"/>
  <c r="F117" i="987"/>
  <c r="F118" i="987"/>
  <c r="F120" i="987"/>
  <c r="F121" i="987"/>
  <c r="F122" i="987"/>
  <c r="F123" i="987"/>
  <c r="F124" i="987"/>
  <c r="F125" i="987"/>
  <c r="F126" i="987"/>
  <c r="F127" i="987"/>
  <c r="G127" i="987" s="1"/>
  <c r="F129" i="987"/>
  <c r="F130" i="987"/>
  <c r="F131" i="987"/>
  <c r="F132" i="987"/>
  <c r="F133" i="987"/>
  <c r="F134" i="987"/>
  <c r="F135" i="987"/>
  <c r="F136" i="987"/>
  <c r="F137" i="987"/>
  <c r="F138" i="987"/>
  <c r="F139" i="987"/>
  <c r="F140" i="987"/>
  <c r="F141" i="987"/>
  <c r="F142" i="987"/>
  <c r="F143" i="987"/>
  <c r="F144" i="987"/>
  <c r="F145" i="987"/>
  <c r="F146" i="987"/>
  <c r="F147" i="987"/>
  <c r="F148" i="987"/>
  <c r="F149" i="987"/>
  <c r="F150" i="987"/>
  <c r="F151" i="987"/>
  <c r="F152" i="987"/>
  <c r="F153" i="987"/>
  <c r="F154" i="987"/>
  <c r="H16" i="1032"/>
  <c r="I15" i="1032"/>
  <c r="F15" i="1032"/>
  <c r="E15" i="1032"/>
  <c r="J15" i="1032" s="1"/>
  <c r="C15" i="1032" s="1"/>
  <c r="B15" i="1032"/>
  <c r="I14" i="1032"/>
  <c r="G14" i="1032"/>
  <c r="F14" i="1032"/>
  <c r="E14" i="1032"/>
  <c r="J14" i="1032" s="1"/>
  <c r="C14" i="1032" s="1"/>
  <c r="B14" i="1032"/>
  <c r="D14" i="1032" s="1"/>
  <c r="I13" i="1032"/>
  <c r="G13" i="1032"/>
  <c r="F13" i="1032"/>
  <c r="E13" i="1032"/>
  <c r="J13" i="1032" s="1"/>
  <c r="C13" i="1032" s="1"/>
  <c r="B13" i="1032"/>
  <c r="I12" i="1032"/>
  <c r="G12" i="1032"/>
  <c r="F12" i="1032"/>
  <c r="E12" i="1032"/>
  <c r="J12" i="1032" s="1"/>
  <c r="C12" i="1032" s="1"/>
  <c r="B12" i="1032"/>
  <c r="D12" i="1032" s="1"/>
  <c r="I11" i="1032"/>
  <c r="G11" i="1032"/>
  <c r="F11" i="1032"/>
  <c r="E11" i="1032"/>
  <c r="J11" i="1032" s="1"/>
  <c r="C11" i="1032" s="1"/>
  <c r="B11" i="1032"/>
  <c r="I10" i="1032"/>
  <c r="I16" i="1032" s="1"/>
  <c r="G10" i="1032"/>
  <c r="G16" i="1032" s="1"/>
  <c r="F10" i="1032"/>
  <c r="F16" i="1032" s="1"/>
  <c r="E10" i="1032"/>
  <c r="E16" i="1032" s="1"/>
  <c r="B10" i="1032"/>
  <c r="B16" i="1032" s="1"/>
  <c r="C52" i="1030"/>
  <c r="C51" i="1030" s="1"/>
  <c r="C48" i="1030"/>
  <c r="C47" i="1030"/>
  <c r="C46" i="1030"/>
  <c r="C45" i="1030" s="1"/>
  <c r="C57" i="1030" s="1"/>
  <c r="C40" i="1030"/>
  <c r="C37" i="1030"/>
  <c r="C30" i="1030"/>
  <c r="C26" i="1030"/>
  <c r="C20" i="1030"/>
  <c r="C14" i="1030"/>
  <c r="C10" i="1030"/>
  <c r="C8" i="1030" s="1"/>
  <c r="C36" i="1030" s="1"/>
  <c r="C41" i="1030" s="1"/>
  <c r="C52" i="1029"/>
  <c r="C51" i="1029" s="1"/>
  <c r="C48" i="1029"/>
  <c r="C47" i="1029"/>
  <c r="C46" i="1029"/>
  <c r="C45" i="1029" s="1"/>
  <c r="C57" i="1029" s="1"/>
  <c r="C40" i="1029"/>
  <c r="C37" i="1029"/>
  <c r="C30" i="1029"/>
  <c r="C26" i="1029"/>
  <c r="C20" i="1029"/>
  <c r="C14" i="1029"/>
  <c r="C10" i="1029"/>
  <c r="C8" i="1029" s="1"/>
  <c r="C36" i="1029" s="1"/>
  <c r="C41" i="1029" s="1"/>
  <c r="C52" i="1028"/>
  <c r="C51" i="1028" s="1"/>
  <c r="C48" i="1028"/>
  <c r="C47" i="1028"/>
  <c r="C46" i="1028"/>
  <c r="C45" i="1028" s="1"/>
  <c r="C57" i="1028" s="1"/>
  <c r="C40" i="1028"/>
  <c r="C37" i="1028"/>
  <c r="C30" i="1028"/>
  <c r="C28" i="1028"/>
  <c r="C26" i="1028"/>
  <c r="C24" i="1028"/>
  <c r="C23" i="1028"/>
  <c r="C20" i="1028" s="1"/>
  <c r="C14" i="1028"/>
  <c r="C11" i="1028"/>
  <c r="C10" i="1028"/>
  <c r="C8" i="1028" s="1"/>
  <c r="C36" i="1028" s="1"/>
  <c r="C41" i="1028" s="1"/>
  <c r="C52" i="1027"/>
  <c r="C51" i="1027" s="1"/>
  <c r="C48" i="1027"/>
  <c r="C47" i="1027"/>
  <c r="C46" i="1027"/>
  <c r="C45" i="1027" s="1"/>
  <c r="C40" i="1027"/>
  <c r="C37" i="1027"/>
  <c r="C30" i="1027"/>
  <c r="C26" i="1027"/>
  <c r="C20" i="1027"/>
  <c r="C8" i="1027"/>
  <c r="C36" i="1027" s="1"/>
  <c r="C41" i="1027" s="1"/>
  <c r="C52" i="1026"/>
  <c r="C51" i="1026" s="1"/>
  <c r="C48" i="1026"/>
  <c r="C47" i="1026"/>
  <c r="C46" i="1026"/>
  <c r="C45" i="1026" s="1"/>
  <c r="C57" i="1026" s="1"/>
  <c r="C40" i="1026"/>
  <c r="C37" i="1026"/>
  <c r="C30" i="1026"/>
  <c r="C28" i="1026"/>
  <c r="C26" i="1026"/>
  <c r="C24" i="1026"/>
  <c r="C23" i="1026"/>
  <c r="C20" i="1026" s="1"/>
  <c r="C19" i="1026"/>
  <c r="C14" i="1026"/>
  <c r="C11" i="1026"/>
  <c r="C10" i="1026"/>
  <c r="C8" i="1026"/>
  <c r="C36" i="1026" s="1"/>
  <c r="C41" i="1026" s="1"/>
  <c r="C51" i="1025"/>
  <c r="C48" i="1025"/>
  <c r="C47" i="1025"/>
  <c r="C46" i="1025"/>
  <c r="C45" i="1025" s="1"/>
  <c r="C57" i="1025" s="1"/>
  <c r="C40" i="1025"/>
  <c r="C37" i="1025"/>
  <c r="C30" i="1025"/>
  <c r="C26" i="1025"/>
  <c r="C20" i="1025"/>
  <c r="C14" i="1025"/>
  <c r="C10" i="1025"/>
  <c r="C8" i="1025" s="1"/>
  <c r="C36" i="1025" s="1"/>
  <c r="C41" i="1025" s="1"/>
  <c r="C53" i="1024"/>
  <c r="C52" i="1024"/>
  <c r="C51" i="1024"/>
  <c r="C48" i="1024"/>
  <c r="C47" i="1024"/>
  <c r="C46" i="1024"/>
  <c r="C45" i="1024"/>
  <c r="C57" i="1024" s="1"/>
  <c r="C40" i="1024"/>
  <c r="C37" i="1024" s="1"/>
  <c r="C30" i="1024"/>
  <c r="C26" i="1024"/>
  <c r="C20" i="1024"/>
  <c r="C14" i="1024"/>
  <c r="C11" i="1024"/>
  <c r="C10" i="1024"/>
  <c r="C8" i="1024" s="1"/>
  <c r="C36" i="1024" s="1"/>
  <c r="C41" i="1024" s="1"/>
  <c r="C53" i="1023"/>
  <c r="C52" i="1023"/>
  <c r="C51" i="1023"/>
  <c r="C48" i="1023"/>
  <c r="C47" i="1023"/>
  <c r="C46" i="1023"/>
  <c r="C45" i="1023"/>
  <c r="C57" i="1023" s="1"/>
  <c r="C40" i="1023"/>
  <c r="C37" i="1023" s="1"/>
  <c r="C30" i="1023"/>
  <c r="C26" i="1023"/>
  <c r="C20" i="1023"/>
  <c r="C14" i="1023"/>
  <c r="C11" i="1023"/>
  <c r="C10" i="1023"/>
  <c r="C9" i="1023"/>
  <c r="C8" i="1023"/>
  <c r="C36" i="1023" s="1"/>
  <c r="C41" i="1023" s="1"/>
  <c r="C52" i="1021"/>
  <c r="C51" i="1021" s="1"/>
  <c r="C48" i="1021"/>
  <c r="C47" i="1021"/>
  <c r="C46" i="1021"/>
  <c r="C45" i="1021" s="1"/>
  <c r="C40" i="1021"/>
  <c r="C37" i="1021"/>
  <c r="C30" i="1021"/>
  <c r="C28" i="1021"/>
  <c r="C26" i="1021"/>
  <c r="C20" i="1021"/>
  <c r="C15" i="1021"/>
  <c r="C14" i="1021"/>
  <c r="C10" i="1021"/>
  <c r="C9" i="1021"/>
  <c r="C8" i="1021"/>
  <c r="C36" i="1021" s="1"/>
  <c r="C41" i="1021" s="1"/>
  <c r="C52" i="1020"/>
  <c r="C51" i="1020"/>
  <c r="C48" i="1020"/>
  <c r="C47" i="1020"/>
  <c r="C46" i="1020"/>
  <c r="C45" i="1020"/>
  <c r="C57" i="1020" s="1"/>
  <c r="C40" i="1020"/>
  <c r="C37" i="1020" s="1"/>
  <c r="C30" i="1020"/>
  <c r="C28" i="1020"/>
  <c r="C26" i="1020" s="1"/>
  <c r="C20" i="1020"/>
  <c r="C15" i="1020"/>
  <c r="C14" i="1020"/>
  <c r="C10" i="1020"/>
  <c r="C9" i="1020"/>
  <c r="C8" i="1020" s="1"/>
  <c r="C53" i="1018"/>
  <c r="C52" i="1018"/>
  <c r="C51" i="1018" s="1"/>
  <c r="C48" i="1018"/>
  <c r="C47" i="1018"/>
  <c r="C46" i="1018"/>
  <c r="C45" i="1018" s="1"/>
  <c r="C40" i="1018"/>
  <c r="C37" i="1018"/>
  <c r="C30" i="1018"/>
  <c r="C26" i="1018"/>
  <c r="C20" i="1018"/>
  <c r="C13" i="1018"/>
  <c r="C10" i="1018"/>
  <c r="C8" i="1018" s="1"/>
  <c r="C36" i="1018" s="1"/>
  <c r="C41" i="1018" s="1"/>
  <c r="C53" i="1017"/>
  <c r="C52" i="1017"/>
  <c r="C51" i="1017"/>
  <c r="C48" i="1017"/>
  <c r="C47" i="1017"/>
  <c r="C46" i="1017"/>
  <c r="C45" i="1017"/>
  <c r="C57" i="1017" s="1"/>
  <c r="C40" i="1017"/>
  <c r="C37" i="1017" s="1"/>
  <c r="C30" i="1017"/>
  <c r="C26" i="1017"/>
  <c r="C20" i="1017"/>
  <c r="C14" i="1017"/>
  <c r="C13" i="1017"/>
  <c r="C11" i="1017"/>
  <c r="C10" i="1017"/>
  <c r="C8" i="1017"/>
  <c r="C36" i="1017" s="1"/>
  <c r="C41" i="1017" s="1"/>
  <c r="D93" i="1006" l="1"/>
  <c r="F154" i="1006"/>
  <c r="D114" i="1006"/>
  <c r="D128" i="1006" s="1"/>
  <c r="D154" i="1006" s="1"/>
  <c r="D62" i="1006"/>
  <c r="D87" i="1006" s="1"/>
  <c r="H10" i="990"/>
  <c r="H41" i="990"/>
  <c r="G95" i="987"/>
  <c r="F28" i="984"/>
  <c r="C57" i="1018"/>
  <c r="C36" i="1020"/>
  <c r="C41" i="1020" s="1"/>
  <c r="C57" i="1021"/>
  <c r="C57" i="1027"/>
  <c r="D11" i="1032"/>
  <c r="D13" i="1032"/>
  <c r="D15" i="1032"/>
  <c r="J10" i="1032"/>
  <c r="E158" i="987"/>
  <c r="E157" i="987"/>
  <c r="E156" i="987"/>
  <c r="E153" i="987"/>
  <c r="E152" i="987"/>
  <c r="E151" i="987"/>
  <c r="E150" i="987"/>
  <c r="E149" i="987"/>
  <c r="E148" i="987"/>
  <c r="E147" i="987"/>
  <c r="E145" i="987"/>
  <c r="E144" i="987"/>
  <c r="E143" i="987"/>
  <c r="E142" i="987"/>
  <c r="E141" i="987"/>
  <c r="E139" i="987"/>
  <c r="E138" i="987"/>
  <c r="E137" i="987"/>
  <c r="E136" i="987"/>
  <c r="E135" i="987"/>
  <c r="E134" i="987"/>
  <c r="E132" i="987"/>
  <c r="E131" i="987"/>
  <c r="E130" i="987"/>
  <c r="E126" i="987"/>
  <c r="E125" i="987"/>
  <c r="E124" i="987"/>
  <c r="E123" i="987"/>
  <c r="E122" i="987"/>
  <c r="E121" i="987"/>
  <c r="E120" i="987"/>
  <c r="E109" i="987"/>
  <c r="E108" i="987"/>
  <c r="E107" i="987"/>
  <c r="E106" i="987"/>
  <c r="E104" i="987"/>
  <c r="E103" i="987"/>
  <c r="E102" i="987"/>
  <c r="E101" i="987"/>
  <c r="E100" i="987"/>
  <c r="E92" i="987"/>
  <c r="E91" i="987"/>
  <c r="E88" i="987"/>
  <c r="E87" i="987"/>
  <c r="E86" i="987"/>
  <c r="E85" i="987"/>
  <c r="E84" i="987"/>
  <c r="E83" i="987"/>
  <c r="E81" i="987"/>
  <c r="E80" i="987"/>
  <c r="E79" i="987"/>
  <c r="E77" i="987"/>
  <c r="E76" i="987"/>
  <c r="E74" i="987"/>
  <c r="E73" i="987"/>
  <c r="E72" i="987"/>
  <c r="E71" i="987"/>
  <c r="E69" i="987"/>
  <c r="E68" i="987"/>
  <c r="E64" i="987"/>
  <c r="E63" i="987"/>
  <c r="E62" i="987"/>
  <c r="E61" i="987"/>
  <c r="E59" i="987"/>
  <c r="E58" i="987"/>
  <c r="E57" i="987"/>
  <c r="E56" i="987"/>
  <c r="E54" i="987"/>
  <c r="E53" i="987"/>
  <c r="E52" i="987"/>
  <c r="E50" i="987"/>
  <c r="E48" i="987"/>
  <c r="E46" i="987"/>
  <c r="E45" i="987"/>
  <c r="E44" i="987"/>
  <c r="E42" i="987"/>
  <c r="E33" i="987"/>
  <c r="E26" i="987"/>
  <c r="E25" i="987"/>
  <c r="E24" i="987"/>
  <c r="E23" i="987"/>
  <c r="E21" i="987"/>
  <c r="E19" i="987"/>
  <c r="E18" i="987"/>
  <c r="E17" i="987"/>
  <c r="E16" i="987"/>
  <c r="E14" i="987"/>
  <c r="C60" i="979"/>
  <c r="C39" i="979"/>
  <c r="N53" i="1009"/>
  <c r="N51" i="1009"/>
  <c r="I51" i="1009"/>
  <c r="G51" i="1009"/>
  <c r="N50" i="1009"/>
  <c r="G50" i="1009"/>
  <c r="N49" i="1009"/>
  <c r="G49" i="1009"/>
  <c r="N48" i="1009"/>
  <c r="J48" i="1009"/>
  <c r="G48" i="1009"/>
  <c r="J47" i="1009"/>
  <c r="N47" i="1009"/>
  <c r="C47" i="1009"/>
  <c r="G47" i="1009"/>
  <c r="N46" i="1009"/>
  <c r="G46" i="1009"/>
  <c r="J45" i="1009"/>
  <c r="I45" i="1009"/>
  <c r="N45" i="1009" s="1"/>
  <c r="C45" i="1009"/>
  <c r="B45" i="1009"/>
  <c r="G45" i="1009"/>
  <c r="J44" i="1009"/>
  <c r="I44" i="1009"/>
  <c r="N44" i="1009" s="1"/>
  <c r="G44" i="1009"/>
  <c r="C44" i="1009"/>
  <c r="N43" i="1009"/>
  <c r="I43" i="1009"/>
  <c r="G43" i="1009"/>
  <c r="I42" i="1009"/>
  <c r="N42" i="1009"/>
  <c r="G42" i="1009"/>
  <c r="N41" i="1009"/>
  <c r="G41" i="1009"/>
  <c r="N40" i="1009"/>
  <c r="G40" i="1009"/>
  <c r="N39" i="1009"/>
  <c r="G39" i="1009"/>
  <c r="N38" i="1009"/>
  <c r="G38" i="1009"/>
  <c r="I37" i="1009"/>
  <c r="N37" i="1009"/>
  <c r="G37" i="1009"/>
  <c r="N36" i="1009"/>
  <c r="G36" i="1009"/>
  <c r="I35" i="1009"/>
  <c r="N35" i="1009"/>
  <c r="G35" i="1009"/>
  <c r="N34" i="1009"/>
  <c r="G34" i="1009"/>
  <c r="N33" i="1009"/>
  <c r="G33" i="1009"/>
  <c r="N32" i="1009"/>
  <c r="G32" i="1009"/>
  <c r="E32" i="1009"/>
  <c r="G31" i="1009"/>
  <c r="C31" i="1009"/>
  <c r="N30" i="1009"/>
  <c r="I30" i="1009"/>
  <c r="G30" i="1009"/>
  <c r="G28" i="1009" s="1"/>
  <c r="N29" i="1009"/>
  <c r="I29" i="1009"/>
  <c r="G29" i="1009"/>
  <c r="M28" i="1009"/>
  <c r="M52" i="1009" s="1"/>
  <c r="M54" i="1009" s="1"/>
  <c r="L28" i="1009"/>
  <c r="L52" i="1009"/>
  <c r="L54" i="1009" s="1"/>
  <c r="K28" i="1009"/>
  <c r="J28" i="1009"/>
  <c r="N28" i="1009"/>
  <c r="I28" i="1009"/>
  <c r="F28" i="1009"/>
  <c r="F52" i="1009"/>
  <c r="F54" i="1009" s="1"/>
  <c r="E28" i="1009"/>
  <c r="E52" i="1009" s="1"/>
  <c r="E54" i="1009" s="1"/>
  <c r="D28" i="1009"/>
  <c r="C28" i="1009"/>
  <c r="B28" i="1009"/>
  <c r="N27" i="1009"/>
  <c r="G27" i="1009"/>
  <c r="N26" i="1009"/>
  <c r="G26" i="1009"/>
  <c r="I25" i="1009"/>
  <c r="N25" i="1009"/>
  <c r="G25" i="1009"/>
  <c r="N24" i="1009"/>
  <c r="I24" i="1009"/>
  <c r="G24" i="1009"/>
  <c r="N23" i="1009"/>
  <c r="G23" i="1009"/>
  <c r="N22" i="1009"/>
  <c r="G22" i="1009"/>
  <c r="N21" i="1009"/>
  <c r="G21" i="1009"/>
  <c r="D21" i="1009"/>
  <c r="N20" i="1009"/>
  <c r="K20" i="1009"/>
  <c r="K52" i="1009"/>
  <c r="K54" i="1009" s="1"/>
  <c r="G20" i="1009"/>
  <c r="D20" i="1009"/>
  <c r="D52" i="1009"/>
  <c r="D54" i="1009" s="1"/>
  <c r="C20" i="1009"/>
  <c r="B20" i="1009"/>
  <c r="N19" i="1009"/>
  <c r="G19" i="1009"/>
  <c r="N18" i="1009"/>
  <c r="G18" i="1009"/>
  <c r="N17" i="1009"/>
  <c r="G17" i="1009"/>
  <c r="N16" i="1009"/>
  <c r="I16" i="1009"/>
  <c r="G16" i="1009"/>
  <c r="J15" i="1009"/>
  <c r="N15" i="1009"/>
  <c r="G15" i="1009"/>
  <c r="I52" i="1009"/>
  <c r="I54" i="1009" s="1"/>
  <c r="N13" i="1009"/>
  <c r="H13" i="1009"/>
  <c r="H52" i="1009" s="1"/>
  <c r="H54" i="1009" s="1"/>
  <c r="G13" i="1009"/>
  <c r="N12" i="1009"/>
  <c r="G12" i="1009"/>
  <c r="C12" i="1009"/>
  <c r="C52" i="1009"/>
  <c r="C54" i="1009" s="1"/>
  <c r="N11" i="1009"/>
  <c r="G11" i="1009"/>
  <c r="N10" i="1009"/>
  <c r="G10" i="1009"/>
  <c r="N9" i="1009"/>
  <c r="J52" i="1009"/>
  <c r="J54" i="1009" s="1"/>
  <c r="G9" i="1009"/>
  <c r="D24" i="1008"/>
  <c r="D22" i="1008"/>
  <c r="D19" i="1008"/>
  <c r="D8" i="1008"/>
  <c r="D6" i="1008"/>
  <c r="O25" i="1007"/>
  <c r="L24" i="1007"/>
  <c r="K24" i="1007"/>
  <c r="J24" i="1007"/>
  <c r="I24" i="1007"/>
  <c r="H24" i="1007"/>
  <c r="G24" i="1007"/>
  <c r="F24" i="1007"/>
  <c r="O24" i="1007" s="1"/>
  <c r="R24" i="1007" s="1"/>
  <c r="O23" i="1007"/>
  <c r="R23" i="1007" s="1"/>
  <c r="N22" i="1007"/>
  <c r="M22" i="1007"/>
  <c r="L22" i="1007"/>
  <c r="J22" i="1007"/>
  <c r="I22" i="1007"/>
  <c r="H22" i="1007"/>
  <c r="G22" i="1007"/>
  <c r="O22" i="1007" s="1"/>
  <c r="M21" i="1007"/>
  <c r="L21" i="1007"/>
  <c r="K21" i="1007"/>
  <c r="J21" i="1007"/>
  <c r="I21" i="1007"/>
  <c r="H21" i="1007"/>
  <c r="G21" i="1007"/>
  <c r="F21" i="1007"/>
  <c r="O21" i="1007" s="1"/>
  <c r="R21" i="1007" s="1"/>
  <c r="L20" i="1007"/>
  <c r="K20" i="1007"/>
  <c r="I20" i="1007"/>
  <c r="G20" i="1007"/>
  <c r="E20" i="1007"/>
  <c r="O20" i="1007" s="1"/>
  <c r="R20" i="1007" s="1"/>
  <c r="L19" i="1007"/>
  <c r="O19" i="1007" s="1"/>
  <c r="R19" i="1007" s="1"/>
  <c r="L18" i="1007"/>
  <c r="K18" i="1007"/>
  <c r="J18" i="1007"/>
  <c r="I18" i="1007"/>
  <c r="H18" i="1007"/>
  <c r="G18" i="1007"/>
  <c r="F18" i="1007"/>
  <c r="E18" i="1007"/>
  <c r="O18" i="1007"/>
  <c r="R18" i="1007" s="1"/>
  <c r="L17" i="1007"/>
  <c r="K17" i="1007"/>
  <c r="J17" i="1007"/>
  <c r="I17" i="1007"/>
  <c r="H17" i="1007"/>
  <c r="G17" i="1007"/>
  <c r="F17" i="1007"/>
  <c r="E17" i="1007"/>
  <c r="D17" i="1007"/>
  <c r="D26" i="1007"/>
  <c r="C17" i="1007"/>
  <c r="O17" i="1007"/>
  <c r="R17" i="1007" s="1"/>
  <c r="N26" i="1007"/>
  <c r="M26" i="1007"/>
  <c r="L16" i="1007"/>
  <c r="L26" i="1007"/>
  <c r="K16" i="1007"/>
  <c r="K26" i="1007"/>
  <c r="J16" i="1007"/>
  <c r="J26" i="1007"/>
  <c r="I16" i="1007"/>
  <c r="I26" i="1007"/>
  <c r="H16" i="1007"/>
  <c r="H26" i="1007"/>
  <c r="G16" i="1007"/>
  <c r="G26" i="1007"/>
  <c r="F16" i="1007"/>
  <c r="F26" i="1007"/>
  <c r="E16" i="1007"/>
  <c r="E26" i="1007"/>
  <c r="M13" i="1007"/>
  <c r="O13" i="1007"/>
  <c r="O12" i="1007"/>
  <c r="R12" i="1007" s="1"/>
  <c r="L11" i="1007"/>
  <c r="K11" i="1007"/>
  <c r="O11" i="1007"/>
  <c r="R11" i="1007" s="1"/>
  <c r="O10" i="1007"/>
  <c r="L9" i="1007"/>
  <c r="K9" i="1007"/>
  <c r="J9" i="1007"/>
  <c r="I9" i="1007"/>
  <c r="O9" i="1007"/>
  <c r="R9" i="1007" s="1"/>
  <c r="H9" i="1007"/>
  <c r="N8" i="1007"/>
  <c r="M8" i="1007"/>
  <c r="K8" i="1007"/>
  <c r="H8" i="1007"/>
  <c r="O8" i="1007"/>
  <c r="K7" i="1007"/>
  <c r="H7" i="1007"/>
  <c r="G7" i="1007"/>
  <c r="O7" i="1007"/>
  <c r="F6" i="1007"/>
  <c r="E6" i="1007"/>
  <c r="C6" i="1007"/>
  <c r="O6" i="1007"/>
  <c r="N14" i="1007"/>
  <c r="N27" i="1007" s="1"/>
  <c r="M5" i="1007"/>
  <c r="M14" i="1007" s="1"/>
  <c r="M27" i="1007" s="1"/>
  <c r="L5" i="1007"/>
  <c r="L14" i="1007"/>
  <c r="L27" i="1007" s="1"/>
  <c r="K5" i="1007"/>
  <c r="K14" i="1007" s="1"/>
  <c r="K27" i="1007" s="1"/>
  <c r="J5" i="1007"/>
  <c r="J14" i="1007"/>
  <c r="J27" i="1007" s="1"/>
  <c r="I5" i="1007"/>
  <c r="I14" i="1007" s="1"/>
  <c r="I27" i="1007" s="1"/>
  <c r="H5" i="1007"/>
  <c r="H14" i="1007"/>
  <c r="H27" i="1007" s="1"/>
  <c r="G5" i="1007"/>
  <c r="G14" i="1007" s="1"/>
  <c r="G27" i="1007" s="1"/>
  <c r="F5" i="1007"/>
  <c r="F14" i="1007"/>
  <c r="F27" i="1007" s="1"/>
  <c r="E5" i="1007"/>
  <c r="E14" i="1007" s="1"/>
  <c r="E27" i="1007" s="1"/>
  <c r="D5" i="1007"/>
  <c r="D14" i="1007"/>
  <c r="D27" i="1007" s="1"/>
  <c r="C5" i="1007"/>
  <c r="C14" i="1007" s="1"/>
  <c r="C145" i="1006"/>
  <c r="C140" i="1006"/>
  <c r="C133" i="1006"/>
  <c r="C129" i="1006"/>
  <c r="C153" i="1006"/>
  <c r="C114" i="1006"/>
  <c r="C93" i="1006"/>
  <c r="C128" i="1006"/>
  <c r="C154" i="1006" s="1"/>
  <c r="D91" i="1006"/>
  <c r="C91" i="1006"/>
  <c r="C79" i="1006"/>
  <c r="C75" i="1006"/>
  <c r="C72" i="1006"/>
  <c r="C67" i="1006"/>
  <c r="C63" i="1006"/>
  <c r="C86" i="1006"/>
  <c r="C57" i="1006"/>
  <c r="C52" i="1006"/>
  <c r="C46" i="1006"/>
  <c r="C34" i="1006"/>
  <c r="C27" i="1006"/>
  <c r="C26" i="1006" s="1"/>
  <c r="C62" i="1006" s="1"/>
  <c r="C87" i="1006" s="1"/>
  <c r="C19" i="1006"/>
  <c r="C12" i="1006"/>
  <c r="C5" i="1006"/>
  <c r="D90" i="1006"/>
  <c r="D30" i="1005"/>
  <c r="D28" i="1005"/>
  <c r="D27" i="1005"/>
  <c r="D26" i="1005"/>
  <c r="D23" i="1005"/>
  <c r="D19" i="1005"/>
  <c r="D18" i="1005"/>
  <c r="D33" i="1005" s="1"/>
  <c r="D35" i="1005" s="1"/>
  <c r="F61" i="990"/>
  <c r="F60" i="990"/>
  <c r="F59" i="990"/>
  <c r="F57" i="990"/>
  <c r="F56" i="990"/>
  <c r="F55" i="990"/>
  <c r="F54" i="990"/>
  <c r="C53" i="990"/>
  <c r="C52" i="990" s="1"/>
  <c r="F51" i="990"/>
  <c r="C50" i="990"/>
  <c r="F50" i="990"/>
  <c r="C48" i="990"/>
  <c r="F48" i="990"/>
  <c r="C47" i="990"/>
  <c r="F47" i="990" s="1"/>
  <c r="F45" i="990"/>
  <c r="F44" i="990"/>
  <c r="F43" i="990"/>
  <c r="F40" i="990"/>
  <c r="F39" i="990"/>
  <c r="F36" i="990"/>
  <c r="F35" i="990"/>
  <c r="F34" i="990"/>
  <c r="F33" i="990"/>
  <c r="F32" i="990"/>
  <c r="C31" i="990"/>
  <c r="F31" i="990"/>
  <c r="F30" i="990"/>
  <c r="F29" i="990"/>
  <c r="F28" i="990"/>
  <c r="F27" i="990"/>
  <c r="C26" i="990"/>
  <c r="F25" i="990"/>
  <c r="F24" i="990"/>
  <c r="F23" i="990"/>
  <c r="F22" i="990"/>
  <c r="F21" i="990"/>
  <c r="C20" i="990"/>
  <c r="F20" i="990"/>
  <c r="C19" i="990"/>
  <c r="F18" i="990"/>
  <c r="F17" i="990"/>
  <c r="F16" i="990"/>
  <c r="F15" i="990"/>
  <c r="F14" i="990"/>
  <c r="F13" i="990"/>
  <c r="F12" i="990"/>
  <c r="C11" i="990"/>
  <c r="F10" i="990"/>
  <c r="F9" i="990"/>
  <c r="C8" i="990"/>
  <c r="C146" i="989"/>
  <c r="C140" i="989"/>
  <c r="C133" i="989"/>
  <c r="C129" i="989"/>
  <c r="C154" i="989"/>
  <c r="C119" i="989"/>
  <c r="C117" i="989"/>
  <c r="C115" i="989"/>
  <c r="C114" i="989"/>
  <c r="C99" i="989"/>
  <c r="C98" i="989" s="1"/>
  <c r="F98" i="987" s="1"/>
  <c r="C82" i="989"/>
  <c r="C78" i="989"/>
  <c r="C75" i="989"/>
  <c r="C70" i="989"/>
  <c r="C67" i="989"/>
  <c r="E67" i="987" s="1"/>
  <c r="C60" i="989"/>
  <c r="C55" i="989"/>
  <c r="C49" i="989"/>
  <c r="C39" i="989"/>
  <c r="C37" i="989"/>
  <c r="C30" i="989"/>
  <c r="C29" i="989" s="1"/>
  <c r="C22" i="989"/>
  <c r="C15" i="989"/>
  <c r="F15" i="987" s="1"/>
  <c r="C11" i="989"/>
  <c r="C8" i="989" s="1"/>
  <c r="C146" i="988"/>
  <c r="E146" i="987" s="1"/>
  <c r="C140" i="988"/>
  <c r="E140" i="987" s="1"/>
  <c r="C133" i="988"/>
  <c r="E133" i="987" s="1"/>
  <c r="C129" i="988"/>
  <c r="E129" i="987" s="1"/>
  <c r="C154" i="988"/>
  <c r="E154" i="987" s="1"/>
  <c r="E127" i="987"/>
  <c r="C119" i="988"/>
  <c r="C118" i="988"/>
  <c r="E118" i="987" s="1"/>
  <c r="C117" i="988"/>
  <c r="E117" i="987" s="1"/>
  <c r="E116" i="987"/>
  <c r="E115" i="987"/>
  <c r="E113" i="987"/>
  <c r="E112" i="987"/>
  <c r="C111" i="988"/>
  <c r="C110" i="988"/>
  <c r="E110" i="987" s="1"/>
  <c r="C105" i="988"/>
  <c r="E105" i="987" s="1"/>
  <c r="C99" i="988"/>
  <c r="E99" i="987" s="1"/>
  <c r="C98" i="988"/>
  <c r="E97" i="987"/>
  <c r="E96" i="987"/>
  <c r="C95" i="988"/>
  <c r="E95" i="987" s="1"/>
  <c r="C94" i="988"/>
  <c r="E94" i="987" s="1"/>
  <c r="C82" i="988"/>
  <c r="E82" i="987" s="1"/>
  <c r="C78" i="988"/>
  <c r="E78" i="987" s="1"/>
  <c r="C75" i="988"/>
  <c r="E75" i="987" s="1"/>
  <c r="C70" i="988"/>
  <c r="E70" i="987" s="1"/>
  <c r="C66" i="988"/>
  <c r="C89" i="988" s="1"/>
  <c r="C60" i="988"/>
  <c r="E60" i="987" s="1"/>
  <c r="C55" i="988"/>
  <c r="C51" i="988"/>
  <c r="E51" i="987" s="1"/>
  <c r="C47" i="988"/>
  <c r="E47" i="987" s="1"/>
  <c r="E43" i="987"/>
  <c r="C41" i="988"/>
  <c r="E41" i="987" s="1"/>
  <c r="E40" i="987"/>
  <c r="C39" i="988"/>
  <c r="E39" i="987" s="1"/>
  <c r="C38" i="988"/>
  <c r="E38" i="987" s="1"/>
  <c r="C37" i="988"/>
  <c r="C36" i="988"/>
  <c r="E36" i="987" s="1"/>
  <c r="C35" i="988"/>
  <c r="E35" i="987" s="1"/>
  <c r="C34" i="988"/>
  <c r="E34" i="987" s="1"/>
  <c r="C32" i="988"/>
  <c r="E32" i="987" s="1"/>
  <c r="C31" i="988"/>
  <c r="E31" i="987" s="1"/>
  <c r="C30" i="988"/>
  <c r="E30" i="987" s="1"/>
  <c r="C28" i="988"/>
  <c r="E28" i="987" s="1"/>
  <c r="C27" i="988"/>
  <c r="E27" i="987" s="1"/>
  <c r="C22" i="988"/>
  <c r="E22" i="987" s="1"/>
  <c r="C20" i="988"/>
  <c r="E20" i="987" s="1"/>
  <c r="C15" i="988"/>
  <c r="E13" i="987"/>
  <c r="C12" i="988"/>
  <c r="E12" i="987" s="1"/>
  <c r="E11" i="987"/>
  <c r="C10" i="988"/>
  <c r="E10" i="987" s="1"/>
  <c r="C9" i="988"/>
  <c r="E9" i="987" s="1"/>
  <c r="C8" i="988"/>
  <c r="F8" i="987" s="1"/>
  <c r="F158" i="987"/>
  <c r="F157" i="987"/>
  <c r="C146" i="987"/>
  <c r="C142" i="987"/>
  <c r="C133" i="987"/>
  <c r="C129" i="987"/>
  <c r="C118" i="987"/>
  <c r="C117" i="987"/>
  <c r="C105" i="987"/>
  <c r="C99" i="987"/>
  <c r="C82" i="987"/>
  <c r="C78" i="987"/>
  <c r="C75" i="987"/>
  <c r="C70" i="987"/>
  <c r="C67" i="987"/>
  <c r="C66" i="987"/>
  <c r="C89" i="987"/>
  <c r="C60" i="987"/>
  <c r="C58" i="987"/>
  <c r="C55" i="987"/>
  <c r="C51" i="987"/>
  <c r="C49" i="987"/>
  <c r="C47" i="987"/>
  <c r="C41" i="987"/>
  <c r="C39" i="987"/>
  <c r="C36" i="987"/>
  <c r="C35" i="987"/>
  <c r="C34" i="987"/>
  <c r="C32" i="987"/>
  <c r="C31" i="987"/>
  <c r="C30" i="987"/>
  <c r="C28" i="987"/>
  <c r="C27" i="987"/>
  <c r="C22" i="987"/>
  <c r="C15" i="987"/>
  <c r="G15" i="987" s="1"/>
  <c r="C12" i="987"/>
  <c r="C10" i="987"/>
  <c r="C9" i="987"/>
  <c r="C8" i="987"/>
  <c r="D51" i="986"/>
  <c r="D44" i="986"/>
  <c r="B44" i="986"/>
  <c r="E43" i="986"/>
  <c r="E42" i="986"/>
  <c r="E41" i="986"/>
  <c r="E40" i="986"/>
  <c r="E39" i="986"/>
  <c r="E38" i="986"/>
  <c r="E44" i="986" s="1"/>
  <c r="E37" i="986"/>
  <c r="D34" i="986"/>
  <c r="C34" i="986"/>
  <c r="B34" i="986"/>
  <c r="E33" i="986"/>
  <c r="E32" i="986"/>
  <c r="E31" i="986"/>
  <c r="E30" i="986"/>
  <c r="E29" i="986"/>
  <c r="E28" i="986"/>
  <c r="E27" i="986"/>
  <c r="E34" i="986"/>
  <c r="D22" i="986"/>
  <c r="C22" i="986"/>
  <c r="B22" i="986"/>
  <c r="E21" i="986"/>
  <c r="E20" i="986"/>
  <c r="E19" i="986"/>
  <c r="E18" i="986"/>
  <c r="E17" i="986"/>
  <c r="E16" i="986"/>
  <c r="E15" i="986"/>
  <c r="E22" i="986" s="1"/>
  <c r="D12" i="986"/>
  <c r="C12" i="986"/>
  <c r="B12" i="986"/>
  <c r="E11" i="986"/>
  <c r="E10" i="986"/>
  <c r="E9" i="986"/>
  <c r="E8" i="986"/>
  <c r="E7" i="986"/>
  <c r="E6" i="986"/>
  <c r="E5" i="986"/>
  <c r="E12" i="986"/>
  <c r="D81" i="984"/>
  <c r="E63" i="984"/>
  <c r="B63" i="984"/>
  <c r="F63" i="984" s="1"/>
  <c r="E46" i="984"/>
  <c r="B46" i="984"/>
  <c r="E23" i="984"/>
  <c r="B23" i="984"/>
  <c r="F23" i="984" s="1"/>
  <c r="F22" i="984"/>
  <c r="F21" i="984"/>
  <c r="F20" i="984"/>
  <c r="F19" i="984"/>
  <c r="F18" i="984"/>
  <c r="F17" i="984"/>
  <c r="F16" i="984"/>
  <c r="F15" i="984"/>
  <c r="F14" i="984"/>
  <c r="F13" i="984"/>
  <c r="F12" i="984"/>
  <c r="F11" i="984"/>
  <c r="E10" i="984"/>
  <c r="B10" i="984"/>
  <c r="F10" i="984" s="1"/>
  <c r="F9" i="984"/>
  <c r="E8" i="984"/>
  <c r="F8" i="984" s="1"/>
  <c r="F7" i="984"/>
  <c r="F6" i="984"/>
  <c r="E5" i="984"/>
  <c r="B5" i="984"/>
  <c r="E30" i="983"/>
  <c r="C24" i="983"/>
  <c r="C18" i="983"/>
  <c r="C30" i="983" s="1"/>
  <c r="E17" i="983"/>
  <c r="E31" i="983" s="1"/>
  <c r="C17" i="983"/>
  <c r="E29" i="982"/>
  <c r="C24" i="982"/>
  <c r="C19" i="982"/>
  <c r="C29" i="982"/>
  <c r="E18" i="982"/>
  <c r="E30" i="982" s="1"/>
  <c r="C18" i="982"/>
  <c r="E4" i="982"/>
  <c r="C152" i="981"/>
  <c r="C151" i="981"/>
  <c r="C150" i="981"/>
  <c r="C149" i="981"/>
  <c r="C148" i="981"/>
  <c r="C147" i="981"/>
  <c r="C146" i="981"/>
  <c r="F145" i="981"/>
  <c r="E145" i="981"/>
  <c r="D145" i="981"/>
  <c r="C145" i="981" s="1"/>
  <c r="C144" i="981"/>
  <c r="C143" i="981"/>
  <c r="C142" i="981"/>
  <c r="C141" i="981"/>
  <c r="F140" i="981"/>
  <c r="E140" i="981"/>
  <c r="D140" i="981"/>
  <c r="C140" i="981" s="1"/>
  <c r="C139" i="981"/>
  <c r="C138" i="981"/>
  <c r="C137" i="981"/>
  <c r="C136" i="981"/>
  <c r="C135" i="981"/>
  <c r="C134" i="981"/>
  <c r="F133" i="981"/>
  <c r="E133" i="981"/>
  <c r="D133" i="981"/>
  <c r="C133" i="981" s="1"/>
  <c r="C132" i="981"/>
  <c r="C131" i="981"/>
  <c r="C130" i="981"/>
  <c r="F129" i="981"/>
  <c r="F153" i="981"/>
  <c r="E129" i="981"/>
  <c r="E153" i="981"/>
  <c r="D129" i="981"/>
  <c r="D153" i="981"/>
  <c r="C153" i="981" s="1"/>
  <c r="C127" i="981"/>
  <c r="C126" i="981"/>
  <c r="C125" i="981"/>
  <c r="C124" i="981"/>
  <c r="C123" i="981"/>
  <c r="C122" i="981"/>
  <c r="C121" i="981"/>
  <c r="C120" i="981"/>
  <c r="D119" i="981"/>
  <c r="C119" i="981" s="1"/>
  <c r="C118" i="981"/>
  <c r="D117" i="981"/>
  <c r="C117" i="981"/>
  <c r="C116" i="981"/>
  <c r="F115" i="981"/>
  <c r="F114" i="981" s="1"/>
  <c r="D115" i="981"/>
  <c r="C115" i="981" s="1"/>
  <c r="E114" i="981"/>
  <c r="C113" i="981"/>
  <c r="C112" i="981"/>
  <c r="C111" i="981"/>
  <c r="C110" i="981"/>
  <c r="H110" i="979" s="1"/>
  <c r="C109" i="981"/>
  <c r="C108" i="981"/>
  <c r="C107" i="981"/>
  <c r="C106" i="981"/>
  <c r="C105" i="981"/>
  <c r="C104" i="981"/>
  <c r="C103" i="981"/>
  <c r="C102" i="981"/>
  <c r="C101" i="981"/>
  <c r="C100" i="981"/>
  <c r="D99" i="981"/>
  <c r="C99" i="981" s="1"/>
  <c r="E98" i="981"/>
  <c r="C97" i="981"/>
  <c r="F96" i="981"/>
  <c r="C96" i="981"/>
  <c r="F95" i="981"/>
  <c r="C95" i="981"/>
  <c r="F94" i="981"/>
  <c r="F93" i="981" s="1"/>
  <c r="F128" i="981" s="1"/>
  <c r="F154" i="981" s="1"/>
  <c r="C94" i="981"/>
  <c r="E93" i="981"/>
  <c r="E128" i="981" s="1"/>
  <c r="E154" i="981" s="1"/>
  <c r="C91" i="981"/>
  <c r="C85" i="981"/>
  <c r="C84" i="981"/>
  <c r="C83" i="981"/>
  <c r="C82" i="981"/>
  <c r="C81" i="981"/>
  <c r="C80" i="981"/>
  <c r="F79" i="981"/>
  <c r="E79" i="981"/>
  <c r="D79" i="981"/>
  <c r="C79" i="981" s="1"/>
  <c r="C78" i="981"/>
  <c r="C77" i="981"/>
  <c r="C76" i="981"/>
  <c r="F75" i="981"/>
  <c r="E75" i="981"/>
  <c r="D75" i="981"/>
  <c r="C75" i="981"/>
  <c r="C74" i="981"/>
  <c r="C73" i="981"/>
  <c r="F72" i="981"/>
  <c r="E72" i="981"/>
  <c r="D72" i="981"/>
  <c r="C72" i="981"/>
  <c r="C71" i="981"/>
  <c r="C70" i="981"/>
  <c r="C69" i="981"/>
  <c r="C68" i="981"/>
  <c r="F67" i="981"/>
  <c r="E67" i="981"/>
  <c r="D67" i="981"/>
  <c r="C67" i="981"/>
  <c r="C66" i="981"/>
  <c r="C65" i="981"/>
  <c r="D64" i="981"/>
  <c r="C64" i="981"/>
  <c r="F63" i="981"/>
  <c r="F86" i="981"/>
  <c r="E63" i="981"/>
  <c r="E86" i="981"/>
  <c r="D63" i="981"/>
  <c r="D86" i="981"/>
  <c r="C63" i="981"/>
  <c r="C61" i="981"/>
  <c r="C60" i="981"/>
  <c r="C59" i="981"/>
  <c r="C58" i="981"/>
  <c r="F57" i="981"/>
  <c r="E57" i="981"/>
  <c r="D57" i="981"/>
  <c r="C57" i="981" s="1"/>
  <c r="C56" i="981"/>
  <c r="C55" i="981"/>
  <c r="C54" i="981"/>
  <c r="C53" i="981"/>
  <c r="F52" i="981"/>
  <c r="E52" i="981"/>
  <c r="D52" i="981"/>
  <c r="C52" i="981" s="1"/>
  <c r="C51" i="981"/>
  <c r="C50" i="981"/>
  <c r="C49" i="981"/>
  <c r="C48" i="981"/>
  <c r="C47" i="981"/>
  <c r="F46" i="981"/>
  <c r="E46" i="981"/>
  <c r="D46" i="981"/>
  <c r="C46" i="981"/>
  <c r="C45" i="981"/>
  <c r="C44" i="981"/>
  <c r="C43" i="981"/>
  <c r="C42" i="981"/>
  <c r="C41" i="981"/>
  <c r="C40" i="981"/>
  <c r="C39" i="981"/>
  <c r="C38" i="981"/>
  <c r="C37" i="981"/>
  <c r="D36" i="981"/>
  <c r="C36" i="981"/>
  <c r="C35" i="981"/>
  <c r="F34" i="981"/>
  <c r="E34" i="981"/>
  <c r="C33" i="981"/>
  <c r="C32" i="981"/>
  <c r="C31" i="981"/>
  <c r="C30" i="981"/>
  <c r="C29" i="981"/>
  <c r="C28" i="981"/>
  <c r="F27" i="981"/>
  <c r="F26" i="981"/>
  <c r="D27" i="981"/>
  <c r="C27" i="981" s="1"/>
  <c r="E26" i="981"/>
  <c r="D25" i="981"/>
  <c r="C25" i="981" s="1"/>
  <c r="D24" i="981"/>
  <c r="C24" i="981" s="1"/>
  <c r="C23" i="981"/>
  <c r="C22" i="981"/>
  <c r="C21" i="981"/>
  <c r="C20" i="981"/>
  <c r="F19" i="981"/>
  <c r="E19" i="981"/>
  <c r="D19" i="981"/>
  <c r="C19" i="981" s="1"/>
  <c r="D18" i="981"/>
  <c r="C18" i="981" s="1"/>
  <c r="C17" i="981"/>
  <c r="C16" i="981"/>
  <c r="C15" i="981"/>
  <c r="C14" i="981"/>
  <c r="C13" i="981"/>
  <c r="F12" i="981"/>
  <c r="E12" i="981"/>
  <c r="D12" i="981"/>
  <c r="C12" i="981" s="1"/>
  <c r="C11" i="981"/>
  <c r="C10" i="981"/>
  <c r="C9" i="981"/>
  <c r="D8" i="981"/>
  <c r="C8" i="981" s="1"/>
  <c r="C7" i="981"/>
  <c r="C6" i="981"/>
  <c r="F5" i="981"/>
  <c r="F62" i="981" s="1"/>
  <c r="F87" i="981" s="1"/>
  <c r="E5" i="981"/>
  <c r="E62" i="981"/>
  <c r="C152" i="980"/>
  <c r="C151" i="980"/>
  <c r="C150" i="980"/>
  <c r="C149" i="980"/>
  <c r="C148" i="980"/>
  <c r="C147" i="980"/>
  <c r="C146" i="980"/>
  <c r="F145" i="980"/>
  <c r="E145" i="980"/>
  <c r="D145" i="980"/>
  <c r="C145" i="980" s="1"/>
  <c r="C144" i="980"/>
  <c r="C143" i="980"/>
  <c r="C142" i="980"/>
  <c r="C141" i="980"/>
  <c r="F140" i="980"/>
  <c r="E140" i="980"/>
  <c r="D140" i="980"/>
  <c r="C140" i="980" s="1"/>
  <c r="C139" i="980"/>
  <c r="C138" i="980"/>
  <c r="C137" i="980"/>
  <c r="C136" i="980"/>
  <c r="C135" i="980"/>
  <c r="C134" i="980"/>
  <c r="F133" i="980"/>
  <c r="E133" i="980"/>
  <c r="D133" i="980"/>
  <c r="C133" i="980" s="1"/>
  <c r="C132" i="980"/>
  <c r="C131" i="980"/>
  <c r="C130" i="980"/>
  <c r="F129" i="980"/>
  <c r="F153" i="980"/>
  <c r="E129" i="980"/>
  <c r="E153" i="980"/>
  <c r="D129" i="980"/>
  <c r="D153" i="980"/>
  <c r="C153" i="980" s="1"/>
  <c r="C127" i="980"/>
  <c r="H127" i="979" s="1"/>
  <c r="C126" i="980"/>
  <c r="C125" i="980"/>
  <c r="C124" i="980"/>
  <c r="C123" i="980"/>
  <c r="C122" i="980"/>
  <c r="C121" i="980"/>
  <c r="C120" i="980"/>
  <c r="D118" i="980"/>
  <c r="C118" i="980"/>
  <c r="F117" i="980"/>
  <c r="D117" i="980"/>
  <c r="C117" i="980" s="1"/>
  <c r="C116" i="980"/>
  <c r="F115" i="980"/>
  <c r="F114" i="980" s="1"/>
  <c r="C115" i="980"/>
  <c r="H115" i="979" s="1"/>
  <c r="E114" i="980"/>
  <c r="C113" i="980"/>
  <c r="H113" i="979" s="1"/>
  <c r="C112" i="980"/>
  <c r="H112" i="979" s="1"/>
  <c r="I112" i="979" s="1"/>
  <c r="F111" i="980"/>
  <c r="D111" i="980"/>
  <c r="C111" i="980" s="1"/>
  <c r="H111" i="979" s="1"/>
  <c r="D110" i="980"/>
  <c r="C110" i="980" s="1"/>
  <c r="I110" i="979" s="1"/>
  <c r="C109" i="980"/>
  <c r="C108" i="980"/>
  <c r="C107" i="980"/>
  <c r="C106" i="980"/>
  <c r="D105" i="980"/>
  <c r="C105" i="980" s="1"/>
  <c r="C104" i="980"/>
  <c r="C103" i="980"/>
  <c r="C102" i="980"/>
  <c r="C101" i="980"/>
  <c r="C100" i="980"/>
  <c r="D99" i="980"/>
  <c r="C99" i="980"/>
  <c r="E98" i="980"/>
  <c r="D98" i="980"/>
  <c r="C98" i="980" s="1"/>
  <c r="C97" i="980"/>
  <c r="F96" i="980"/>
  <c r="E96" i="980"/>
  <c r="C96" i="980"/>
  <c r="F95" i="980"/>
  <c r="C95" i="980"/>
  <c r="H95" i="979" s="1"/>
  <c r="F94" i="980"/>
  <c r="C94" i="980"/>
  <c r="F93" i="980"/>
  <c r="F128" i="980" s="1"/>
  <c r="F154" i="980" s="1"/>
  <c r="E93" i="980"/>
  <c r="E128" i="980"/>
  <c r="E154" i="980" s="1"/>
  <c r="C91" i="980"/>
  <c r="C85" i="980"/>
  <c r="C84" i="980"/>
  <c r="C83" i="980"/>
  <c r="C82" i="980"/>
  <c r="C81" i="980"/>
  <c r="C80" i="980"/>
  <c r="F79" i="980"/>
  <c r="E79" i="980"/>
  <c r="D79" i="980"/>
  <c r="C79" i="980"/>
  <c r="C78" i="980"/>
  <c r="C77" i="980"/>
  <c r="C76" i="980"/>
  <c r="F75" i="980"/>
  <c r="E75" i="980"/>
  <c r="D75" i="980"/>
  <c r="C75" i="980" s="1"/>
  <c r="C74" i="980"/>
  <c r="C73" i="980"/>
  <c r="F72" i="980"/>
  <c r="E72" i="980"/>
  <c r="D72" i="980"/>
  <c r="C72" i="980" s="1"/>
  <c r="C71" i="980"/>
  <c r="C70" i="980"/>
  <c r="C69" i="980"/>
  <c r="C68" i="980"/>
  <c r="F67" i="980"/>
  <c r="E67" i="980"/>
  <c r="D67" i="980"/>
  <c r="C67" i="980" s="1"/>
  <c r="C66" i="980"/>
  <c r="C65" i="980"/>
  <c r="C64" i="980"/>
  <c r="F63" i="980"/>
  <c r="F86" i="980"/>
  <c r="E63" i="980"/>
  <c r="E86" i="980"/>
  <c r="D63" i="980"/>
  <c r="D86" i="980"/>
  <c r="C63" i="980"/>
  <c r="C61" i="980"/>
  <c r="C60" i="980"/>
  <c r="C59" i="980"/>
  <c r="C58" i="980"/>
  <c r="F57" i="980"/>
  <c r="E57" i="980"/>
  <c r="D57" i="980"/>
  <c r="C57" i="980" s="1"/>
  <c r="C56" i="980"/>
  <c r="D55" i="980"/>
  <c r="C55" i="980"/>
  <c r="C54" i="980"/>
  <c r="C53" i="980"/>
  <c r="F52" i="980"/>
  <c r="E52" i="980"/>
  <c r="D52" i="980"/>
  <c r="C52" i="980" s="1"/>
  <c r="C51" i="980"/>
  <c r="C50" i="980"/>
  <c r="C49" i="980"/>
  <c r="D48" i="980"/>
  <c r="C48" i="980" s="1"/>
  <c r="C47" i="980"/>
  <c r="F46" i="980"/>
  <c r="E46" i="980"/>
  <c r="C45" i="980"/>
  <c r="D44" i="980"/>
  <c r="C44" i="980"/>
  <c r="C43" i="980"/>
  <c r="C42" i="980"/>
  <c r="F41" i="980"/>
  <c r="D41" i="980"/>
  <c r="C41" i="980" s="1"/>
  <c r="C40" i="980"/>
  <c r="I40" i="979" s="1"/>
  <c r="C39" i="980"/>
  <c r="D38" i="980"/>
  <c r="C38" i="980"/>
  <c r="C37" i="980"/>
  <c r="C36" i="980"/>
  <c r="D35" i="980"/>
  <c r="C35" i="980"/>
  <c r="F34" i="980"/>
  <c r="E34" i="980"/>
  <c r="D33" i="980"/>
  <c r="C33" i="980"/>
  <c r="D32" i="980"/>
  <c r="C32" i="980"/>
  <c r="D31" i="980"/>
  <c r="C31" i="980"/>
  <c r="C30" i="980"/>
  <c r="D29" i="980"/>
  <c r="C29" i="980" s="1"/>
  <c r="D28" i="980"/>
  <c r="C28" i="980" s="1"/>
  <c r="D27" i="980"/>
  <c r="C27" i="980" s="1"/>
  <c r="F26" i="980"/>
  <c r="E26" i="980"/>
  <c r="D25" i="980"/>
  <c r="C25" i="980" s="1"/>
  <c r="D24" i="980"/>
  <c r="C24" i="980" s="1"/>
  <c r="C23" i="980"/>
  <c r="C22" i="980"/>
  <c r="C21" i="980"/>
  <c r="C20" i="980"/>
  <c r="F19" i="980"/>
  <c r="E19" i="980"/>
  <c r="D19" i="980"/>
  <c r="C19" i="980" s="1"/>
  <c r="C18" i="980"/>
  <c r="D17" i="980"/>
  <c r="C17" i="980"/>
  <c r="C16" i="980"/>
  <c r="C15" i="980"/>
  <c r="C14" i="980"/>
  <c r="C13" i="980"/>
  <c r="F12" i="980"/>
  <c r="E12" i="980"/>
  <c r="D12" i="980"/>
  <c r="C12" i="980"/>
  <c r="C11" i="980"/>
  <c r="C10" i="980"/>
  <c r="D9" i="980"/>
  <c r="C9" i="980" s="1"/>
  <c r="C8" i="980"/>
  <c r="I8" i="979" s="1"/>
  <c r="D7" i="980"/>
  <c r="C7" i="980" s="1"/>
  <c r="D6" i="980"/>
  <c r="C6" i="980" s="1"/>
  <c r="F5" i="980"/>
  <c r="F62" i="980" s="1"/>
  <c r="F87" i="980" s="1"/>
  <c r="E5" i="980"/>
  <c r="E62" i="980"/>
  <c r="C152" i="979"/>
  <c r="I152" i="979"/>
  <c r="C151" i="979"/>
  <c r="I151" i="979"/>
  <c r="C150" i="979"/>
  <c r="I150" i="979"/>
  <c r="C149" i="979"/>
  <c r="I149" i="979"/>
  <c r="C148" i="979"/>
  <c r="I148" i="979"/>
  <c r="C147" i="979"/>
  <c r="I147" i="979"/>
  <c r="C146" i="979"/>
  <c r="I146" i="979"/>
  <c r="F145" i="979"/>
  <c r="E145" i="979"/>
  <c r="D145" i="979"/>
  <c r="C145" i="979"/>
  <c r="I145" i="979" s="1"/>
  <c r="C144" i="979"/>
  <c r="I144" i="979" s="1"/>
  <c r="C143" i="979"/>
  <c r="I143" i="979" s="1"/>
  <c r="D142" i="979"/>
  <c r="C142" i="979"/>
  <c r="I142" i="979" s="1"/>
  <c r="C141" i="979"/>
  <c r="I141" i="979"/>
  <c r="F140" i="979"/>
  <c r="E140" i="979"/>
  <c r="D140" i="979"/>
  <c r="C139" i="979"/>
  <c r="I139" i="979" s="1"/>
  <c r="C138" i="979"/>
  <c r="I138" i="979" s="1"/>
  <c r="C137" i="979"/>
  <c r="I137" i="979" s="1"/>
  <c r="C136" i="979"/>
  <c r="I136" i="979" s="1"/>
  <c r="C135" i="979"/>
  <c r="I135" i="979" s="1"/>
  <c r="C134" i="979"/>
  <c r="I134" i="979" s="1"/>
  <c r="F133" i="979"/>
  <c r="E133" i="979"/>
  <c r="D133" i="979"/>
  <c r="C132" i="979"/>
  <c r="I132" i="979"/>
  <c r="C131" i="979"/>
  <c r="I131" i="979"/>
  <c r="C130" i="979"/>
  <c r="I130" i="979"/>
  <c r="F129" i="979"/>
  <c r="F153" i="979"/>
  <c r="E129" i="979"/>
  <c r="E153" i="979"/>
  <c r="D129" i="979"/>
  <c r="D153" i="979"/>
  <c r="C129" i="979"/>
  <c r="D127" i="979"/>
  <c r="C127" i="979" s="1"/>
  <c r="I127" i="979" s="1"/>
  <c r="C126" i="979"/>
  <c r="I126" i="979"/>
  <c r="C125" i="979"/>
  <c r="I125" i="979"/>
  <c r="C124" i="979"/>
  <c r="I124" i="979"/>
  <c r="C123" i="979"/>
  <c r="I123" i="979"/>
  <c r="C122" i="979"/>
  <c r="I122" i="979"/>
  <c r="C121" i="979"/>
  <c r="I121" i="979"/>
  <c r="C120" i="979"/>
  <c r="I120" i="979"/>
  <c r="C118" i="979"/>
  <c r="I118" i="979" s="1"/>
  <c r="D117" i="979"/>
  <c r="C117" i="979"/>
  <c r="I117" i="979" s="1"/>
  <c r="D115" i="979"/>
  <c r="C115" i="979" s="1"/>
  <c r="F114" i="979"/>
  <c r="E114" i="979"/>
  <c r="D113" i="979"/>
  <c r="C113" i="979" s="1"/>
  <c r="I113" i="979" s="1"/>
  <c r="D112" i="979"/>
  <c r="F111" i="979"/>
  <c r="D110" i="979"/>
  <c r="C109" i="979"/>
  <c r="I109" i="979" s="1"/>
  <c r="C108" i="979"/>
  <c r="I108" i="979" s="1"/>
  <c r="C107" i="979"/>
  <c r="I107" i="979" s="1"/>
  <c r="C106" i="979"/>
  <c r="I106" i="979" s="1"/>
  <c r="C105" i="979"/>
  <c r="I105" i="979" s="1"/>
  <c r="C104" i="979"/>
  <c r="I104" i="979" s="1"/>
  <c r="C103" i="979"/>
  <c r="I103" i="979" s="1"/>
  <c r="C102" i="979"/>
  <c r="I102" i="979" s="1"/>
  <c r="C101" i="979"/>
  <c r="I101" i="979" s="1"/>
  <c r="C100" i="979"/>
  <c r="I100" i="979" s="1"/>
  <c r="C99" i="979"/>
  <c r="I99" i="979" s="1"/>
  <c r="E98" i="979"/>
  <c r="E93" i="979" s="1"/>
  <c r="E128" i="979" s="1"/>
  <c r="E154" i="979" s="1"/>
  <c r="D98" i="979"/>
  <c r="C98" i="979"/>
  <c r="D97" i="979"/>
  <c r="C97" i="979" s="1"/>
  <c r="D96" i="979"/>
  <c r="C96" i="979" s="1"/>
  <c r="I95" i="979"/>
  <c r="D95" i="979"/>
  <c r="C95" i="979" s="1"/>
  <c r="D94" i="979"/>
  <c r="C94" i="979" s="1"/>
  <c r="F93" i="979"/>
  <c r="F128" i="979" s="1"/>
  <c r="F154" i="979" s="1"/>
  <c r="C91" i="979"/>
  <c r="C85" i="979"/>
  <c r="I85" i="979"/>
  <c r="C84" i="979"/>
  <c r="I84" i="979"/>
  <c r="C83" i="979"/>
  <c r="I83" i="979"/>
  <c r="C82" i="979"/>
  <c r="I82" i="979"/>
  <c r="C81" i="979"/>
  <c r="I81" i="979"/>
  <c r="C80" i="979"/>
  <c r="I80" i="979"/>
  <c r="F79" i="979"/>
  <c r="E79" i="979"/>
  <c r="D79" i="979"/>
  <c r="C78" i="979"/>
  <c r="I78" i="979"/>
  <c r="C77" i="979"/>
  <c r="I77" i="979"/>
  <c r="C76" i="979"/>
  <c r="I76" i="979"/>
  <c r="F75" i="979"/>
  <c r="E75" i="979"/>
  <c r="D75" i="979"/>
  <c r="C75" i="979"/>
  <c r="I75" i="979" s="1"/>
  <c r="C74" i="979"/>
  <c r="I74" i="979" s="1"/>
  <c r="C73" i="979"/>
  <c r="I73" i="979" s="1"/>
  <c r="F72" i="979"/>
  <c r="E72" i="979"/>
  <c r="D72" i="979"/>
  <c r="C71" i="979"/>
  <c r="I71" i="979"/>
  <c r="C70" i="979"/>
  <c r="I70" i="979"/>
  <c r="C69" i="979"/>
  <c r="I69" i="979"/>
  <c r="C68" i="979"/>
  <c r="I68" i="979"/>
  <c r="F67" i="979"/>
  <c r="E67" i="979"/>
  <c r="D67" i="979"/>
  <c r="C67" i="979"/>
  <c r="I67" i="979" s="1"/>
  <c r="C66" i="979"/>
  <c r="I66" i="979" s="1"/>
  <c r="C65" i="979"/>
  <c r="I65" i="979" s="1"/>
  <c r="C64" i="979"/>
  <c r="I64" i="979" s="1"/>
  <c r="F63" i="979"/>
  <c r="F86" i="979"/>
  <c r="E63" i="979"/>
  <c r="E86" i="979"/>
  <c r="D63" i="979"/>
  <c r="D86" i="979"/>
  <c r="C61" i="979"/>
  <c r="I61" i="979"/>
  <c r="I60" i="979"/>
  <c r="C59" i="979"/>
  <c r="I59" i="979" s="1"/>
  <c r="C58" i="979"/>
  <c r="I58" i="979" s="1"/>
  <c r="F57" i="979"/>
  <c r="E57" i="979"/>
  <c r="D57" i="979"/>
  <c r="C56" i="979"/>
  <c r="I56" i="979" s="1"/>
  <c r="D55" i="979"/>
  <c r="C55" i="979"/>
  <c r="I55" i="979" s="1"/>
  <c r="D54" i="979"/>
  <c r="C54" i="979" s="1"/>
  <c r="C53" i="979"/>
  <c r="I53" i="979" s="1"/>
  <c r="F52" i="979"/>
  <c r="E52" i="979"/>
  <c r="C51" i="979"/>
  <c r="C50" i="979"/>
  <c r="I50" i="979"/>
  <c r="I49" i="979"/>
  <c r="D48" i="979"/>
  <c r="C48" i="979" s="1"/>
  <c r="I48" i="979" s="1"/>
  <c r="C47" i="979"/>
  <c r="I47" i="979" s="1"/>
  <c r="F46" i="979"/>
  <c r="E46" i="979"/>
  <c r="D46" i="979"/>
  <c r="D45" i="979"/>
  <c r="C45" i="979" s="1"/>
  <c r="I45" i="979" s="1"/>
  <c r="D44" i="979"/>
  <c r="C44" i="979" s="1"/>
  <c r="I44" i="979" s="1"/>
  <c r="C43" i="979"/>
  <c r="I43" i="979" s="1"/>
  <c r="C42" i="979"/>
  <c r="I42" i="979" s="1"/>
  <c r="C41" i="979"/>
  <c r="I41" i="979" s="1"/>
  <c r="D40" i="979"/>
  <c r="C40" i="979" s="1"/>
  <c r="I39" i="979"/>
  <c r="D38" i="979"/>
  <c r="C38" i="979" s="1"/>
  <c r="I37" i="979"/>
  <c r="D37" i="979"/>
  <c r="C37" i="979" s="1"/>
  <c r="I36" i="979"/>
  <c r="D36" i="979"/>
  <c r="C36" i="979" s="1"/>
  <c r="I35" i="979"/>
  <c r="D35" i="979"/>
  <c r="C35" i="979" s="1"/>
  <c r="F34" i="979"/>
  <c r="E34" i="979"/>
  <c r="D34" i="979"/>
  <c r="C33" i="979"/>
  <c r="I33" i="979"/>
  <c r="C32" i="979"/>
  <c r="I32" i="979"/>
  <c r="D31" i="979"/>
  <c r="C31" i="979" s="1"/>
  <c r="I31" i="979" s="1"/>
  <c r="C30" i="979"/>
  <c r="I30" i="979" s="1"/>
  <c r="C29" i="979"/>
  <c r="I29" i="979" s="1"/>
  <c r="D28" i="979"/>
  <c r="C28" i="979" s="1"/>
  <c r="F26" i="979"/>
  <c r="E26" i="979"/>
  <c r="C25" i="979"/>
  <c r="I25" i="979" s="1"/>
  <c r="D24" i="979"/>
  <c r="C24" i="979"/>
  <c r="C19" i="979" s="1"/>
  <c r="I19" i="979" s="1"/>
  <c r="C23" i="979"/>
  <c r="I23" i="979"/>
  <c r="C22" i="979"/>
  <c r="I22" i="979"/>
  <c r="C21" i="979"/>
  <c r="I21" i="979"/>
  <c r="C20" i="979"/>
  <c r="I20" i="979"/>
  <c r="F19" i="979"/>
  <c r="E19" i="979"/>
  <c r="D19" i="979"/>
  <c r="C18" i="979"/>
  <c r="D17" i="979"/>
  <c r="C17" i="979" s="1"/>
  <c r="C16" i="979"/>
  <c r="I16" i="979" s="1"/>
  <c r="C15" i="979"/>
  <c r="I15" i="979" s="1"/>
  <c r="C14" i="979"/>
  <c r="I14" i="979" s="1"/>
  <c r="C13" i="979"/>
  <c r="I13" i="979" s="1"/>
  <c r="F12" i="979"/>
  <c r="E12" i="979"/>
  <c r="D12" i="979"/>
  <c r="C11" i="979"/>
  <c r="I11" i="979"/>
  <c r="D10" i="979"/>
  <c r="C10" i="979" s="1"/>
  <c r="I10" i="979" s="1"/>
  <c r="D9" i="979"/>
  <c r="C9" i="979" s="1"/>
  <c r="I9" i="979" s="1"/>
  <c r="D8" i="979"/>
  <c r="C8" i="979" s="1"/>
  <c r="C7" i="979"/>
  <c r="I7" i="979" s="1"/>
  <c r="C6" i="979"/>
  <c r="I6" i="979" s="1"/>
  <c r="F5" i="979"/>
  <c r="E5" i="979"/>
  <c r="E62" i="979"/>
  <c r="E87" i="979" s="1"/>
  <c r="D5" i="979"/>
  <c r="B38" i="976"/>
  <c r="B37" i="976"/>
  <c r="B33" i="976"/>
  <c r="B30" i="976"/>
  <c r="B28" i="976"/>
  <c r="B27" i="976"/>
  <c r="B25" i="976"/>
  <c r="B32" i="976" s="1"/>
  <c r="B23" i="976"/>
  <c r="B22" i="976"/>
  <c r="B21" i="976"/>
  <c r="B24" i="976" s="1"/>
  <c r="B18" i="976"/>
  <c r="B20" i="976" s="1"/>
  <c r="E21" i="971"/>
  <c r="E12" i="971"/>
  <c r="E22" i="971"/>
  <c r="E26" i="971" s="1"/>
  <c r="C53" i="958"/>
  <c r="C52" i="958" s="1"/>
  <c r="C48" i="958"/>
  <c r="C47" i="958"/>
  <c r="C46" i="958" s="1"/>
  <c r="G46" i="990" s="1"/>
  <c r="C38" i="958"/>
  <c r="G38" i="990" s="1"/>
  <c r="C31" i="958"/>
  <c r="C26" i="958"/>
  <c r="C20" i="958"/>
  <c r="C8" i="958"/>
  <c r="C145" i="946"/>
  <c r="C140" i="946"/>
  <c r="C133" i="946"/>
  <c r="C129" i="946"/>
  <c r="C153" i="946" s="1"/>
  <c r="C115" i="946"/>
  <c r="C114" i="946" s="1"/>
  <c r="C95" i="946"/>
  <c r="C94" i="946"/>
  <c r="C93" i="946" s="1"/>
  <c r="C91" i="946"/>
  <c r="C79" i="946"/>
  <c r="C75" i="946"/>
  <c r="C72" i="946"/>
  <c r="C67" i="946"/>
  <c r="C63" i="946"/>
  <c r="C86" i="946" s="1"/>
  <c r="C159" i="946" s="1"/>
  <c r="C57" i="946"/>
  <c r="C52" i="946"/>
  <c r="C46" i="946"/>
  <c r="C40" i="946"/>
  <c r="C36" i="946"/>
  <c r="C34" i="946" s="1"/>
  <c r="C27" i="946"/>
  <c r="C26" i="946" s="1"/>
  <c r="C19" i="946"/>
  <c r="C12" i="946"/>
  <c r="C5" i="946"/>
  <c r="C62" i="946" s="1"/>
  <c r="G14" i="1009"/>
  <c r="N14" i="1009"/>
  <c r="O14" i="1007"/>
  <c r="O5" i="1007"/>
  <c r="O16" i="1007"/>
  <c r="R16" i="1007" s="1"/>
  <c r="C26" i="1007"/>
  <c r="O26" i="1007"/>
  <c r="R26" i="1007" s="1"/>
  <c r="F8" i="990"/>
  <c r="C46" i="990"/>
  <c r="C58" i="990" s="1"/>
  <c r="F53" i="990"/>
  <c r="C65" i="989"/>
  <c r="C37" i="987"/>
  <c r="C98" i="987"/>
  <c r="G98" i="987" s="1"/>
  <c r="C111" i="987"/>
  <c r="C119" i="987"/>
  <c r="C44" i="986"/>
  <c r="F5" i="984"/>
  <c r="C31" i="983"/>
  <c r="C32" i="983"/>
  <c r="C30" i="982"/>
  <c r="C31" i="982"/>
  <c r="E87" i="981"/>
  <c r="C86" i="981"/>
  <c r="C159" i="981" s="1"/>
  <c r="D5" i="981"/>
  <c r="D98" i="981"/>
  <c r="C98" i="981" s="1"/>
  <c r="H98" i="979" s="1"/>
  <c r="D114" i="981"/>
  <c r="C114" i="981"/>
  <c r="C129" i="981"/>
  <c r="E87" i="980"/>
  <c r="C86" i="980"/>
  <c r="D26" i="980"/>
  <c r="C26" i="980"/>
  <c r="D119" i="980"/>
  <c r="D114" i="980" s="1"/>
  <c r="C114" i="980" s="1"/>
  <c r="H114" i="979" s="1"/>
  <c r="I114" i="979" s="1"/>
  <c r="C129" i="980"/>
  <c r="I129" i="979" s="1"/>
  <c r="F62" i="979"/>
  <c r="F87" i="979"/>
  <c r="C12" i="979"/>
  <c r="I51" i="979"/>
  <c r="C111" i="979"/>
  <c r="I111" i="979" s="1"/>
  <c r="I115" i="979"/>
  <c r="C46" i="979"/>
  <c r="D52" i="979"/>
  <c r="C63" i="979"/>
  <c r="I63" i="979" s="1"/>
  <c r="C79" i="979"/>
  <c r="C119" i="979"/>
  <c r="C133" i="979"/>
  <c r="I133" i="979"/>
  <c r="C140" i="979"/>
  <c r="I140" i="979"/>
  <c r="C153" i="979"/>
  <c r="C27" i="1007"/>
  <c r="C5" i="981"/>
  <c r="I54" i="979"/>
  <c r="C52" i="979"/>
  <c r="C114" i="979"/>
  <c r="C93" i="979"/>
  <c r="E32" i="983"/>
  <c r="E33" i="983"/>
  <c r="C33" i="983"/>
  <c r="E31" i="982"/>
  <c r="D93" i="981" l="1"/>
  <c r="D128" i="981" s="1"/>
  <c r="E32" i="982"/>
  <c r="C32" i="982"/>
  <c r="C128" i="979"/>
  <c r="C154" i="979" s="1"/>
  <c r="F11" i="990"/>
  <c r="G52" i="1009"/>
  <c r="G54" i="1009" s="1"/>
  <c r="N52" i="1009"/>
  <c r="N54" i="1009" s="1"/>
  <c r="B52" i="1009"/>
  <c r="B54" i="1009" s="1"/>
  <c r="O27" i="1007"/>
  <c r="R14" i="1007"/>
  <c r="E27" i="971"/>
  <c r="C37" i="958"/>
  <c r="G8" i="990"/>
  <c r="H8" i="990" s="1"/>
  <c r="F58" i="990"/>
  <c r="F46" i="990"/>
  <c r="H46" i="990"/>
  <c r="C37" i="990"/>
  <c r="E119" i="987"/>
  <c r="F119" i="987"/>
  <c r="G119" i="987" s="1"/>
  <c r="E111" i="987"/>
  <c r="F111" i="987"/>
  <c r="G111" i="987" s="1"/>
  <c r="C114" i="987"/>
  <c r="C93" i="987"/>
  <c r="G37" i="987"/>
  <c r="F37" i="987"/>
  <c r="E15" i="987"/>
  <c r="E55" i="987"/>
  <c r="F55" i="987"/>
  <c r="G55" i="987"/>
  <c r="G8" i="987"/>
  <c r="B81" i="984"/>
  <c r="F81" i="984"/>
  <c r="C93" i="981"/>
  <c r="H116" i="979"/>
  <c r="I116" i="979" s="1"/>
  <c r="D93" i="980"/>
  <c r="H97" i="979"/>
  <c r="I97" i="979" s="1"/>
  <c r="I96" i="979"/>
  <c r="H96" i="979"/>
  <c r="H94" i="979"/>
  <c r="I94" i="979" s="1"/>
  <c r="J16" i="1032"/>
  <c r="C10" i="1032"/>
  <c r="F52" i="990"/>
  <c r="F19" i="990"/>
  <c r="F26" i="990"/>
  <c r="F41" i="990"/>
  <c r="F49" i="990"/>
  <c r="D154" i="981"/>
  <c r="C154" i="981" s="1"/>
  <c r="C128" i="981"/>
  <c r="C128" i="946"/>
  <c r="C154" i="946" s="1"/>
  <c r="C58" i="958"/>
  <c r="G58" i="990" s="1"/>
  <c r="H58" i="990" s="1"/>
  <c r="B45" i="976"/>
  <c r="I38" i="979"/>
  <c r="C34" i="979"/>
  <c r="I98" i="979"/>
  <c r="I153" i="979"/>
  <c r="C159" i="980"/>
  <c r="C87" i="946"/>
  <c r="C158" i="946"/>
  <c r="C27" i="979"/>
  <c r="I28" i="979"/>
  <c r="C119" i="980"/>
  <c r="I24" i="979"/>
  <c r="I12" i="979"/>
  <c r="I17" i="979"/>
  <c r="I18" i="979"/>
  <c r="I52" i="979"/>
  <c r="I79" i="979"/>
  <c r="D26" i="981"/>
  <c r="D34" i="981"/>
  <c r="C34" i="981" s="1"/>
  <c r="C93" i="989"/>
  <c r="C128" i="989" s="1"/>
  <c r="C155" i="989" s="1"/>
  <c r="C5" i="979"/>
  <c r="D27" i="979"/>
  <c r="D26" i="979" s="1"/>
  <c r="D62" i="979" s="1"/>
  <c r="D87" i="979" s="1"/>
  <c r="C57" i="979"/>
  <c r="C72" i="979"/>
  <c r="D111" i="979"/>
  <c r="D93" i="979" s="1"/>
  <c r="D128" i="979" s="1"/>
  <c r="D154" i="979" s="1"/>
  <c r="D119" i="979"/>
  <c r="D114" i="979" s="1"/>
  <c r="D5" i="980"/>
  <c r="D34" i="980"/>
  <c r="C34" i="980" s="1"/>
  <c r="D46" i="980"/>
  <c r="C46" i="980" s="1"/>
  <c r="I46" i="979" s="1"/>
  <c r="C29" i="987"/>
  <c r="C140" i="987"/>
  <c r="C29" i="988"/>
  <c r="E29" i="987" s="1"/>
  <c r="C49" i="988"/>
  <c r="E49" i="987" s="1"/>
  <c r="C93" i="988"/>
  <c r="C114" i="988"/>
  <c r="C66" i="989"/>
  <c r="C89" i="989" s="1"/>
  <c r="C90" i="989" s="1"/>
  <c r="C38" i="990"/>
  <c r="H38" i="990" s="1"/>
  <c r="E8" i="987"/>
  <c r="E37" i="987"/>
  <c r="E66" i="987"/>
  <c r="E98" i="987"/>
  <c r="O52" i="1009" l="1"/>
  <c r="C42" i="958"/>
  <c r="G42" i="990" s="1"/>
  <c r="G37" i="990"/>
  <c r="H37" i="990" s="1"/>
  <c r="F37" i="990"/>
  <c r="F93" i="987"/>
  <c r="E114" i="987"/>
  <c r="F114" i="987"/>
  <c r="G114" i="987"/>
  <c r="G93" i="987"/>
  <c r="C128" i="987"/>
  <c r="I119" i="979"/>
  <c r="H119" i="979"/>
  <c r="C93" i="980"/>
  <c r="H93" i="979" s="1"/>
  <c r="I93" i="979" s="1"/>
  <c r="D128" i="980"/>
  <c r="C16" i="1032"/>
  <c r="D10" i="1032"/>
  <c r="D16" i="1032" s="1"/>
  <c r="E93" i="987"/>
  <c r="C128" i="988"/>
  <c r="F128" i="987" s="1"/>
  <c r="C65" i="987"/>
  <c r="F38" i="990"/>
  <c r="C42" i="990"/>
  <c r="C154" i="987"/>
  <c r="I34" i="979"/>
  <c r="I72" i="979"/>
  <c r="C86" i="979"/>
  <c r="C26" i="981"/>
  <c r="D62" i="981"/>
  <c r="I27" i="979"/>
  <c r="C26" i="979"/>
  <c r="I26" i="979" s="1"/>
  <c r="C65" i="988"/>
  <c r="F65" i="987" s="1"/>
  <c r="C5" i="980"/>
  <c r="I5" i="979" s="1"/>
  <c r="D62" i="980"/>
  <c r="I57" i="979"/>
  <c r="E89" i="987"/>
  <c r="F42" i="990" l="1"/>
  <c r="H42" i="990"/>
  <c r="G128" i="987"/>
  <c r="G65" i="987"/>
  <c r="D154" i="980"/>
  <c r="C154" i="980" s="1"/>
  <c r="H154" i="979" s="1"/>
  <c r="C128" i="980"/>
  <c r="H128" i="979" s="1"/>
  <c r="I128" i="979" s="1"/>
  <c r="D87" i="981"/>
  <c r="C87" i="981" s="1"/>
  <c r="C62" i="981"/>
  <c r="C158" i="981" s="1"/>
  <c r="I86" i="979"/>
  <c r="C159" i="979"/>
  <c r="C62" i="979"/>
  <c r="C62" i="980"/>
  <c r="D87" i="980"/>
  <c r="C87" i="980" s="1"/>
  <c r="E65" i="987"/>
  <c r="C90" i="988"/>
  <c r="C155" i="987"/>
  <c r="C90" i="987"/>
  <c r="E128" i="987"/>
  <c r="C155" i="988"/>
  <c r="E155" i="987" l="1"/>
  <c r="F155" i="987"/>
  <c r="G155" i="987"/>
  <c r="E90" i="987"/>
  <c r="F90" i="987"/>
  <c r="G90" i="987" s="1"/>
  <c r="I154" i="979"/>
  <c r="H159" i="979"/>
  <c r="I62" i="979"/>
  <c r="C158" i="980"/>
  <c r="C158" i="979"/>
  <c r="C87" i="979"/>
  <c r="I87" i="979" s="1"/>
</calcChain>
</file>

<file path=xl/sharedStrings.xml><?xml version="1.0" encoding="utf-8"?>
<sst xmlns="http://schemas.openxmlformats.org/spreadsheetml/2006/main" count="4790" uniqueCount="796">
  <si>
    <t>Vis maior támogatás visszafizetése</t>
  </si>
  <si>
    <t>Kis értékű tárgyi eszköz beszerzés</t>
  </si>
  <si>
    <t>- Városi Kincstár</t>
  </si>
  <si>
    <t>- Egyesített Közművelődési Intézmény és Könyvtár</t>
  </si>
  <si>
    <t xml:space="preserve">  ebből: könyvtári könyvek</t>
  </si>
  <si>
    <t>- Kornisné Központ</t>
  </si>
  <si>
    <t>Tiszavasvári Egyesített Óvodai Intézmény</t>
  </si>
  <si>
    <t>Szociális ágazati pótlék</t>
  </si>
  <si>
    <t>Járóbetegek gyógyító szakellátása</t>
  </si>
  <si>
    <t>Intézmények megnevezése</t>
  </si>
  <si>
    <t>2017. évi bérkompenzáció</t>
  </si>
  <si>
    <t>Tiszavasvári Egészségügyi Szolg. Kft.</t>
  </si>
  <si>
    <t>Magiszter Alapítvány támogatás</t>
  </si>
  <si>
    <t>Fizikoterápiás szolgáltatás</t>
  </si>
  <si>
    <t>Tervek készítése</t>
  </si>
  <si>
    <t>Karácsonyi díszbeszerzés</t>
  </si>
  <si>
    <t>Tiszavasvári, Sopron u. 2. kút tervezés</t>
  </si>
  <si>
    <t>Tiszavasvári, Sopron u. 1. kút vízóra beépítés</t>
  </si>
  <si>
    <t>- Egyesített Közművelődési Központ és Könyvtár</t>
  </si>
  <si>
    <t>Önkormányzat - GINOP 5.2.1-14-2015-00001</t>
  </si>
  <si>
    <t>Közfoglalkoztatási saját erő tartalék</t>
  </si>
  <si>
    <t>adatok: Ft-ban</t>
  </si>
  <si>
    <t>Közfoglalkoztatási támogatás visszafizetés</t>
  </si>
  <si>
    <t>Közutak üzemeltetése - Polgár Coop előtt padka javítás</t>
  </si>
  <si>
    <t>Pályázati tartalék - Kabay konyha rekonstrukció</t>
  </si>
  <si>
    <t>Pályázati önerő: közművelődés: 200 eFt, könyvtári: 200 eFt</t>
  </si>
  <si>
    <t>2016. évi módosított előirányzat</t>
  </si>
  <si>
    <t>Helyi adók</t>
  </si>
  <si>
    <t>Jövedelem adó</t>
  </si>
  <si>
    <t>Vagyoni típusú adók</t>
  </si>
  <si>
    <t>Rászoruló gyermekek intézményen kívüli szünidei étkeztetésének támogatása</t>
  </si>
  <si>
    <t>Kiegészítő támogatás a bölcsődében foglalkoztatott kisgyermeknevelők béréhez</t>
  </si>
  <si>
    <t xml:space="preserve"> - ebből a települési önkormányzatok nyilvános könyvtári és a közművelődési feladatainak támogatása</t>
  </si>
  <si>
    <t xml:space="preserve">Hosszabb id. közfogl. </t>
  </si>
  <si>
    <t>Beruházási (felhalmozási) kiadások előirányzata beruházásonként</t>
  </si>
  <si>
    <t>Vállalkozási maradvány igénybevétele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</si>
  <si>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</si>
  <si>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</si>
  <si>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</si>
  <si>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</si>
  <si>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</si>
  <si>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</si>
  <si>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</si>
  <si>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</si>
  <si>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</si>
  <si>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</si>
  <si>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</si>
  <si>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</si>
  <si>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</si>
  <si>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</si>
  <si>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</si>
  <si>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</si>
  <si>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</si>
  <si>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</si>
  <si>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</si>
  <si>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</si>
  <si>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</si>
  <si>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</si>
  <si>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</si>
  <si>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</si>
  <si>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</si>
  <si>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</si>
  <si>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</si>
  <si>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</si>
  <si>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</si>
  <si>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</si>
  <si>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</si>
  <si>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</si>
  <si>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</si>
  <si>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</si>
  <si>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</si>
  <si>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</si>
  <si>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</si>
  <si>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</si>
  <si>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</si>
  <si>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</si>
  <si>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</si>
  <si>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</si>
  <si>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</si>
  <si>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</si>
  <si>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</si>
  <si>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</si>
  <si>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</si>
  <si>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</si>
  <si>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</si>
  <si>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</si>
  <si>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</si>
  <si>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</si>
  <si>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</si>
  <si>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</si>
  <si>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</si>
  <si>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</si>
  <si>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</si>
  <si>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</si>
  <si>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</si>
  <si>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</si>
  <si>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</si>
  <si>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</si>
  <si>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</si>
  <si>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</si>
  <si>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</si>
  <si>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</si>
  <si>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</si>
  <si>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</si>
  <si>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</si>
  <si>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</si>
  <si>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</si>
  <si>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</si>
  <si>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</si>
  <si>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</si>
  <si>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</si>
  <si>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</si>
  <si>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</si>
  <si>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</si>
  <si>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</si>
  <si>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</si>
  <si>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</si>
  <si>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</si>
  <si>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</si>
  <si>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</si>
  <si>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</si>
  <si>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</si>
  <si>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</si>
  <si>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</si>
  <si>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</si>
  <si>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</si>
  <si>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</si>
  <si>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</si>
  <si>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</si>
  <si>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</si>
  <si>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</si>
  <si>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</si>
  <si>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</si>
  <si>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</si>
  <si>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</si>
  <si>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</si>
  <si>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</si>
  <si>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</si>
  <si>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</si>
  <si>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</si>
  <si>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</si>
  <si>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</si>
  <si>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</si>
  <si>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</si>
  <si>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</si>
  <si>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</si>
  <si>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</si>
  <si>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</si>
  <si>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</si>
  <si>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</si>
  <si>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</si>
  <si>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</si>
  <si>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</si>
  <si>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</si>
  <si>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</si>
  <si>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</si>
  <si>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</si>
  <si>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</si>
  <si>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</si>
  <si>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</si>
  <si>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</si>
  <si>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</si>
  <si>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</si>
  <si>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</si>
  <si>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</si>
  <si>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</si>
  <si>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</si>
  <si>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</si>
  <si>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</si>
  <si>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</si>
  <si>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</si>
  <si>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</si>
  <si>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</si>
  <si>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</si>
  <si>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</si>
  <si>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</si>
  <si>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</si>
  <si>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</si>
  <si>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</si>
  <si>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</si>
  <si>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</si>
  <si>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</si>
  <si>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</si>
  <si>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</si>
  <si>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</si>
  <si>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</si>
  <si>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</si>
  <si>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</si>
  <si>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</si>
  <si>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</si>
  <si>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</si>
  <si>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</si>
  <si>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</si>
  <si>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</si>
  <si>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</si>
  <si>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</si>
  <si>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</si>
  <si>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</si>
  <si>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</si>
  <si>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</si>
  <si>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</si>
  <si>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</si>
  <si>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</si>
  <si>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</si>
  <si>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</si>
  <si>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</si>
  <si>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</si>
  <si>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</si>
  <si>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</si>
  <si>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</si>
  <si>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</si>
  <si>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</si>
  <si>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</si>
  <si>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</si>
  <si>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</si>
  <si>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</si>
  <si>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</si>
  <si>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</si>
  <si>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</si>
  <si>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</si>
  <si>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</si>
  <si>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</si>
  <si>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</si>
  <si>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</si>
  <si>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</si>
  <si>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</si>
  <si>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</si>
  <si>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</si>
  <si>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</si>
  <si>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</si>
  <si>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</si>
  <si>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</si>
  <si>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</si>
  <si>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</si>
  <si>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</si>
  <si>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</si>
  <si>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</si>
  <si>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</si>
  <si>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</si>
  <si>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</si>
  <si>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</si>
  <si>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</si>
  <si>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</si>
  <si>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</si>
  <si>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</si>
  <si>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</si>
  <si>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</si>
  <si>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</si>
  <si>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</si>
  <si>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</si>
  <si>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</si>
  <si>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</si>
  <si>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</si>
  <si>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</si>
  <si>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</si>
  <si>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</si>
  <si>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</si>
  <si>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</si>
  <si>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</si>
  <si>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</si>
  <si>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</si>
  <si>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</si>
  <si>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</si>
  <si>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</si>
  <si>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</si>
  <si>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</si>
  <si>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</si>
  <si>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</si>
  <si>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</si>
  <si>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</si>
  <si>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</si>
  <si>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</si>
  <si>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</si>
  <si>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</si>
  <si>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</si>
  <si>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</si>
  <si>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</si>
  <si>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</si>
  <si>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</si>
  <si>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</si>
  <si>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</si>
  <si>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</si>
  <si>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</si>
  <si>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</si>
  <si>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</si>
  <si>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</si>
  <si>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</si>
  <si>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</si>
  <si>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</si>
  <si>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</si>
  <si>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</si>
  <si>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</si>
  <si>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</si>
  <si>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</si>
  <si>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</si>
  <si>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</si>
  <si>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</si>
  <si>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</si>
  <si>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</si>
  <si>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</si>
  <si>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</si>
  <si>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</si>
  <si>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</si>
  <si>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</si>
  <si>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</si>
  <si>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</si>
  <si>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</si>
  <si>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</si>
  <si>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</si>
  <si>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</si>
  <si>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</si>
  <si>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</si>
  <si>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</si>
  <si>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</si>
  <si>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</si>
  <si>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</si>
  <si>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</si>
  <si>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</si>
  <si>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</si>
  <si>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</si>
  <si>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</si>
  <si>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</si>
  <si>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</si>
  <si>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</si>
  <si>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</si>
  <si>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</si>
  <si>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</si>
  <si>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</si>
  <si>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</si>
  <si>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</si>
  <si>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</si>
  <si>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</si>
  <si>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</si>
  <si>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</si>
  <si>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</si>
  <si>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</si>
  <si>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</si>
  <si>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</si>
  <si>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</si>
  <si>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</si>
  <si>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</si>
  <si>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</si>
  <si>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</si>
  <si>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</si>
  <si>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</si>
  <si>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</si>
  <si>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</si>
  <si>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</si>
  <si>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</si>
  <si>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</si>
  <si>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</si>
  <si>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</si>
  <si>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</si>
  <si>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</si>
  <si>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</si>
  <si>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</si>
  <si>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</si>
  <si>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</si>
  <si>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</si>
  <si>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</si>
  <si>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</si>
  <si>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</si>
  <si>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</si>
  <si>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</si>
  <si>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</si>
  <si>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</si>
  <si>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</si>
  <si>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</si>
  <si>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</si>
  <si>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</si>
  <si>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</si>
  <si>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</si>
  <si>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</si>
  <si>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</si>
  <si>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</si>
  <si>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</si>
  <si>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</si>
  <si>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</si>
  <si>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</si>
  <si>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</si>
  <si>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</si>
  <si>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</si>
  <si>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</si>
  <si>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</si>
  <si>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</si>
  <si>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</si>
  <si>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</si>
  <si>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</si>
  <si>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</si>
  <si>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</si>
  <si>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</si>
  <si>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</si>
  <si>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</si>
  <si>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</si>
  <si>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</si>
  <si>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</si>
  <si>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</si>
  <si>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</si>
  <si>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</si>
  <si>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</si>
  <si>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</si>
  <si>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</si>
  <si>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</si>
  <si>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</si>
  <si>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</si>
  <si>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</si>
  <si>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</si>
  <si>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</si>
  <si>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</si>
  <si>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</si>
  <si>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</si>
  <si>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</si>
  <si>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</si>
  <si>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</si>
  <si>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Tiszavasvári Város Önkormányzata </t>
  </si>
  <si>
    <t>adatok: eFt-ban</t>
  </si>
  <si>
    <t>Céltartalékok:</t>
  </si>
  <si>
    <t>- Normatíva visszafizetés miatti tartalék</t>
  </si>
  <si>
    <t>Céltartalékok összesen:</t>
  </si>
  <si>
    <t>Pénzforgalom nélküli kiadások összesen:</t>
  </si>
  <si>
    <t xml:space="preserve">Az önkormányzat és intézményeinek engedélyezett álláshelyei  </t>
  </si>
  <si>
    <t>Eng. állás-helyek</t>
  </si>
  <si>
    <t>Intézmények</t>
  </si>
  <si>
    <t>megnevezése</t>
  </si>
  <si>
    <t>- Városi Kincstár (saját)</t>
  </si>
  <si>
    <t>- Egyesített Óvodai Intézmény</t>
  </si>
  <si>
    <t>- Tiszavasvári Bölcsőde</t>
  </si>
  <si>
    <t>Intézmények összesen</t>
  </si>
  <si>
    <t>Önkormányzat -közfoglalkoztatott</t>
  </si>
  <si>
    <t>Mindösszesen:</t>
  </si>
  <si>
    <t xml:space="preserve">Az önkormányzat intézményeinek </t>
  </si>
  <si>
    <t xml:space="preserve">                   BEVÉTELEK</t>
  </si>
  <si>
    <t xml:space="preserve">                                                  KIADÁSOK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</si>
  <si>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</si>
  <si>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</si>
  <si>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</si>
  <si>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</si>
  <si>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</si>
  <si>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</si>
  <si>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</si>
  <si>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</si>
  <si>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</si>
  <si>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</si>
  <si>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</si>
  <si>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</si>
  <si>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</si>
  <si>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</si>
  <si>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</si>
  <si>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</si>
  <si>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</si>
  <si>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Egyesített Óvodai Intézmény</t>
  </si>
  <si>
    <t>Intézmények összesen:</t>
  </si>
  <si>
    <t>Kötelezettségvállalással terhelt záró pénzkészlet</t>
  </si>
  <si>
    <t>Önkormányzati Hivatal működésének támogatása</t>
  </si>
  <si>
    <t>Település üzemeltetéséhez kapcsolódó feladatellátás összesen</t>
  </si>
  <si>
    <t xml:space="preserve">  - Zöldterület-gazdálkodással kapcsolatos feladatok ellátásának támogatása</t>
  </si>
  <si>
    <t xml:space="preserve"> - Közvilágítás fenntartásának támogatása</t>
  </si>
  <si>
    <t xml:space="preserve"> - Köztemető fenntartással kapcsolatos feladatok támogatása</t>
  </si>
  <si>
    <t xml:space="preserve"> - Közutak fenntartásának támogatása</t>
  </si>
  <si>
    <t>Egyéb kötelező önkormányzati feladatok támogatása</t>
  </si>
  <si>
    <t>Az óvodapedagógusok, és az óvodapedagógusok munkáját közvetlenül segítők bértámogatása</t>
  </si>
  <si>
    <t>Óvodaműködtetés támogatás</t>
  </si>
  <si>
    <t>A települési önkormányzatok egyes köznevelési feladatainak támogatása</t>
  </si>
  <si>
    <t>Egyes szociális és gyermekjóléti feladatok támogatása</t>
  </si>
  <si>
    <t>Gyernekétkeztetés támogatása (bértámogatás)</t>
  </si>
  <si>
    <t>Gyernekétkeztetés üzemeltetési támogatás</t>
  </si>
  <si>
    <t>Települési önkormányzatok szociális, gyermekjóléti és gyermekétkeztetési feladatainak támogatása</t>
  </si>
  <si>
    <t>Könyvtári, közművelődési és múzeumi feladatok támogatása</t>
  </si>
  <si>
    <t xml:space="preserve"> - ebből a települési önkormányzatok muzeális intézményi feladatainak támogatása</t>
  </si>
  <si>
    <t>Lakott külterülettel kapcsolatos feladatok támogatása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</si>
  <si>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</si>
  <si>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</si>
  <si>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</si>
  <si>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</si>
  <si>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</si>
  <si>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</si>
  <si>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</si>
  <si>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</si>
  <si>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</si>
  <si>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</si>
  <si>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</si>
  <si>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 xml:space="preserve">Sz-Sz-B-M-i Szilárdhulladék Társ. támogatása </t>
  </si>
  <si>
    <t>- Tiszavasvári Bölcsőde - közfoglalkoztatottak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</si>
  <si>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</si>
  <si>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</si>
  <si>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</si>
  <si>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</si>
  <si>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</si>
  <si>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</si>
  <si>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</si>
  <si>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</si>
  <si>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</si>
  <si>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</si>
  <si>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</si>
  <si>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</si>
  <si>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</si>
  <si>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</si>
  <si>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</si>
  <si>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</si>
  <si>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Gépjárműadó</t>
  </si>
  <si>
    <t>Közvilágítás</t>
  </si>
  <si>
    <t>Város-, községgazdálkodási m.n.s. szolgáltatások</t>
  </si>
  <si>
    <t>Finanszírozási műveletek</t>
  </si>
  <si>
    <t>A polgári védelem ágazati feladatai</t>
  </si>
  <si>
    <t>Ár- és belvízvédelemmel összefüggő tevékenységek</t>
  </si>
  <si>
    <t>Civil szervezetek működési támogatása</t>
  </si>
  <si>
    <t>Önkormányzati vagyonnal való gazdálkodás</t>
  </si>
  <si>
    <t>- Le: intézményi támogatás</t>
  </si>
  <si>
    <t>Közhat.</t>
  </si>
  <si>
    <t>Tartalék</t>
  </si>
  <si>
    <t>Szennyvízcsat. építése, fenntartása, üzemeltetése</t>
  </si>
  <si>
    <t>Pályázat- és támogatáskezelés, ellenőrzés</t>
  </si>
  <si>
    <t>- Helyi adók és bírság, pótlék</t>
  </si>
  <si>
    <t>Önk. elszámolásai a központi költségvetéssel</t>
  </si>
  <si>
    <t>- Működési támogatás</t>
  </si>
  <si>
    <t>- Egyéb működési támogatás</t>
  </si>
  <si>
    <t>Támogatási célú finanszírozási műveletek</t>
  </si>
  <si>
    <t>Intézmény</t>
  </si>
  <si>
    <t>Kiemelt állami és önkormányzati rendezvények</t>
  </si>
  <si>
    <t>Fertőző megbetegedések megelőzése</t>
  </si>
  <si>
    <t>Mindösszesen közfoglalkoztattok nélkül:</t>
  </si>
  <si>
    <t>Polgármesteri hivatal</t>
  </si>
  <si>
    <t>Tiszavasvári Sportegyesület TAO pályázat önerő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</si>
  <si>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</si>
  <si>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</si>
  <si>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</si>
  <si>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</si>
  <si>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</si>
  <si>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</si>
  <si>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Helyi adók  (4.1.1.+...+4.1.3.)</t>
  </si>
  <si>
    <t>4.1.3.</t>
  </si>
  <si>
    <t>- Értékesítési és forgalmi adók (iparűzési adó)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</si>
  <si>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</si>
  <si>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</si>
  <si>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</si>
  <si>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</si>
  <si>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</si>
  <si>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</si>
  <si>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</si>
  <si>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</si>
  <si>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</si>
  <si>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</si>
  <si>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</si>
  <si>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</si>
  <si>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</si>
  <si>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</si>
  <si>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</si>
  <si>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</si>
  <si>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</si>
  <si>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</si>
  <si>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</si>
  <si>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</si>
  <si>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</si>
  <si>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</si>
  <si>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</si>
  <si>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</si>
  <si>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</si>
  <si>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</si>
  <si>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</si>
  <si>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</si>
  <si>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</si>
  <si>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</si>
  <si>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</si>
  <si>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</si>
  <si>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</si>
  <si>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</si>
  <si>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</si>
  <si>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</si>
  <si>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</si>
  <si>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</si>
  <si>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</si>
  <si>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</si>
  <si>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</si>
  <si>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</si>
  <si>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</si>
  <si>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</si>
  <si>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</si>
  <si>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</si>
  <si>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</si>
  <si>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</si>
  <si>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</si>
  <si>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</si>
  <si>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</si>
  <si>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</si>
  <si>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</si>
  <si>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</si>
  <si>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</si>
  <si>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</si>
  <si>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</si>
  <si>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</si>
  <si>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</si>
  <si>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</si>
  <si>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</si>
  <si>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</si>
  <si>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</si>
  <si>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</si>
  <si>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</si>
  <si>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</si>
  <si>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</si>
  <si>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</si>
  <si>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</si>
  <si>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Központi, irányító szervi támogatás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</si>
  <si>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</si>
  <si>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</si>
  <si>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</si>
  <si>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Polgármesteri /közös/ hivatal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</si>
  <si>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</si>
  <si>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</si>
  <si>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</si>
  <si>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</si>
  <si>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</si>
  <si>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</si>
  <si>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</si>
  <si>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A települési önkormányzatok működésének támogatása</t>
  </si>
  <si>
    <t>A települési önkormányzatok szociális feladatainak egyéb támogatása</t>
  </si>
  <si>
    <t>- Lakásfelújítási Alap ( felhalmozási)</t>
  </si>
  <si>
    <t xml:space="preserve">  2.3.-ból EU támogatás</t>
  </si>
  <si>
    <t>Felhalmozási célú támogatások államháztartáson belülről (4.1.+4.2.)</t>
  </si>
  <si>
    <t xml:space="preserve">  4.2.-ből EU-s támogatás</t>
  </si>
  <si>
    <t>KÖLTSÉGVETÉSI BEVÉTELEK ÖSSZESEN (1.+…+7.)</t>
  </si>
  <si>
    <t>Városi Kincstár</t>
  </si>
  <si>
    <t>Tiszavasvári Bölcsőde</t>
  </si>
  <si>
    <t>Települési hulladék vegyes begyűjtése</t>
  </si>
  <si>
    <t>Növénytermesztés, állattenyésztés</t>
  </si>
  <si>
    <t>- Talajterhelési díj, helyszíni bírság, term. SZJA</t>
  </si>
  <si>
    <t>Kábítószer-megelőzés programjai</t>
  </si>
  <si>
    <t>Települési támogatás</t>
  </si>
  <si>
    <t xml:space="preserve"> Értékesítési és forgalmi adók</t>
  </si>
  <si>
    <t>Jövedelemadó</t>
  </si>
  <si>
    <t>4.3</t>
  </si>
  <si>
    <t>4.5.</t>
  </si>
  <si>
    <t>Értékesítési és forgalmi adók</t>
  </si>
  <si>
    <t>GIOP 5.2.1-14 pályázat keretében foglalkoztatottak létszáma (fő)</t>
  </si>
  <si>
    <t>Intézmény összesen köz- és pályázat keretében fogl. nélkül</t>
  </si>
  <si>
    <t>Gyakorlati képz. - szoc. gondozó és ápoló (fő)</t>
  </si>
  <si>
    <t>NRSZH pályázat - megvált. munkakép. fogl.létszám (fő)</t>
  </si>
  <si>
    <t>Maradvány</t>
  </si>
  <si>
    <t>Települési önkormányzatok által biztosított egyes szociális szakosított ellátások, valamint a gyermekek átmeneti gondozásával kapcsolatos feladatok támogatása</t>
  </si>
  <si>
    <t>A helyi önkormányzatok működésének általános támogatása</t>
  </si>
  <si>
    <t>Zöldliget áram kiépítés</t>
  </si>
  <si>
    <t>Közvilágítási hálózat fejlesztés</t>
  </si>
  <si>
    <t>Rászoruló étkeztetési céltartalék</t>
  </si>
  <si>
    <t>Talaj és talajvíz szennyeződésmentesítése</t>
  </si>
  <si>
    <t>Út-, autópálya építés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</si>
  <si>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</si>
  <si>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</si>
  <si>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</si>
  <si>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</si>
  <si>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</si>
  <si>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>- Kornisné LE Központ</t>
  </si>
  <si>
    <t>-      - GIOP 5.2.1-14 pályázat keretében fogl. létszáma (fő)</t>
  </si>
  <si>
    <t>-      - NRSZH pály. - megvált. munkakép. fogl. létszám (fő)</t>
  </si>
  <si>
    <t>-      - Gyakorlati képz. - szoc. gondozó és ápoló létszám (fő)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</si>
  <si>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</si>
  <si>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</si>
  <si>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</si>
  <si>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</si>
  <si>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4.6.</t>
  </si>
  <si>
    <t>4.7.</t>
  </si>
  <si>
    <t>Kamatbevételek és más nyereségjellegű bevételek</t>
  </si>
  <si>
    <t>Hitel-, kölcsönfelvétel államháztartáson kívülről  (10.1.+…+10.3.)</t>
  </si>
  <si>
    <t>2017. évi előirányzat</t>
  </si>
  <si>
    <t>2017</t>
  </si>
  <si>
    <t>Felhasználás
2016. XII.31-ig</t>
  </si>
  <si>
    <t xml:space="preserve">
2017. év utáni szükséglet
</t>
  </si>
  <si>
    <t>Önkormányzaton kívüli EU-s projektekhez történő hozzájárulás 2017. évi előirányzat</t>
  </si>
  <si>
    <t xml:space="preserve">2017. évi költségvetése </t>
  </si>
  <si>
    <t xml:space="preserve">2017. évi költségvetésében rendelkezésre álló tartalékok </t>
  </si>
  <si>
    <t>Előirányzat-felhasználási terv
2017 évre</t>
  </si>
  <si>
    <t>A 2017. évi általános működés és ágazati feladatok támogatásának alakulása jogcímenként</t>
  </si>
  <si>
    <t>2017. évi támogatás összesen</t>
  </si>
  <si>
    <t>K I M U T A T Á S
a 2017. évben céljelleggel juttatott támogatásokról</t>
  </si>
  <si>
    <t>Az önkormányzat 2017. évi költségvetésének</t>
  </si>
  <si>
    <t>Egyesített Közművelédési Intérmény és Könyvtár</t>
  </si>
  <si>
    <t>2017 év</t>
  </si>
  <si>
    <t>2017. év</t>
  </si>
  <si>
    <t>Forintban</t>
  </si>
  <si>
    <t>Forintban !</t>
  </si>
  <si>
    <t xml:space="preserve">Kornisné Központban fűtéskorszerüsítés </t>
  </si>
  <si>
    <t>Petőfi utca járda építés és tervezés</t>
  </si>
  <si>
    <t>Pongrátz Gergely szobor</t>
  </si>
  <si>
    <t>Kabay konyha felújítás</t>
  </si>
  <si>
    <t>Közlekedési táblák beszerzése</t>
  </si>
  <si>
    <t>Vadkamera beszerzés</t>
  </si>
  <si>
    <t>Kamera rendszer kiépítés</t>
  </si>
  <si>
    <t>Játszótéri eszközök létesítése</t>
  </si>
  <si>
    <t>Kábítószerügyi Egyeztető Fórum egyéb tárgyi eszk. besz.</t>
  </si>
  <si>
    <t>Gyalogátkelőhely kivitelezés + megvilágítás</t>
  </si>
  <si>
    <t>A 2016. évről áthúzódó bérkompenzáció támogatása</t>
  </si>
  <si>
    <t>Kisgyermek gondozó pótlék 11 hó</t>
  </si>
  <si>
    <t>Kúlturális ágazati pótlék 11hó</t>
  </si>
  <si>
    <t>TÁJÉKOZTATÓ TÁBLA                 Forintban !</t>
  </si>
  <si>
    <t xml:space="preserve"> Forintban !</t>
  </si>
  <si>
    <t>Olimpia Barátok Köre</t>
  </si>
  <si>
    <t>Szennyvíz rákötés</t>
  </si>
  <si>
    <t>Önkormányzati vagyonnal való gazd. (Pályázatok)</t>
  </si>
  <si>
    <t>Oktatás, közművelődés</t>
  </si>
  <si>
    <t>Gyermekek átmeneti ellátása</t>
  </si>
  <si>
    <t>Közfoglalkotatási mintaprogramok</t>
  </si>
  <si>
    <t>Önk</t>
  </si>
  <si>
    <t>PH</t>
  </si>
  <si>
    <t>INT</t>
  </si>
  <si>
    <t>Forintban!</t>
  </si>
  <si>
    <t>Hozzájárulás  (Ft)</t>
  </si>
  <si>
    <t>Egyesített Közműv. Int. és Könyv.</t>
  </si>
  <si>
    <t>- Üdülő VKT bevétel terhére kiadási tartalék</t>
  </si>
  <si>
    <t>2017. előtt</t>
  </si>
  <si>
    <t>2017 után</t>
  </si>
  <si>
    <t>Beruházási tartalék</t>
  </si>
  <si>
    <t>Udvari játéktároló beszerzés (Egyesített Óvodai Int.)</t>
  </si>
  <si>
    <t>Irattári szekrény készítés (Városi Kincstár)</t>
  </si>
  <si>
    <t>1 db nyomtató-fénymásoló beszerzés (EKIK)</t>
  </si>
  <si>
    <t>1 db EKG készülék vásárlás  (Kornisné Központ)</t>
  </si>
  <si>
    <t>1 db gépkocsi vásárlás fogyatékos ellátásra (Kornisné)</t>
  </si>
  <si>
    <t>1 db elektromos sütő (Tiszavasvári Bölcsőde)</t>
  </si>
  <si>
    <t>Falikép vásárlása (Polg.hiv.)</t>
  </si>
  <si>
    <t>Függöny vásárlás (Polg. Hiv.)</t>
  </si>
  <si>
    <t>Klíma (Polg. Hiv.)</t>
  </si>
  <si>
    <t>Szék/Bútor (Polg. Hiv.)</t>
  </si>
  <si>
    <t>Vasajtó (Polg. Hiv.)</t>
  </si>
  <si>
    <t>Iratmegsemmisítő (Polg. Hiv.)</t>
  </si>
  <si>
    <t>Sinology NAS + 2db merevlemez (Polg. Hiv.)</t>
  </si>
  <si>
    <t>Notebook (Polg. Hiv.)</t>
  </si>
  <si>
    <t>Multif. nyomtató (Polg. Hiv.)</t>
  </si>
  <si>
    <t>EU-s projekt neve, azonosítója: A Tiszavasvári Kabay-konyha korszerűsítése és agrárlogisztikai pont kialakítása, TOP-1.1.3-15-SB1-2016-00033</t>
  </si>
  <si>
    <t>Víziközmű rendszeren végrehajtandó beruházás</t>
  </si>
  <si>
    <t>Fotocellás ajtó (2016 évről áth. Beruházás Kornisné)</t>
  </si>
  <si>
    <t>2016</t>
  </si>
  <si>
    <t>1 db fagyasztóláda (Tiszavasvári Bölcsőde)</t>
  </si>
  <si>
    <t>Tiszavasvári Egészségügyi Szolg. Kft. (röntgen gép)</t>
  </si>
  <si>
    <t>ASP pályázat - informatikai eszköz beszerzés</t>
  </si>
  <si>
    <t>Belvíz rendszer kiépítése</t>
  </si>
  <si>
    <t>Nyíri mezőség progr. ker. turisztikai fejlesztés</t>
  </si>
  <si>
    <t>Sportcsarnok kisértékű tárgyi eszköz beszerzés</t>
  </si>
  <si>
    <t>8 db mobiltelefon besz. (Kornisné Központ)</t>
  </si>
  <si>
    <t>EU-s projekt neve, azonosítója: Tiszavasvári város infrastruktúra fejlesztése, lakóterület belvíz mentesítése, TOP-2.1.3-15-SB1-2016-00024</t>
  </si>
  <si>
    <t>Kornisné fűtés korszerűsítési tartalék</t>
  </si>
  <si>
    <t>Belvíz pályázat tartalék</t>
  </si>
  <si>
    <t>Turizmus fejlesztési támogatások és tevékenységek</t>
  </si>
  <si>
    <t>Tiszavasvári, Sopron u. 1. kút tervdokumentáció</t>
  </si>
  <si>
    <t xml:space="preserve">Komplex energetikai fejl. Tiszavasváriban </t>
  </si>
  <si>
    <t>Mezőőri szolgálat gépjárműbeszerzés</t>
  </si>
  <si>
    <t>Mártírok u. 7. szennyvízrendszer csatlakoztatás</t>
  </si>
  <si>
    <t>Kisértékű inf.eszk. beszerzés</t>
  </si>
  <si>
    <t>Kisértékű tárgyi eszköz beszerzés</t>
  </si>
  <si>
    <t>- Tiszavasvári bölcsőde</t>
  </si>
  <si>
    <t>Könyvtári érd.tám.-ból beszerzés (EKIK)</t>
  </si>
  <si>
    <t>Táborral kapcsolatos beszerzések (EKIK)</t>
  </si>
  <si>
    <t>Gyakorlati képz.kis.tárgy.esz.besz (Kornisné Központ)</t>
  </si>
  <si>
    <t>2 db villanybojler (Kornisné Központ)</t>
  </si>
  <si>
    <t>Rendkívüli támogatás</t>
  </si>
  <si>
    <t>Garantált bérminimum emelés miatti támogatás</t>
  </si>
  <si>
    <t>Polgármester illetményemeléséhez támogatás</t>
  </si>
  <si>
    <t>Könyvtári érdekeltségnövelő támogatás</t>
  </si>
  <si>
    <t>Nyírségi Szakképzés-szervezési Kft.</t>
  </si>
  <si>
    <t>Nyírvidék Kft. Támogatás</t>
  </si>
  <si>
    <t>Útépítés környezetvédelmi alapból+saját erő</t>
  </si>
  <si>
    <t>Mezőőri szolgálat egyéb tárgyi eszköz beszerzése</t>
  </si>
  <si>
    <t>Meghibásodott fólia+sátor pótlása Sopron u.</t>
  </si>
  <si>
    <t>Kisértékű tárgyieszköz beszerzés ei. emelése (EKIK)</t>
  </si>
  <si>
    <t>EFOP-3.2.9-16 kódsz. Pály. Beruh.kiad. (Kornisné)</t>
  </si>
  <si>
    <t>Letéti pénzkezelő program beszerzés (Kornisné)</t>
  </si>
  <si>
    <t>EFOP 3.2.9-16 pályázat keretében foglalkoztatottak létszáma (fő)</t>
  </si>
  <si>
    <t>-      - EFOP-3.2.9-16. Óvodai és Iskolai Szociális fejlesztésel támogatása (fő)</t>
  </si>
  <si>
    <t xml:space="preserve">- Temető üzemeltetési tartalék: 0 eFt Sírbolt értékesítés: 5.000 eFt </t>
  </si>
  <si>
    <t>Támogatási tartalék ( EÜ Kft )</t>
  </si>
  <si>
    <t>Váci Mihály Gimnázium energetikai korszerűsítés</t>
  </si>
  <si>
    <t>Óvodapedagógusok minősítéséből adódó többletkiadásokhoz támogatás, Óvodapedagógusok munkáját segítő kieg. tám.</t>
  </si>
  <si>
    <t>Jó adatszolgáltató önkormányzat támogatása</t>
  </si>
  <si>
    <t>Tiva-Szolg temető működtetési támogatás</t>
  </si>
  <si>
    <t>Tiszalökért Alapítvány - Tiszalöki mentőáll.tám</t>
  </si>
  <si>
    <t>- Felhalmozási támogatás</t>
  </si>
  <si>
    <t>Halgatói és oktatói ösztöndíjak</t>
  </si>
  <si>
    <t>Köztemető fenntartás és működtetés</t>
  </si>
  <si>
    <t>Nyomtató beszerzés (Egyesített Óvodai Int.)</t>
  </si>
  <si>
    <t>2 db számítógép beszerzése (Városi Kincstár)</t>
  </si>
  <si>
    <t>Plexi dobozok beszerzése (EKIK-Múzeum)</t>
  </si>
  <si>
    <t>Könyvtári könyvek beszerzése Szja 1 %-ának felajánlásából</t>
  </si>
  <si>
    <t>Boldogabb Családokért Alapítvány támogatásából megvalósuló beruházások (Kornisné Központ)</t>
  </si>
  <si>
    <t>Közfoglalkoztatás betuházásai</t>
  </si>
  <si>
    <t>Tiszavasvári Egészségügyi Szolg. Kft. (pályázat, megv tan.)</t>
  </si>
  <si>
    <t>Tiszavasvári Egészségügyi Szolg. Kft. (saját tőke vissz.)</t>
  </si>
  <si>
    <t>Dr. Tolna Klári háziorvosi praxis műk.tám.</t>
  </si>
  <si>
    <t>Magyar Vöröskereszt Tiszavasvári szervezete</t>
  </si>
  <si>
    <t>34.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</si>
  <si>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</si>
  <si>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</si>
  <si>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Temető u. szennyvízrendszer csatlakoztatás</t>
  </si>
  <si>
    <t>ASP bevezetése miatt 1 db kártyaolvasó beszerzése (Egyesített Óvodai Int.)</t>
  </si>
  <si>
    <t>ASP bevezetése miatt 1 db komplett számítógép, 1 db számítógép monitor nélkül, 7 db kártyaleolvasó beszerzése (Városi Kincstár</t>
  </si>
  <si>
    <t>ASP bevezetése miatt 2 db kártyaolvasó beszerzése (Kornisné Központ)</t>
  </si>
  <si>
    <t>ASP bevezetése miatt 1 db kártyaolvasó beszerzése (Tiszavasvári Bölcsőde)</t>
  </si>
  <si>
    <t>ASP bevezetése miatt 1 db kártyaolvasó beszerzése (EKIK)</t>
  </si>
  <si>
    <t>Kiegészítő bútorok és gyermekjátékok beszerzése "Kicsi vagyok én" Alapítvány támogatásából (Tiszavasvári Bölcsőde)</t>
  </si>
  <si>
    <t>Tiszavasvári Sportegyesület TAO pályázat önerő (labdarúgás)</t>
  </si>
  <si>
    <t>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</si>
</sst>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"/>
    <numFmt numFmtId="168" formatCode="0.0"/>
  </numFmts>
  <fonts count="10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2"/>
      <name val="Times New Roman CE"/>
      <charset val="238"/>
    </font>
    <font>
      <b/>
      <sz val="14"/>
      <name val="Times New Roman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b/>
      <sz val="10"/>
      <color indexed="10"/>
      <name val="MS Sans Serif"/>
      <family val="2"/>
      <charset val="238"/>
    </font>
    <font>
      <sz val="8"/>
      <color indexed="8"/>
      <name val="Times New Roman CE"/>
      <charset val="238"/>
    </font>
    <font>
      <sz val="8"/>
      <color indexed="10"/>
      <name val="Times New Roman CE"/>
      <charset val="238"/>
    </font>
    <font>
      <i/>
      <sz val="11"/>
      <color indexed="10"/>
      <name val="Times New Roman CE"/>
      <charset val="238"/>
    </font>
    <font>
      <sz val="10"/>
      <color indexed="8"/>
      <name val="Times New Roman CE"/>
      <charset val="238"/>
    </font>
    <font>
      <sz val="10"/>
      <name val="MS Sans Serif"/>
      <family val="2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 CE"/>
      <family val="1"/>
      <charset val="238"/>
    </font>
    <font>
      <b/>
      <i/>
      <sz val="10"/>
      <color indexed="8"/>
      <name val="Times New Roman CE"/>
      <family val="1"/>
      <charset val="238"/>
    </font>
    <font>
      <b/>
      <sz val="8"/>
      <color indexed="8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"/>
      <family val="1"/>
      <charset val="238"/>
    </font>
    <font>
      <i/>
      <sz val="8"/>
      <color theme="1"/>
      <name val="Times New Roman CE"/>
      <family val="1"/>
      <charset val="238"/>
    </font>
    <font>
      <i/>
      <sz val="10"/>
      <color theme="1"/>
      <name val="Times New Roman CE"/>
      <charset val="238"/>
    </font>
    <font>
      <sz val="11"/>
      <color theme="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 CE"/>
      <charset val="238"/>
    </font>
    <font>
      <b/>
      <sz val="10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b/>
      <sz val="12"/>
      <color rgb="FFFF0000"/>
      <name val="Times New Roman CE"/>
      <charset val="238"/>
    </font>
    <font>
      <b/>
      <sz val="11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8"/>
      <color indexed="10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39" fillId="2" borderId="0" applyNumberFormat="0" applyBorder="0" applyAlignment="0" applyProtection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2" borderId="0" applyNumberFormat="0" applyBorder="0" applyAlignment="0" applyProtection="0"/>
    <xf numFmtId="0" fontId="39" fillId="6" borderId="0" applyNumberFormat="0" applyBorder="0" applyAlignment="0" applyProtection="0"/>
    <xf numFmtId="164" fontId="63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4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63" fillId="0" borderId="0"/>
    <xf numFmtId="0" fontId="42" fillId="0" borderId="0"/>
    <xf numFmtId="0" fontId="6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0" fillId="0" borderId="0"/>
    <xf numFmtId="0" fontId="42" fillId="0" borderId="0"/>
    <xf numFmtId="0" fontId="10" fillId="0" borderId="0"/>
    <xf numFmtId="0" fontId="47" fillId="0" borderId="0"/>
    <xf numFmtId="0" fontId="42" fillId="0" borderId="0"/>
    <xf numFmtId="164" fontId="1" fillId="0" borderId="0" applyFont="0" applyFill="0" applyBorder="0" applyAlignment="0" applyProtection="0"/>
  </cellStyleXfs>
  <cellXfs count="1040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right"/>
    </xf>
    <xf numFmtId="0" fontId="6" fillId="0" borderId="0" xfId="21" applyFont="1" applyFill="1" applyBorder="1" applyAlignment="1" applyProtection="1">
      <alignment horizontal="center" vertical="center" wrapText="1"/>
    </xf>
    <xf numFmtId="0" fontId="6" fillId="0" borderId="0" xfId="21" applyFont="1" applyFill="1" applyBorder="1" applyAlignment="1" applyProtection="1">
      <alignment vertical="center" wrapText="1"/>
    </xf>
    <xf numFmtId="0" fontId="20" fillId="0" borderId="1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1"/>
    </xf>
    <xf numFmtId="0" fontId="20" fillId="0" borderId="4" xfId="21" applyFont="1" applyFill="1" applyBorder="1" applyAlignment="1" applyProtection="1">
      <alignment horizontal="left" vertical="center" wrapText="1" indent="1"/>
    </xf>
    <xf numFmtId="0" fontId="20" fillId="0" borderId="5" xfId="21" applyFont="1" applyFill="1" applyBorder="1" applyAlignment="1" applyProtection="1">
      <alignment horizontal="left" vertical="center" wrapText="1" indent="1"/>
    </xf>
    <xf numFmtId="0" fontId="20" fillId="0" borderId="6" xfId="21" applyFont="1" applyFill="1" applyBorder="1" applyAlignment="1" applyProtection="1">
      <alignment horizontal="left" vertical="center" wrapText="1" indent="1"/>
    </xf>
    <xf numFmtId="49" fontId="20" fillId="0" borderId="7" xfId="21" applyNumberFormat="1" applyFont="1" applyFill="1" applyBorder="1" applyAlignment="1" applyProtection="1">
      <alignment horizontal="left" vertical="center" wrapText="1" indent="1"/>
    </xf>
    <xf numFmtId="49" fontId="20" fillId="0" borderId="8" xfId="21" applyNumberFormat="1" applyFont="1" applyFill="1" applyBorder="1" applyAlignment="1" applyProtection="1">
      <alignment horizontal="left" vertical="center" wrapText="1" indent="1"/>
    </xf>
    <xf numFmtId="49" fontId="20" fillId="0" borderId="9" xfId="21" applyNumberFormat="1" applyFont="1" applyFill="1" applyBorder="1" applyAlignment="1" applyProtection="1">
      <alignment horizontal="left" vertical="center" wrapText="1" indent="1"/>
    </xf>
    <xf numFmtId="49" fontId="20" fillId="0" borderId="10" xfId="21" applyNumberFormat="1" applyFont="1" applyFill="1" applyBorder="1" applyAlignment="1" applyProtection="1">
      <alignment horizontal="left" vertical="center" wrapText="1" indent="1"/>
    </xf>
    <xf numFmtId="49" fontId="20" fillId="0" borderId="11" xfId="21" applyNumberFormat="1" applyFont="1" applyFill="1" applyBorder="1" applyAlignment="1" applyProtection="1">
      <alignment horizontal="left" vertical="center" wrapText="1" indent="1"/>
    </xf>
    <xf numFmtId="49" fontId="20" fillId="0" borderId="12" xfId="21" applyNumberFormat="1" applyFont="1" applyFill="1" applyBorder="1" applyAlignment="1" applyProtection="1">
      <alignment horizontal="left" vertical="center" wrapText="1" indent="1"/>
    </xf>
    <xf numFmtId="0" fontId="20" fillId="0" borderId="0" xfId="21" applyFont="1" applyFill="1" applyBorder="1" applyAlignment="1" applyProtection="1">
      <alignment horizontal="left" vertical="center" wrapText="1" indent="1"/>
    </xf>
    <xf numFmtId="0" fontId="18" fillId="0" borderId="13" xfId="21" applyFont="1" applyFill="1" applyBorder="1" applyAlignment="1" applyProtection="1">
      <alignment horizontal="left" vertical="center" wrapText="1" indent="1"/>
    </xf>
    <xf numFmtId="0" fontId="18" fillId="0" borderId="14" xfId="21" applyFont="1" applyFill="1" applyBorder="1" applyAlignment="1" applyProtection="1">
      <alignment horizontal="left" vertical="center" wrapText="1" indent="1"/>
    </xf>
    <xf numFmtId="0" fontId="18" fillId="0" borderId="15" xfId="21" applyFont="1" applyFill="1" applyBorder="1" applyAlignment="1" applyProtection="1">
      <alignment horizontal="left" vertical="center" wrapText="1" indent="1"/>
    </xf>
    <xf numFmtId="0" fontId="7" fillId="0" borderId="13" xfId="21" applyFont="1" applyFill="1" applyBorder="1" applyAlignment="1" applyProtection="1">
      <alignment horizontal="center" vertical="center" wrapText="1"/>
    </xf>
    <xf numFmtId="0" fontId="7" fillId="0" borderId="14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vertical="center" wrapText="1"/>
    </xf>
    <xf numFmtId="0" fontId="18" fillId="0" borderId="16" xfId="21" applyFont="1" applyFill="1" applyBorder="1" applyAlignment="1" applyProtection="1">
      <alignment vertical="center" wrapText="1"/>
    </xf>
    <xf numFmtId="0" fontId="26" fillId="0" borderId="4" xfId="0" applyFont="1" applyBorder="1" applyAlignment="1" applyProtection="1">
      <alignment horizontal="left" vertical="center" indent="1"/>
      <protection locked="0"/>
    </xf>
    <xf numFmtId="3" fontId="26" fillId="0" borderId="17" xfId="0" applyNumberFormat="1" applyFont="1" applyBorder="1" applyAlignment="1" applyProtection="1">
      <alignment horizontal="right" vertical="center" indent="1"/>
      <protection locked="0"/>
    </xf>
    <xf numFmtId="0" fontId="26" fillId="0" borderId="2" xfId="0" applyFont="1" applyBorder="1" applyAlignment="1" applyProtection="1">
      <alignment horizontal="left" vertical="center" indent="1"/>
      <protection locked="0"/>
    </xf>
    <xf numFmtId="3" fontId="26" fillId="0" borderId="18" xfId="0" applyNumberFormat="1" applyFont="1" applyBorder="1" applyAlignment="1" applyProtection="1">
      <alignment horizontal="right" vertical="center" indent="1"/>
      <protection locked="0"/>
    </xf>
    <xf numFmtId="0" fontId="26" fillId="0" borderId="6" xfId="0" applyFont="1" applyBorder="1" applyAlignment="1" applyProtection="1">
      <alignment horizontal="left" vertical="center" indent="1"/>
      <protection locked="0"/>
    </xf>
    <xf numFmtId="0" fontId="18" fillId="0" borderId="13" xfId="21" applyFont="1" applyFill="1" applyBorder="1" applyAlignment="1" applyProtection="1">
      <alignment horizontal="center" vertical="center" wrapText="1"/>
    </xf>
    <xf numFmtId="0" fontId="18" fillId="0" borderId="14" xfId="21" applyFont="1" applyFill="1" applyBorder="1" applyAlignment="1" applyProtection="1">
      <alignment horizontal="center" vertical="center" wrapText="1"/>
    </xf>
    <xf numFmtId="0" fontId="18" fillId="0" borderId="19" xfId="21" applyFont="1" applyFill="1" applyBorder="1" applyAlignment="1" applyProtection="1">
      <alignment horizontal="center" vertical="center" wrapText="1"/>
    </xf>
    <xf numFmtId="0" fontId="7" fillId="0" borderId="14" xfId="23" applyFont="1" applyFill="1" applyBorder="1" applyAlignment="1" applyProtection="1">
      <alignment horizontal="left" vertical="center" indent="1"/>
    </xf>
    <xf numFmtId="0" fontId="7" fillId="0" borderId="19" xfId="2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5" fontId="5" fillId="0" borderId="0" xfId="0" applyNumberFormat="1" applyFont="1" applyFill="1" applyAlignment="1" applyProtection="1">
      <alignment horizontal="right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8" xfId="0" applyNumberFormat="1" applyFont="1" applyFill="1" applyBorder="1" applyAlignment="1" applyProtection="1">
      <alignment horizontal="right" vertical="center" indent="1"/>
      <protection locked="0"/>
    </xf>
    <xf numFmtId="3" fontId="26" fillId="0" borderId="23" xfId="0" applyNumberFormat="1" applyFont="1" applyFill="1" applyBorder="1" applyAlignment="1" applyProtection="1">
      <alignment horizontal="right" vertical="center" indent="1"/>
      <protection locked="0"/>
    </xf>
    <xf numFmtId="3" fontId="26" fillId="0" borderId="4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3" fontId="26" fillId="0" borderId="2" xfId="0" applyNumberFormat="1" applyFont="1" applyFill="1" applyBorder="1" applyAlignment="1" applyProtection="1">
      <alignment vertical="center"/>
      <protection locked="0"/>
    </xf>
    <xf numFmtId="49" fontId="26" fillId="0" borderId="10" xfId="0" applyNumberFormat="1" applyFont="1" applyFill="1" applyBorder="1" applyAlignment="1" applyProtection="1">
      <alignment vertical="center"/>
      <protection locked="0"/>
    </xf>
    <xf numFmtId="3" fontId="26" fillId="0" borderId="6" xfId="0" applyNumberFormat="1" applyFont="1" applyFill="1" applyBorder="1" applyAlignment="1" applyProtection="1">
      <alignment vertical="center"/>
      <protection locked="0"/>
    </xf>
    <xf numFmtId="49" fontId="26" fillId="0" borderId="8" xfId="0" applyNumberFormat="1" applyFont="1" applyFill="1" applyBorder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3" applyFill="1" applyProtection="1"/>
    <xf numFmtId="0" fontId="20" fillId="0" borderId="13" xfId="23" applyFont="1" applyFill="1" applyBorder="1" applyAlignment="1" applyProtection="1">
      <alignment horizontal="left" vertical="center" indent="1"/>
    </xf>
    <xf numFmtId="0" fontId="10" fillId="0" borderId="0" xfId="23" applyFill="1" applyAlignment="1" applyProtection="1">
      <alignment vertical="center"/>
    </xf>
    <xf numFmtId="0" fontId="20" fillId="0" borderId="7" xfId="23" applyFont="1" applyFill="1" applyBorder="1" applyAlignment="1" applyProtection="1">
      <alignment horizontal="left" vertical="center" indent="1"/>
    </xf>
    <xf numFmtId="0" fontId="20" fillId="0" borderId="8" xfId="23" applyFont="1" applyFill="1" applyBorder="1" applyAlignment="1" applyProtection="1">
      <alignment horizontal="left" vertical="center" indent="1"/>
    </xf>
    <xf numFmtId="165" fontId="20" fillId="0" borderId="2" xfId="23" applyNumberFormat="1" applyFont="1" applyFill="1" applyBorder="1" applyAlignment="1" applyProtection="1">
      <alignment vertical="center"/>
      <protection locked="0"/>
    </xf>
    <xf numFmtId="0" fontId="10" fillId="0" borderId="0" xfId="23" applyFill="1" applyAlignment="1" applyProtection="1">
      <alignment vertical="center"/>
      <protection locked="0"/>
    </xf>
    <xf numFmtId="165" fontId="18" fillId="0" borderId="14" xfId="23" applyNumberFormat="1" applyFont="1" applyFill="1" applyBorder="1" applyAlignment="1" applyProtection="1">
      <alignment vertical="center"/>
    </xf>
    <xf numFmtId="165" fontId="18" fillId="0" borderId="19" xfId="23" applyNumberFormat="1" applyFont="1" applyFill="1" applyBorder="1" applyAlignment="1" applyProtection="1">
      <alignment vertical="center"/>
    </xf>
    <xf numFmtId="0" fontId="18" fillId="0" borderId="13" xfId="23" applyFont="1" applyFill="1" applyBorder="1" applyAlignment="1" applyProtection="1">
      <alignment horizontal="left" vertical="center" indent="1"/>
    </xf>
    <xf numFmtId="165" fontId="18" fillId="0" borderId="14" xfId="23" applyNumberFormat="1" applyFont="1" applyFill="1" applyBorder="1" applyProtection="1"/>
    <xf numFmtId="165" fontId="18" fillId="0" borderId="19" xfId="23" applyNumberFormat="1" applyFont="1" applyFill="1" applyBorder="1" applyProtection="1"/>
    <xf numFmtId="0" fontId="10" fillId="0" borderId="0" xfId="23" applyFill="1" applyProtection="1">
      <protection locked="0"/>
    </xf>
    <xf numFmtId="0" fontId="13" fillId="0" borderId="0" xfId="23" applyFont="1" applyFill="1" applyProtection="1"/>
    <xf numFmtId="0" fontId="31" fillId="0" borderId="0" xfId="23" applyFont="1" applyFill="1" applyProtection="1">
      <protection locked="0"/>
    </xf>
    <xf numFmtId="0" fontId="21" fillId="0" borderId="0" xfId="23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21" applyFont="1" applyFill="1" applyBorder="1" applyAlignment="1" applyProtection="1">
      <alignment horizontal="left" vertical="center" wrapText="1" indent="1"/>
    </xf>
    <xf numFmtId="165" fontId="25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6" fillId="0" borderId="25" xfId="21" applyFont="1" applyFill="1" applyBorder="1" applyAlignment="1" applyProtection="1">
      <alignment horizontal="left" vertical="center" wrapText="1" indent="1"/>
    </xf>
    <xf numFmtId="0" fontId="20" fillId="0" borderId="2" xfId="21" applyFont="1" applyFill="1" applyBorder="1" applyAlignment="1" applyProtection="1">
      <alignment horizontal="left" indent="6"/>
    </xf>
    <xf numFmtId="0" fontId="20" fillId="0" borderId="2" xfId="21" applyFont="1" applyFill="1" applyBorder="1" applyAlignment="1" applyProtection="1">
      <alignment horizontal="left" vertical="center" wrapText="1" indent="6"/>
    </xf>
    <xf numFmtId="0" fontId="20" fillId="0" borderId="6" xfId="21" applyFont="1" applyFill="1" applyBorder="1" applyAlignment="1" applyProtection="1">
      <alignment horizontal="left" vertical="center" wrapText="1" indent="6"/>
    </xf>
    <xf numFmtId="0" fontId="20" fillId="0" borderId="21" xfId="21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left" vertical="center" wrapText="1"/>
    </xf>
    <xf numFmtId="0" fontId="18" fillId="0" borderId="13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9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6" fillId="0" borderId="8" xfId="0" applyFont="1" applyBorder="1" applyAlignment="1" applyProtection="1">
      <alignment horizontal="right" vertical="center" indent="1"/>
    </xf>
    <xf numFmtId="165" fontId="13" fillId="8" borderId="27" xfId="0" applyNumberFormat="1" applyFont="1" applyFill="1" applyBorder="1" applyAlignment="1" applyProtection="1">
      <alignment horizontal="left" vertical="center" wrapText="1" indent="2"/>
    </xf>
    <xf numFmtId="3" fontId="28" fillId="0" borderId="19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7" fillId="0" borderId="15" xfId="0" applyFont="1" applyFill="1" applyBorder="1" applyAlignment="1" applyProtection="1">
      <alignment vertical="center"/>
    </xf>
    <xf numFmtId="0" fontId="27" fillId="0" borderId="16" xfId="0" applyFont="1" applyFill="1" applyBorder="1" applyAlignment="1" applyProtection="1">
      <alignment horizontal="center" vertical="center"/>
    </xf>
    <xf numFmtId="0" fontId="27" fillId="0" borderId="28" xfId="0" applyFont="1" applyFill="1" applyBorder="1" applyAlignment="1" applyProtection="1">
      <alignment horizontal="center" vertical="center"/>
    </xf>
    <xf numFmtId="49" fontId="26" fillId="0" borderId="11" xfId="0" applyNumberFormat="1" applyFont="1" applyFill="1" applyBorder="1" applyAlignment="1" applyProtection="1">
      <alignment vertical="center"/>
    </xf>
    <xf numFmtId="3" fontId="26" fillId="0" borderId="17" xfId="0" applyNumberFormat="1" applyFont="1" applyFill="1" applyBorder="1" applyAlignment="1" applyProtection="1">
      <alignment vertical="center"/>
    </xf>
    <xf numFmtId="49" fontId="30" fillId="0" borderId="8" xfId="0" quotePrefix="1" applyNumberFormat="1" applyFont="1" applyFill="1" applyBorder="1" applyAlignment="1" applyProtection="1">
      <alignment horizontal="left" vertical="center" indent="1"/>
    </xf>
    <xf numFmtId="3" fontId="30" fillId="0" borderId="18" xfId="0" applyNumberFormat="1" applyFont="1" applyFill="1" applyBorder="1" applyAlignment="1" applyProtection="1">
      <alignment vertical="center"/>
    </xf>
    <xf numFmtId="49" fontId="26" fillId="0" borderId="8" xfId="0" applyNumberFormat="1" applyFont="1" applyFill="1" applyBorder="1" applyAlignment="1" applyProtection="1">
      <alignment vertical="center"/>
    </xf>
    <xf numFmtId="3" fontId="26" fillId="0" borderId="18" xfId="0" applyNumberFormat="1" applyFont="1" applyFill="1" applyBorder="1" applyAlignment="1" applyProtection="1">
      <alignment vertical="center"/>
    </xf>
    <xf numFmtId="49" fontId="27" fillId="0" borderId="13" xfId="0" applyNumberFormat="1" applyFont="1" applyFill="1" applyBorder="1" applyAlignment="1" applyProtection="1">
      <alignment vertical="center"/>
    </xf>
    <xf numFmtId="3" fontId="26" fillId="0" borderId="14" xfId="0" applyNumberFormat="1" applyFont="1" applyFill="1" applyBorder="1" applyAlignment="1" applyProtection="1">
      <alignment vertical="center"/>
    </xf>
    <xf numFmtId="3" fontId="26" fillId="0" borderId="19" xfId="0" applyNumberFormat="1" applyFont="1" applyFill="1" applyBorder="1" applyAlignment="1" applyProtection="1">
      <alignment vertical="center"/>
    </xf>
    <xf numFmtId="49" fontId="26" fillId="0" borderId="8" xfId="0" applyNumberFormat="1" applyFont="1" applyFill="1" applyBorder="1" applyAlignment="1" applyProtection="1">
      <alignment horizontal="left" vertical="center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7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7" fillId="0" borderId="32" xfId="0" applyNumberFormat="1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left" vertical="center" wrapText="1" indent="1"/>
    </xf>
    <xf numFmtId="0" fontId="24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8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20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0" applyNumberFormat="1" applyFont="1" applyFill="1" applyBorder="1" applyAlignment="1" applyProtection="1">
      <alignment horizontal="center" vertical="center" wrapText="1"/>
    </xf>
    <xf numFmtId="0" fontId="20" fillId="0" borderId="2" xfId="23" applyFont="1" applyFill="1" applyBorder="1" applyAlignment="1" applyProtection="1">
      <alignment horizontal="left" vertical="center" indent="1"/>
    </xf>
    <xf numFmtId="0" fontId="20" fillId="0" borderId="3" xfId="23" applyFont="1" applyFill="1" applyBorder="1" applyAlignment="1" applyProtection="1">
      <alignment horizontal="left" vertical="center" wrapText="1" indent="1"/>
    </xf>
    <xf numFmtId="0" fontId="20" fillId="0" borderId="2" xfId="23" applyFont="1" applyFill="1" applyBorder="1" applyAlignment="1" applyProtection="1">
      <alignment horizontal="left" vertical="center" wrapText="1" indent="1"/>
    </xf>
    <xf numFmtId="0" fontId="7" fillId="0" borderId="14" xfId="23" applyFont="1" applyFill="1" applyBorder="1" applyAlignment="1" applyProtection="1">
      <alignment horizontal="left" indent="1"/>
    </xf>
    <xf numFmtId="0" fontId="22" fillId="0" borderId="15" xfId="0" applyFont="1" applyFill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3" fillId="0" borderId="6" xfId="0" applyFont="1" applyBorder="1" applyAlignment="1" applyProtection="1">
      <alignment horizontal="left" vertical="center" wrapText="1" indent="1"/>
    </xf>
    <xf numFmtId="0" fontId="24" fillId="0" borderId="39" xfId="0" applyFont="1" applyBorder="1" applyAlignment="1" applyProtection="1">
      <alignment horizontal="left" vertical="center" wrapText="1" indent="1"/>
    </xf>
    <xf numFmtId="165" fontId="18" fillId="0" borderId="28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21" applyNumberFormat="1" applyFont="1" applyFill="1" applyBorder="1" applyAlignment="1" applyProtection="1">
      <alignment horizontal="right" vertical="center" wrapText="1" indent="1"/>
    </xf>
    <xf numFmtId="165" fontId="6" fillId="0" borderId="0" xfId="21" applyNumberFormat="1" applyFont="1" applyFill="1" applyBorder="1" applyAlignment="1" applyProtection="1">
      <alignment horizontal="right" vertical="center" wrapText="1" indent="1"/>
    </xf>
    <xf numFmtId="165" fontId="20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5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0" applyNumberFormat="1" applyFont="1" applyFill="1" applyBorder="1" applyAlignment="1" applyProtection="1">
      <alignment horizontal="right" vertical="center" wrapText="1" indent="1"/>
    </xf>
    <xf numFmtId="165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0" applyNumberFormat="1" applyFont="1" applyFill="1" applyBorder="1" applyAlignment="1" applyProtection="1">
      <alignment horizontal="right" vertical="center" wrapText="1" indent="1"/>
    </xf>
    <xf numFmtId="165" fontId="2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5" fillId="0" borderId="27" xfId="0" applyNumberFormat="1" applyFont="1" applyFill="1" applyBorder="1" applyAlignment="1" applyProtection="1">
      <alignment horizontal="center" vertical="center" wrapText="1"/>
    </xf>
    <xf numFmtId="165" fontId="25" fillId="0" borderId="13" xfId="0" applyNumberFormat="1" applyFont="1" applyFill="1" applyBorder="1" applyAlignment="1" applyProtection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center" vertical="center" wrapText="1"/>
    </xf>
    <xf numFmtId="165" fontId="25" fillId="0" borderId="19" xfId="0" applyNumberFormat="1" applyFont="1" applyFill="1" applyBorder="1" applyAlignment="1" applyProtection="1">
      <alignment horizontal="center" vertical="center" wrapText="1"/>
    </xf>
    <xf numFmtId="165" fontId="25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20" fillId="0" borderId="8" xfId="0" applyNumberFormat="1" applyFont="1" applyFill="1" applyBorder="1" applyAlignment="1" applyProtection="1">
      <alignment horizontal="left" vertical="center" wrapText="1" indent="1"/>
    </xf>
    <xf numFmtId="165" fontId="20" fillId="0" borderId="43" xfId="0" applyNumberFormat="1" applyFont="1" applyFill="1" applyBorder="1" applyAlignment="1" applyProtection="1">
      <alignment horizontal="left" vertical="center" wrapText="1" indent="1"/>
    </xf>
    <xf numFmtId="165" fontId="28" fillId="0" borderId="27" xfId="0" applyNumberFormat="1" applyFont="1" applyFill="1" applyBorder="1" applyAlignment="1" applyProtection="1">
      <alignment horizontal="left" vertical="center" wrapText="1" indent="1"/>
    </xf>
    <xf numFmtId="165" fontId="26" fillId="0" borderId="7" xfId="0" applyNumberFormat="1" applyFon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1"/>
    </xf>
    <xf numFmtId="165" fontId="30" fillId="0" borderId="2" xfId="0" applyNumberFormat="1" applyFont="1" applyFill="1" applyBorder="1" applyAlignment="1" applyProtection="1">
      <alignment horizontal="right" vertical="center" wrapText="1" indent="1"/>
    </xf>
    <xf numFmtId="165" fontId="28" fillId="0" borderId="13" xfId="0" applyNumberFormat="1" applyFont="1" applyFill="1" applyBorder="1" applyAlignment="1" applyProtection="1">
      <alignment horizontal="left" vertical="center" wrapText="1" indent="1"/>
    </xf>
    <xf numFmtId="165" fontId="28" fillId="0" borderId="44" xfId="0" applyNumberFormat="1" applyFont="1" applyFill="1" applyBorder="1" applyAlignment="1" applyProtection="1">
      <alignment horizontal="right" vertical="center" wrapText="1" indent="1"/>
    </xf>
    <xf numFmtId="165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30" fillId="0" borderId="7" xfId="0" applyNumberFormat="1" applyFont="1" applyFill="1" applyBorder="1" applyAlignment="1" applyProtection="1">
      <alignment horizontal="left" vertical="center" wrapText="1" indent="1"/>
    </xf>
    <xf numFmtId="165" fontId="26" fillId="0" borderId="8" xfId="0" applyNumberFormat="1" applyFont="1" applyFill="1" applyBorder="1" applyAlignment="1" applyProtection="1">
      <alignment horizontal="left" vertical="center" wrapText="1" indent="2"/>
    </xf>
    <xf numFmtId="165" fontId="26" fillId="0" borderId="2" xfId="0" applyNumberFormat="1" applyFont="1" applyFill="1" applyBorder="1" applyAlignment="1" applyProtection="1">
      <alignment horizontal="left" vertical="center" wrapText="1" indent="2"/>
    </xf>
    <xf numFmtId="165" fontId="30" fillId="0" borderId="2" xfId="0" applyNumberFormat="1" applyFont="1" applyFill="1" applyBorder="1" applyAlignment="1" applyProtection="1">
      <alignment horizontal="left" vertical="center" wrapText="1" indent="1"/>
    </xf>
    <xf numFmtId="165" fontId="26" fillId="0" borderId="9" xfId="0" applyNumberFormat="1" applyFont="1" applyFill="1" applyBorder="1" applyAlignment="1" applyProtection="1">
      <alignment horizontal="left" vertical="center" wrapText="1" indent="1"/>
    </xf>
    <xf numFmtId="165" fontId="20" fillId="0" borderId="9" xfId="0" applyNumberFormat="1" applyFont="1" applyFill="1" applyBorder="1" applyAlignment="1" applyProtection="1">
      <alignment horizontal="left" vertical="center" wrapText="1" indent="2"/>
    </xf>
    <xf numFmtId="165" fontId="20" fillId="0" borderId="10" xfId="0" applyNumberFormat="1" applyFont="1" applyFill="1" applyBorder="1" applyAlignment="1" applyProtection="1">
      <alignment horizontal="left" vertical="center" wrapText="1" indent="2"/>
    </xf>
    <xf numFmtId="165" fontId="30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5" fontId="7" fillId="0" borderId="32" xfId="0" applyNumberFormat="1" applyFont="1" applyFill="1" applyBorder="1" applyAlignment="1" applyProtection="1">
      <alignment horizontal="right" vertical="center" wrapText="1" indent="1"/>
    </xf>
    <xf numFmtId="165" fontId="2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5" fontId="18" fillId="0" borderId="44" xfId="0" applyNumberFormat="1" applyFont="1" applyFill="1" applyBorder="1" applyAlignment="1" applyProtection="1">
      <alignment horizontal="right" vertical="center" wrapText="1" indent="1"/>
    </xf>
    <xf numFmtId="165" fontId="18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0" xfId="0" applyFont="1" applyAlignment="1">
      <alignment horizontal="center" wrapText="1"/>
    </xf>
    <xf numFmtId="0" fontId="38" fillId="0" borderId="0" xfId="0" applyFont="1" applyFill="1" applyBorder="1" applyAlignment="1" applyProtection="1">
      <alignment horizontal="right"/>
    </xf>
    <xf numFmtId="0" fontId="28" fillId="0" borderId="15" xfId="0" applyFont="1" applyBorder="1" applyAlignment="1" applyProtection="1">
      <alignment horizontal="center" vertical="center" wrapText="1"/>
    </xf>
    <xf numFmtId="0" fontId="28" fillId="0" borderId="16" xfId="0" applyFont="1" applyBorder="1" applyAlignment="1" applyProtection="1">
      <alignment horizontal="center" vertical="center"/>
    </xf>
    <xf numFmtId="0" fontId="28" fillId="0" borderId="28" xfId="0" applyFont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left" vertical="center" wrapText="1" indent="1"/>
    </xf>
    <xf numFmtId="0" fontId="10" fillId="0" borderId="0" xfId="21" applyFont="1" applyFill="1" applyProtection="1"/>
    <xf numFmtId="0" fontId="10" fillId="0" borderId="0" xfId="21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6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8" fillId="0" borderId="15" xfId="21" applyFont="1" applyFill="1" applyBorder="1" applyAlignment="1" applyProtection="1">
      <alignment horizontal="center" vertical="center" wrapText="1"/>
    </xf>
    <xf numFmtId="0" fontId="18" fillId="0" borderId="16" xfId="21" applyFont="1" applyFill="1" applyBorder="1" applyAlignment="1" applyProtection="1">
      <alignment horizontal="center" vertical="center" wrapText="1"/>
    </xf>
    <xf numFmtId="0" fontId="18" fillId="0" borderId="28" xfId="21" applyFont="1" applyFill="1" applyBorder="1" applyAlignment="1" applyProtection="1">
      <alignment horizontal="center" vertical="center" wrapText="1"/>
    </xf>
    <xf numFmtId="165" fontId="20" fillId="0" borderId="20" xfId="21" applyNumberFormat="1" applyFont="1" applyFill="1" applyBorder="1" applyAlignment="1" applyProtection="1">
      <alignment horizontal="right" vertical="center" wrapText="1" indent="1"/>
    </xf>
    <xf numFmtId="0" fontId="20" fillId="0" borderId="3" xfId="21" applyFont="1" applyFill="1" applyBorder="1" applyAlignment="1" applyProtection="1">
      <alignment horizontal="left" vertical="center" wrapText="1" indent="6"/>
    </xf>
    <xf numFmtId="0" fontId="10" fillId="0" borderId="0" xfId="21" applyFill="1" applyProtection="1"/>
    <xf numFmtId="0" fontId="20" fillId="0" borderId="0" xfId="21" applyFont="1" applyFill="1" applyProtection="1"/>
    <xf numFmtId="0" fontId="13" fillId="0" borderId="0" xfId="21" applyFont="1" applyFill="1" applyProtection="1"/>
    <xf numFmtId="0" fontId="23" fillId="0" borderId="3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horizontal="left" wrapText="1" indent="1"/>
    </xf>
    <xf numFmtId="0" fontId="23" fillId="0" borderId="6" xfId="0" applyFont="1" applyBorder="1" applyAlignment="1" applyProtection="1">
      <alignment wrapText="1"/>
    </xf>
    <xf numFmtId="0" fontId="23" fillId="0" borderId="9" xfId="0" applyFont="1" applyBorder="1" applyAlignment="1" applyProtection="1">
      <alignment wrapText="1"/>
    </xf>
    <xf numFmtId="0" fontId="23" fillId="0" borderId="8" xfId="0" applyFont="1" applyBorder="1" applyAlignment="1" applyProtection="1">
      <alignment wrapText="1"/>
    </xf>
    <xf numFmtId="0" fontId="23" fillId="0" borderId="10" xfId="0" applyFont="1" applyBorder="1" applyAlignment="1" applyProtection="1">
      <alignment wrapText="1"/>
    </xf>
    <xf numFmtId="0" fontId="24" fillId="0" borderId="14" xfId="0" applyFont="1" applyBorder="1" applyAlignment="1" applyProtection="1">
      <alignment wrapText="1"/>
    </xf>
    <xf numFmtId="0" fontId="24" fillId="0" borderId="25" xfId="0" applyFont="1" applyBorder="1" applyAlignment="1" applyProtection="1">
      <alignment wrapText="1"/>
    </xf>
    <xf numFmtId="0" fontId="10" fillId="0" borderId="0" xfId="21" applyFill="1" applyAlignment="1" applyProtection="1"/>
    <xf numFmtId="165" fontId="22" fillId="0" borderId="19" xfId="0" quotePrefix="1" applyNumberFormat="1" applyFont="1" applyBorder="1" applyAlignment="1" applyProtection="1">
      <alignment horizontal="right" vertical="center" wrapText="1" indent="1"/>
    </xf>
    <xf numFmtId="0" fontId="21" fillId="0" borderId="0" xfId="21" applyFont="1" applyFill="1" applyProtection="1"/>
    <xf numFmtId="165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9" xfId="21" applyNumberFormat="1" applyFont="1" applyFill="1" applyBorder="1" applyAlignment="1" applyProtection="1">
      <alignment horizontal="center" vertical="center" wrapText="1"/>
    </xf>
    <xf numFmtId="49" fontId="20" fillId="0" borderId="8" xfId="21" applyNumberFormat="1" applyFont="1" applyFill="1" applyBorder="1" applyAlignment="1" applyProtection="1">
      <alignment horizontal="center" vertical="center" wrapText="1"/>
    </xf>
    <xf numFmtId="49" fontId="20" fillId="0" borderId="10" xfId="21" applyNumberFormat="1" applyFont="1" applyFill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horizontal="center" wrapText="1"/>
    </xf>
    <xf numFmtId="0" fontId="23" fillId="0" borderId="9" xfId="0" applyFont="1" applyBorder="1" applyAlignment="1" applyProtection="1">
      <alignment horizontal="center" wrapText="1"/>
    </xf>
    <xf numFmtId="0" fontId="23" fillId="0" borderId="8" xfId="0" applyFont="1" applyBorder="1" applyAlignment="1" applyProtection="1">
      <alignment horizontal="center" wrapText="1"/>
    </xf>
    <xf numFmtId="0" fontId="23" fillId="0" borderId="10" xfId="0" applyFont="1" applyBorder="1" applyAlignment="1" applyProtection="1">
      <alignment horizontal="center" wrapText="1"/>
    </xf>
    <xf numFmtId="0" fontId="24" fillId="0" borderId="39" xfId="0" applyFont="1" applyBorder="1" applyAlignment="1" applyProtection="1">
      <alignment horizontal="center" wrapText="1"/>
    </xf>
    <xf numFmtId="49" fontId="20" fillId="0" borderId="11" xfId="21" applyNumberFormat="1" applyFont="1" applyFill="1" applyBorder="1" applyAlignment="1" applyProtection="1">
      <alignment horizontal="center" vertical="center" wrapText="1"/>
    </xf>
    <xf numFmtId="49" fontId="20" fillId="0" borderId="7" xfId="21" applyNumberFormat="1" applyFont="1" applyFill="1" applyBorder="1" applyAlignment="1" applyProtection="1">
      <alignment horizontal="center" vertical="center" wrapText="1"/>
    </xf>
    <xf numFmtId="49" fontId="20" fillId="0" borderId="12" xfId="21" applyNumberFormat="1" applyFont="1" applyFill="1" applyBorder="1" applyAlignment="1" applyProtection="1">
      <alignment horizontal="center" vertical="center" wrapText="1"/>
    </xf>
    <xf numFmtId="0" fontId="24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6" fillId="0" borderId="11" xfId="0" applyNumberFormat="1" applyFont="1" applyFill="1" applyBorder="1" applyAlignment="1" applyProtection="1">
      <alignment horizontal="center" vertical="center" wrapText="1"/>
    </xf>
    <xf numFmtId="49" fontId="26" fillId="0" borderId="8" xfId="0" applyNumberFormat="1" applyFont="1" applyFill="1" applyBorder="1" applyAlignment="1" applyProtection="1">
      <alignment horizontal="center" vertical="center" wrapText="1"/>
    </xf>
    <xf numFmtId="49" fontId="26" fillId="0" borderId="9" xfId="0" applyNumberFormat="1" applyFont="1" applyFill="1" applyBorder="1" applyAlignment="1" applyProtection="1">
      <alignment horizontal="center" vertical="center" wrapText="1"/>
    </xf>
    <xf numFmtId="0" fontId="26" fillId="0" borderId="3" xfId="21" applyFont="1" applyFill="1" applyBorder="1" applyAlignment="1" applyProtection="1">
      <alignment horizontal="left" vertical="center" wrapText="1" indent="1"/>
    </xf>
    <xf numFmtId="0" fontId="26" fillId="0" borderId="2" xfId="21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21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1" xfId="23" applyFont="1" applyFill="1" applyBorder="1" applyAlignment="1" applyProtection="1">
      <alignment horizontal="left" vertical="center" wrapText="1" indent="1"/>
    </xf>
    <xf numFmtId="165" fontId="30" fillId="0" borderId="1" xfId="0" applyNumberFormat="1" applyFont="1" applyFill="1" applyBorder="1" applyAlignment="1" applyProtection="1">
      <alignment horizontal="right" vertical="center" wrapText="1" indent="1"/>
    </xf>
    <xf numFmtId="49" fontId="20" fillId="0" borderId="47" xfId="24" applyNumberFormat="1" applyFont="1" applyBorder="1"/>
    <xf numFmtId="0" fontId="20" fillId="0" borderId="48" xfId="24" quotePrefix="1" applyFont="1" applyBorder="1"/>
    <xf numFmtId="49" fontId="20" fillId="0" borderId="48" xfId="24" applyNumberFormat="1" applyFont="1" applyBorder="1"/>
    <xf numFmtId="0" fontId="26" fillId="0" borderId="48" xfId="24" quotePrefix="1" applyFont="1" applyBorder="1"/>
    <xf numFmtId="0" fontId="42" fillId="0" borderId="0" xfId="18"/>
    <xf numFmtId="0" fontId="13" fillId="0" borderId="0" xfId="18" applyFont="1"/>
    <xf numFmtId="0" fontId="50" fillId="0" borderId="0" xfId="18" applyFont="1" applyAlignment="1">
      <alignment horizontal="centerContinuous"/>
    </xf>
    <xf numFmtId="0" fontId="28" fillId="0" borderId="49" xfId="18" applyFont="1" applyBorder="1" applyAlignment="1">
      <alignment horizontal="center" vertical="center" wrapText="1"/>
    </xf>
    <xf numFmtId="0" fontId="42" fillId="0" borderId="0" xfId="18" applyFont="1"/>
    <xf numFmtId="0" fontId="26" fillId="0" borderId="16" xfId="0" applyFont="1" applyBorder="1" applyAlignment="1" applyProtection="1">
      <alignment horizontal="left" vertical="center" indent="1"/>
      <protection locked="0"/>
    </xf>
    <xf numFmtId="0" fontId="26" fillId="0" borderId="3" xfId="0" applyFont="1" applyBorder="1" applyAlignment="1" applyProtection="1">
      <alignment horizontal="left" vertical="center" indent="1"/>
      <protection locked="0"/>
    </xf>
    <xf numFmtId="0" fontId="26" fillId="0" borderId="1" xfId="0" applyFont="1" applyBorder="1" applyAlignment="1" applyProtection="1">
      <alignment horizontal="left" vertical="center" indent="1"/>
      <protection locked="0"/>
    </xf>
    <xf numFmtId="3" fontId="56" fillId="0" borderId="2" xfId="0" applyNumberFormat="1" applyFont="1" applyFill="1" applyBorder="1" applyAlignment="1" applyProtection="1">
      <alignment vertical="center"/>
      <protection locked="0"/>
    </xf>
    <xf numFmtId="3" fontId="56" fillId="0" borderId="18" xfId="0" applyNumberFormat="1" applyFont="1" applyFill="1" applyBorder="1" applyAlignment="1" applyProtection="1">
      <alignment vertical="center"/>
    </xf>
    <xf numFmtId="165" fontId="34" fillId="0" borderId="2" xfId="0" applyNumberFormat="1" applyFont="1" applyFill="1" applyBorder="1" applyAlignment="1" applyProtection="1">
      <alignment vertical="center" wrapText="1"/>
      <protection locked="0"/>
    </xf>
    <xf numFmtId="165" fontId="26" fillId="0" borderId="2" xfId="23" applyNumberFormat="1" applyFont="1" applyFill="1" applyBorder="1" applyAlignment="1" applyProtection="1">
      <alignment vertical="center"/>
      <protection locked="0"/>
    </xf>
    <xf numFmtId="165" fontId="26" fillId="0" borderId="3" xfId="23" applyNumberFormat="1" applyFont="1" applyFill="1" applyBorder="1" applyAlignment="1" applyProtection="1">
      <alignment vertical="center"/>
      <protection locked="0"/>
    </xf>
    <xf numFmtId="0" fontId="23" fillId="0" borderId="2" xfId="0" quotePrefix="1" applyFont="1" applyBorder="1" applyAlignment="1" applyProtection="1">
      <alignment horizontal="left" wrapText="1" indent="1"/>
    </xf>
    <xf numFmtId="0" fontId="18" fillId="0" borderId="13" xfId="21" applyFont="1" applyFill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vertical="center" wrapText="1"/>
    </xf>
    <xf numFmtId="0" fontId="23" fillId="0" borderId="6" xfId="0" applyFont="1" applyBorder="1" applyAlignment="1" applyProtection="1">
      <alignment vertical="center" wrapText="1"/>
    </xf>
    <xf numFmtId="0" fontId="24" fillId="0" borderId="39" xfId="0" applyFont="1" applyBorder="1" applyAlignment="1" applyProtection="1">
      <alignment vertical="center" wrapText="1"/>
    </xf>
    <xf numFmtId="0" fontId="20" fillId="0" borderId="21" xfId="21" applyFont="1" applyFill="1" applyBorder="1" applyAlignment="1" applyProtection="1">
      <alignment horizontal="left" vertical="center" wrapText="1" indent="7"/>
    </xf>
    <xf numFmtId="0" fontId="18" fillId="0" borderId="39" xfId="21" applyFont="1" applyFill="1" applyBorder="1" applyAlignment="1" applyProtection="1">
      <alignment horizontal="left" vertical="center" wrapText="1" indent="1"/>
    </xf>
    <xf numFmtId="0" fontId="18" fillId="0" borderId="25" xfId="21" applyFont="1" applyFill="1" applyBorder="1" applyAlignment="1" applyProtection="1">
      <alignment vertical="center" wrapText="1"/>
    </xf>
    <xf numFmtId="165" fontId="18" fillId="0" borderId="26" xfId="21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6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5" fillId="0" borderId="13" xfId="21" applyNumberFormat="1" applyFont="1" applyFill="1" applyBorder="1" applyAlignment="1" applyProtection="1">
      <alignment horizontal="center" vertical="center" wrapText="1"/>
    </xf>
    <xf numFmtId="0" fontId="16" fillId="0" borderId="0" xfId="18" applyFont="1" applyAlignment="1">
      <alignment horizontal="center"/>
    </xf>
    <xf numFmtId="166" fontId="42" fillId="0" borderId="0" xfId="18" applyNumberFormat="1" applyFont="1"/>
    <xf numFmtId="0" fontId="46" fillId="0" borderId="0" xfId="0" applyFont="1" applyFill="1"/>
    <xf numFmtId="167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9" xfId="21" applyNumberFormat="1" applyFont="1" applyFill="1" applyBorder="1" applyAlignment="1" applyProtection="1">
      <alignment horizontal="right" vertical="center" wrapText="1" indent="1"/>
    </xf>
    <xf numFmtId="165" fontId="59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" xfId="23" applyNumberFormat="1" applyFont="1" applyFill="1" applyBorder="1" applyAlignment="1" applyProtection="1">
      <alignment vertical="center"/>
      <protection locked="0"/>
    </xf>
    <xf numFmtId="165" fontId="2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" xfId="0" applyNumberFormat="1" applyFont="1" applyFill="1" applyBorder="1" applyAlignment="1" applyProtection="1">
      <alignment vertical="center" wrapText="1"/>
      <protection locked="0"/>
    </xf>
    <xf numFmtId="0" fontId="57" fillId="0" borderId="0" xfId="0" applyFont="1" applyFill="1" applyAlignment="1">
      <alignment vertical="center" wrapText="1"/>
    </xf>
    <xf numFmtId="165" fontId="26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0" xfId="0" applyFont="1" applyFill="1" applyAlignment="1" applyProtection="1">
      <alignment vertical="center" wrapText="1"/>
    </xf>
    <xf numFmtId="0" fontId="26" fillId="0" borderId="48" xfId="24" quotePrefix="1" applyFont="1" applyFill="1" applyBorder="1"/>
    <xf numFmtId="165" fontId="56" fillId="0" borderId="36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42" xfId="18" applyFont="1" applyBorder="1" applyAlignment="1">
      <alignment wrapText="1"/>
    </xf>
    <xf numFmtId="0" fontId="60" fillId="0" borderId="2" xfId="0" applyFont="1" applyBorder="1" applyAlignment="1" applyProtection="1">
      <alignment horizontal="left" vertical="center" indent="1"/>
      <protection locked="0"/>
    </xf>
    <xf numFmtId="165" fontId="59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59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2" xfId="18" applyFont="1" applyBorder="1" applyAlignment="1">
      <alignment wrapText="1"/>
    </xf>
    <xf numFmtId="165" fontId="32" fillId="0" borderId="24" xfId="21" applyNumberFormat="1" applyFont="1" applyFill="1" applyBorder="1" applyAlignment="1" applyProtection="1">
      <alignment horizontal="left" vertical="center"/>
    </xf>
    <xf numFmtId="0" fontId="10" fillId="0" borderId="0" xfId="21" applyFill="1"/>
    <xf numFmtId="0" fontId="20" fillId="0" borderId="0" xfId="21" applyFont="1" applyFill="1"/>
    <xf numFmtId="165" fontId="18" fillId="0" borderId="14" xfId="21" applyNumberFormat="1" applyFont="1" applyFill="1" applyBorder="1" applyAlignment="1" applyProtection="1">
      <alignment horizontal="right" vertical="center" wrapText="1" indent="1"/>
    </xf>
    <xf numFmtId="165" fontId="18" fillId="0" borderId="44" xfId="21" applyNumberFormat="1" applyFont="1" applyFill="1" applyBorder="1" applyAlignment="1" applyProtection="1">
      <alignment horizontal="right" vertical="center" wrapText="1" indent="1"/>
    </xf>
    <xf numFmtId="0" fontId="13" fillId="0" borderId="0" xfId="21" applyFont="1" applyFill="1"/>
    <xf numFmtId="165" fontId="20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4" xfId="21" applyNumberFormat="1" applyFont="1" applyFill="1" applyBorder="1" applyAlignment="1" applyProtection="1">
      <alignment horizontal="right" vertical="center" wrapText="1" indent="1"/>
    </xf>
    <xf numFmtId="165" fontId="25" fillId="0" borderId="44" xfId="21" applyNumberFormat="1" applyFont="1" applyFill="1" applyBorder="1" applyAlignment="1" applyProtection="1">
      <alignment horizontal="right" vertical="center" wrapText="1" indent="1"/>
    </xf>
    <xf numFmtId="165" fontId="26" fillId="0" borderId="2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3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44" xfId="2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2" xfId="21" applyFont="1" applyFill="1" applyBorder="1" applyAlignment="1" applyProtection="1">
      <alignment horizontal="center" vertical="center" wrapText="1"/>
    </xf>
    <xf numFmtId="0" fontId="6" fillId="0" borderId="52" xfId="21" applyFont="1" applyFill="1" applyBorder="1" applyAlignment="1" applyProtection="1">
      <alignment vertical="center" wrapText="1"/>
    </xf>
    <xf numFmtId="0" fontId="20" fillId="0" borderId="52" xfId="21" applyFont="1" applyFill="1" applyBorder="1" applyAlignment="1" applyProtection="1">
      <alignment horizontal="right" vertical="center" wrapText="1" indent="1"/>
      <protection locked="0"/>
    </xf>
    <xf numFmtId="165" fontId="18" fillId="0" borderId="53" xfId="21" applyNumberFormat="1" applyFont="1" applyFill="1" applyBorder="1" applyAlignment="1" applyProtection="1">
      <alignment horizontal="right" vertical="center" wrapText="1" indent="1"/>
    </xf>
    <xf numFmtId="165" fontId="20" fillId="0" borderId="54" xfId="21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4" xfId="0" applyNumberFormat="1" applyFont="1" applyBorder="1" applyAlignment="1" applyProtection="1">
      <alignment horizontal="right" vertical="center" wrapText="1" indent="1"/>
    </xf>
    <xf numFmtId="165" fontId="24" fillId="0" borderId="44" xfId="0" applyNumberFormat="1" applyFont="1" applyBorder="1" applyAlignment="1" applyProtection="1">
      <alignment horizontal="right" vertical="center" wrapText="1" indent="1"/>
    </xf>
    <xf numFmtId="165" fontId="24" fillId="0" borderId="14" xfId="0" applyNumberFormat="1" applyFont="1" applyBorder="1" applyAlignment="1" applyProtection="1">
      <alignment horizontal="right" vertical="center" wrapText="1" indent="1"/>
      <protection locked="0"/>
    </xf>
    <xf numFmtId="165" fontId="22" fillId="0" borderId="14" xfId="0" quotePrefix="1" applyNumberFormat="1" applyFont="1" applyBorder="1" applyAlignment="1" applyProtection="1">
      <alignment horizontal="right" vertical="center" wrapText="1" indent="1"/>
    </xf>
    <xf numFmtId="165" fontId="22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1" applyFont="1" applyFill="1"/>
    <xf numFmtId="165" fontId="18" fillId="0" borderId="13" xfId="0" applyNumberFormat="1" applyFont="1" applyFill="1" applyBorder="1" applyAlignment="1" applyProtection="1">
      <alignment horizontal="center" vertical="center" wrapText="1"/>
    </xf>
    <xf numFmtId="165" fontId="18" fillId="0" borderId="14" xfId="0" applyNumberFormat="1" applyFont="1" applyFill="1" applyBorder="1" applyAlignment="1" applyProtection="1">
      <alignment horizontal="center" vertical="center" wrapText="1"/>
    </xf>
    <xf numFmtId="165" fontId="57" fillId="0" borderId="0" xfId="0" applyNumberFormat="1" applyFont="1" applyFill="1" applyAlignment="1">
      <alignment horizontal="center" vertical="center" wrapText="1"/>
    </xf>
    <xf numFmtId="0" fontId="13" fillId="0" borderId="41" xfId="18" applyFont="1" applyBorder="1" applyAlignment="1">
      <alignment wrapText="1"/>
    </xf>
    <xf numFmtId="0" fontId="42" fillId="0" borderId="57" xfId="18" applyFont="1" applyBorder="1"/>
    <xf numFmtId="3" fontId="28" fillId="0" borderId="58" xfId="18" applyNumberFormat="1" applyFont="1" applyBorder="1" applyAlignment="1">
      <alignment horizontal="center" vertical="center" wrapText="1"/>
    </xf>
    <xf numFmtId="3" fontId="37" fillId="0" borderId="51" xfId="18" applyNumberFormat="1" applyFont="1" applyBorder="1" applyAlignment="1">
      <alignment horizontal="right" indent="2"/>
    </xf>
    <xf numFmtId="3" fontId="42" fillId="0" borderId="32" xfId="18" applyNumberFormat="1" applyBorder="1" applyAlignment="1">
      <alignment horizontal="right" indent="2"/>
    </xf>
    <xf numFmtId="166" fontId="51" fillId="0" borderId="45" xfId="18" applyNumberFormat="1" applyFont="1" applyBorder="1" applyAlignment="1">
      <alignment horizontal="center"/>
    </xf>
    <xf numFmtId="0" fontId="28" fillId="0" borderId="59" xfId="18" applyFont="1" applyBorder="1" applyAlignment="1">
      <alignment horizontal="left" vertical="center" wrapText="1"/>
    </xf>
    <xf numFmtId="0" fontId="21" fillId="0" borderId="41" xfId="18" applyFont="1" applyBorder="1" applyAlignment="1">
      <alignment wrapText="1"/>
    </xf>
    <xf numFmtId="0" fontId="10" fillId="0" borderId="42" xfId="18" applyFont="1" applyBorder="1" applyAlignment="1">
      <alignment wrapText="1"/>
    </xf>
    <xf numFmtId="0" fontId="13" fillId="0" borderId="42" xfId="18" applyFont="1" applyBorder="1"/>
    <xf numFmtId="0" fontId="13" fillId="0" borderId="38" xfId="18" applyFont="1" applyBorder="1"/>
    <xf numFmtId="165" fontId="18" fillId="0" borderId="27" xfId="21" applyNumberFormat="1" applyFont="1" applyFill="1" applyBorder="1" applyAlignment="1" applyProtection="1">
      <alignment horizontal="right" vertical="center" wrapText="1" indent="1"/>
    </xf>
    <xf numFmtId="165" fontId="56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1" xfId="21" applyNumberFormat="1" applyFont="1" applyFill="1" applyBorder="1" applyAlignment="1" applyProtection="1">
      <alignment horizontal="right" vertical="center" wrapText="1" indent="1"/>
    </xf>
    <xf numFmtId="165" fontId="26" fillId="0" borderId="58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54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20" xfId="21" applyNumberFormat="1" applyFont="1" applyFill="1" applyBorder="1" applyAlignment="1" applyProtection="1">
      <alignment horizontal="right" vertical="center" wrapText="1" indent="1"/>
    </xf>
    <xf numFmtId="165" fontId="26" fillId="0" borderId="18" xfId="21" applyNumberFormat="1" applyFont="1" applyFill="1" applyBorder="1" applyAlignment="1" applyProtection="1">
      <alignment horizontal="right" vertical="center" wrapText="1" indent="1"/>
    </xf>
    <xf numFmtId="165" fontId="26" fillId="0" borderId="23" xfId="21" applyNumberFormat="1" applyFont="1" applyFill="1" applyBorder="1" applyAlignment="1" applyProtection="1">
      <alignment horizontal="right" vertical="center" wrapText="1" indent="1"/>
    </xf>
    <xf numFmtId="0" fontId="26" fillId="0" borderId="8" xfId="24" applyFont="1" applyBorder="1" applyAlignment="1">
      <alignment horizontal="left"/>
    </xf>
    <xf numFmtId="165" fontId="18" fillId="0" borderId="14" xfId="0" applyNumberFormat="1" applyFont="1" applyFill="1" applyBorder="1" applyAlignment="1" applyProtection="1">
      <alignment vertical="center" wrapText="1"/>
    </xf>
    <xf numFmtId="165" fontId="18" fillId="7" borderId="14" xfId="0" applyNumberFormat="1" applyFont="1" applyFill="1" applyBorder="1" applyAlignment="1" applyProtection="1">
      <alignment vertical="center" wrapText="1"/>
    </xf>
    <xf numFmtId="165" fontId="18" fillId="0" borderId="19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7" fillId="0" borderId="35" xfId="21" applyFont="1" applyFill="1" applyBorder="1" applyAlignment="1" applyProtection="1">
      <alignment horizontal="center" vertical="center" wrapText="1"/>
    </xf>
    <xf numFmtId="0" fontId="18" fillId="0" borderId="68" xfId="21" applyFont="1" applyFill="1" applyBorder="1" applyAlignment="1" applyProtection="1">
      <alignment horizontal="center" vertical="center" wrapText="1"/>
    </xf>
    <xf numFmtId="165" fontId="18" fillId="0" borderId="68" xfId="21" applyNumberFormat="1" applyFont="1" applyFill="1" applyBorder="1" applyAlignment="1" applyProtection="1">
      <alignment horizontal="right" vertical="center" wrapText="1" indent="1"/>
    </xf>
    <xf numFmtId="165" fontId="20" fillId="0" borderId="64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5" xfId="21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68" xfId="21" applyNumberFormat="1" applyFont="1" applyFill="1" applyBorder="1" applyAlignment="1" applyProtection="1">
      <alignment horizontal="right" vertical="center" wrapText="1" indent="1"/>
    </xf>
    <xf numFmtId="165" fontId="26" fillId="0" borderId="50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5" xfId="21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64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8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69" xfId="21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37" xfId="21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44" xfId="0" applyNumberFormat="1" applyFont="1" applyFill="1" applyBorder="1" applyAlignment="1" applyProtection="1">
      <alignment horizontal="right" vertical="center" wrapText="1" indent="1"/>
    </xf>
    <xf numFmtId="165" fontId="26" fillId="0" borderId="0" xfId="21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62" xfId="21" applyNumberFormat="1" applyFont="1" applyFill="1" applyBorder="1" applyAlignment="1" applyProtection="1">
      <alignment horizontal="right" vertical="center" wrapText="1" indent="1"/>
    </xf>
    <xf numFmtId="165" fontId="18" fillId="0" borderId="70" xfId="21" applyNumberFormat="1" applyFont="1" applyFill="1" applyBorder="1" applyAlignment="1" applyProtection="1">
      <alignment horizontal="right" vertical="center" wrapText="1" indent="1"/>
    </xf>
    <xf numFmtId="165" fontId="20" fillId="0" borderId="18" xfId="21" applyNumberFormat="1" applyFont="1" applyFill="1" applyBorder="1" applyAlignment="1" applyProtection="1">
      <alignment horizontal="right" vertical="center" wrapText="1" indent="1"/>
    </xf>
    <xf numFmtId="165" fontId="20" fillId="0" borderId="23" xfId="21" applyNumberFormat="1" applyFont="1" applyFill="1" applyBorder="1" applyAlignment="1" applyProtection="1">
      <alignment horizontal="right" vertical="center" wrapText="1" indent="1"/>
    </xf>
    <xf numFmtId="165" fontId="20" fillId="0" borderId="19" xfId="21" applyNumberFormat="1" applyFont="1" applyFill="1" applyBorder="1" applyAlignment="1" applyProtection="1">
      <alignment horizontal="right" vertical="center" wrapText="1" indent="1"/>
    </xf>
    <xf numFmtId="165" fontId="18" fillId="0" borderId="19" xfId="21" applyNumberFormat="1" applyFont="1" applyFill="1" applyBorder="1" applyAlignment="1" applyProtection="1">
      <alignment horizontal="center" vertical="center" wrapText="1"/>
    </xf>
    <xf numFmtId="165" fontId="20" fillId="0" borderId="18" xfId="21" applyNumberFormat="1" applyFont="1" applyFill="1" applyBorder="1" applyAlignment="1" applyProtection="1">
      <alignment horizontal="center" vertical="center" wrapText="1"/>
    </xf>
    <xf numFmtId="165" fontId="20" fillId="0" borderId="20" xfId="21" applyNumberFormat="1" applyFont="1" applyFill="1" applyBorder="1" applyAlignment="1" applyProtection="1">
      <alignment horizontal="center" vertical="center" wrapText="1"/>
    </xf>
    <xf numFmtId="165" fontId="20" fillId="0" borderId="23" xfId="21" applyNumberFormat="1" applyFont="1" applyFill="1" applyBorder="1" applyAlignment="1" applyProtection="1">
      <alignment horizontal="center" vertical="center" wrapText="1"/>
    </xf>
    <xf numFmtId="165" fontId="20" fillId="0" borderId="19" xfId="21" applyNumberFormat="1" applyFont="1" applyFill="1" applyBorder="1" applyAlignment="1" applyProtection="1">
      <alignment horizontal="center" vertical="center" wrapText="1"/>
    </xf>
    <xf numFmtId="0" fontId="3" fillId="0" borderId="0" xfId="21" applyFont="1" applyFill="1" applyAlignment="1" applyProtection="1">
      <alignment horizontal="right" vertical="center" indent="1"/>
    </xf>
    <xf numFmtId="165" fontId="26" fillId="0" borderId="18" xfId="21" applyNumberFormat="1" applyFont="1" applyFill="1" applyBorder="1" applyAlignment="1" applyProtection="1">
      <alignment horizontal="center" vertical="center" wrapText="1"/>
    </xf>
    <xf numFmtId="165" fontId="10" fillId="0" borderId="0" xfId="21" applyNumberFormat="1" applyFill="1" applyProtection="1"/>
    <xf numFmtId="165" fontId="15" fillId="0" borderId="38" xfId="0" applyNumberFormat="1" applyFont="1" applyFill="1" applyBorder="1" applyAlignment="1" applyProtection="1">
      <alignment horizontal="left" vertical="center" wrapText="1" indent="1"/>
    </xf>
    <xf numFmtId="165" fontId="15" fillId="0" borderId="42" xfId="0" applyNumberFormat="1" applyFont="1" applyFill="1" applyBorder="1" applyAlignment="1" applyProtection="1">
      <alignment horizontal="left" vertical="center" wrapText="1" indent="1"/>
    </xf>
    <xf numFmtId="165" fontId="15" fillId="0" borderId="0" xfId="0" applyNumberFormat="1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64" fillId="0" borderId="0" xfId="0" applyFont="1" applyAlignment="1" applyProtection="1">
      <alignment horizontal="right" vertical="top"/>
    </xf>
    <xf numFmtId="49" fontId="65" fillId="0" borderId="17" xfId="0" applyNumberFormat="1" applyFont="1" applyFill="1" applyBorder="1" applyAlignment="1" applyProtection="1">
      <alignment horizontal="right" vertical="center"/>
    </xf>
    <xf numFmtId="49" fontId="65" fillId="0" borderId="45" xfId="0" applyNumberFormat="1" applyFont="1" applyFill="1" applyBorder="1" applyAlignment="1" applyProtection="1">
      <alignment horizontal="right" vertical="center"/>
    </xf>
    <xf numFmtId="0" fontId="66" fillId="0" borderId="0" xfId="0" applyFont="1" applyFill="1" applyAlignment="1" applyProtection="1">
      <alignment horizontal="right"/>
    </xf>
    <xf numFmtId="0" fontId="65" fillId="0" borderId="28" xfId="0" applyFont="1" applyFill="1" applyBorder="1" applyAlignment="1" applyProtection="1">
      <alignment horizontal="center" vertical="center" wrapText="1"/>
    </xf>
    <xf numFmtId="0" fontId="67" fillId="0" borderId="19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vertical="center" wrapText="1"/>
    </xf>
    <xf numFmtId="3" fontId="20" fillId="0" borderId="0" xfId="10" quotePrefix="1" applyNumberFormat="1" applyFont="1" applyBorder="1" applyAlignment="1">
      <alignment horizontal="right"/>
    </xf>
    <xf numFmtId="166" fontId="8" fillId="0" borderId="0" xfId="10" applyNumberFormat="1" applyFont="1" applyAlignment="1">
      <alignment horizontal="center"/>
    </xf>
    <xf numFmtId="166" fontId="13" fillId="0" borderId="0" xfId="10" applyNumberFormat="1" applyFont="1"/>
    <xf numFmtId="166" fontId="3" fillId="0" borderId="0" xfId="10" applyNumberFormat="1" applyFont="1"/>
    <xf numFmtId="166" fontId="44" fillId="0" borderId="0" xfId="10" applyNumberFormat="1" applyFont="1" applyAlignment="1">
      <alignment horizontal="centerContinuous"/>
    </xf>
    <xf numFmtId="166" fontId="8" fillId="0" borderId="0" xfId="10" applyNumberFormat="1" applyFont="1" applyAlignment="1">
      <alignment horizontal="right"/>
    </xf>
    <xf numFmtId="166" fontId="6" fillId="0" borderId="27" xfId="10" applyNumberFormat="1" applyFont="1" applyBorder="1" applyAlignment="1">
      <alignment horizontal="center" vertical="center"/>
    </xf>
    <xf numFmtId="166" fontId="6" fillId="0" borderId="48" xfId="10" applyNumberFormat="1" applyFont="1" applyBorder="1"/>
    <xf numFmtId="166" fontId="3" fillId="0" borderId="72" xfId="10" quotePrefix="1" applyNumberFormat="1" applyFont="1" applyBorder="1"/>
    <xf numFmtId="166" fontId="3" fillId="0" borderId="36" xfId="10" quotePrefix="1" applyNumberFormat="1" applyFont="1" applyBorder="1"/>
    <xf numFmtId="166" fontId="10" fillId="0" borderId="36" xfId="10" applyNumberFormat="1" applyFont="1" applyBorder="1"/>
    <xf numFmtId="166" fontId="15" fillId="0" borderId="36" xfId="10" applyNumberFormat="1" applyFont="1" applyBorder="1" applyAlignment="1"/>
    <xf numFmtId="166" fontId="13" fillId="0" borderId="0" xfId="10" applyNumberFormat="1" applyFont="1" applyBorder="1" applyAlignment="1"/>
    <xf numFmtId="166" fontId="13" fillId="0" borderId="0" xfId="10" applyNumberFormat="1" applyFont="1" applyBorder="1"/>
    <xf numFmtId="166" fontId="45" fillId="0" borderId="0" xfId="10" applyNumberFormat="1" applyFont="1" applyBorder="1" applyAlignment="1"/>
    <xf numFmtId="166" fontId="6" fillId="0" borderId="72" xfId="10" applyNumberFormat="1" applyFont="1" applyBorder="1"/>
    <xf numFmtId="166" fontId="6" fillId="0" borderId="36" xfId="10" applyNumberFormat="1" applyFont="1" applyBorder="1"/>
    <xf numFmtId="166" fontId="4" fillId="0" borderId="36" xfId="10" applyNumberFormat="1" applyFont="1" applyBorder="1"/>
    <xf numFmtId="166" fontId="6" fillId="0" borderId="29" xfId="10" applyNumberFormat="1" applyFont="1" applyBorder="1"/>
    <xf numFmtId="166" fontId="6" fillId="0" borderId="73" xfId="10" applyNumberFormat="1" applyFont="1" applyBorder="1"/>
    <xf numFmtId="166" fontId="6" fillId="0" borderId="54" xfId="10" applyNumberFormat="1" applyFont="1" applyBorder="1"/>
    <xf numFmtId="166" fontId="4" fillId="0" borderId="54" xfId="10" applyNumberFormat="1" applyFont="1" applyBorder="1"/>
    <xf numFmtId="49" fontId="26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72" fillId="0" borderId="2" xfId="0" applyNumberFormat="1" applyFont="1" applyFill="1" applyBorder="1" applyAlignment="1" applyProtection="1">
      <alignment vertical="center"/>
      <protection locked="0"/>
    </xf>
    <xf numFmtId="3" fontId="72" fillId="0" borderId="18" xfId="0" applyNumberFormat="1" applyFont="1" applyFill="1" applyBorder="1" applyAlignment="1" applyProtection="1">
      <alignment vertical="center"/>
    </xf>
    <xf numFmtId="0" fontId="13" fillId="0" borderId="0" xfId="25" applyFont="1"/>
    <xf numFmtId="0" fontId="42" fillId="0" borderId="0" xfId="25"/>
    <xf numFmtId="0" fontId="49" fillId="0" borderId="0" xfId="25" applyFont="1" applyAlignment="1">
      <alignment horizontal="centerContinuous"/>
    </xf>
    <xf numFmtId="0" fontId="49" fillId="0" borderId="0" xfId="22" applyFont="1" applyAlignment="1">
      <alignment horizontal="centerContinuous"/>
    </xf>
    <xf numFmtId="0" fontId="48" fillId="0" borderId="0" xfId="25" applyFont="1" applyAlignment="1">
      <alignment horizontal="centerContinuous"/>
    </xf>
    <xf numFmtId="0" fontId="48" fillId="0" borderId="0" xfId="22" applyFont="1" applyFill="1" applyAlignment="1">
      <alignment horizontal="centerContinuous"/>
    </xf>
    <xf numFmtId="0" fontId="44" fillId="0" borderId="0" xfId="25" applyFont="1" applyAlignment="1">
      <alignment horizontal="centerContinuous"/>
    </xf>
    <xf numFmtId="0" fontId="55" fillId="0" borderId="0" xfId="25" applyFont="1" applyAlignment="1">
      <alignment horizontal="right"/>
    </xf>
    <xf numFmtId="0" fontId="18" fillId="0" borderId="2" xfId="25" applyFont="1" applyBorder="1" applyAlignment="1">
      <alignment horizontal="center"/>
    </xf>
    <xf numFmtId="0" fontId="18" fillId="0" borderId="18" xfId="25" applyFont="1" applyBorder="1" applyAlignment="1">
      <alignment horizontal="center"/>
    </xf>
    <xf numFmtId="0" fontId="26" fillId="0" borderId="8" xfId="25" applyFont="1" applyBorder="1" applyAlignment="1">
      <alignment horizontal="left"/>
    </xf>
    <xf numFmtId="0" fontId="42" fillId="0" borderId="0" xfId="25" applyFont="1"/>
    <xf numFmtId="3" fontId="42" fillId="0" borderId="0" xfId="25" applyNumberFormat="1"/>
    <xf numFmtId="0" fontId="58" fillId="0" borderId="0" xfId="25" applyFont="1"/>
    <xf numFmtId="0" fontId="44" fillId="0" borderId="0" xfId="25" applyFont="1" applyAlignment="1">
      <alignment horizontal="left"/>
    </xf>
    <xf numFmtId="0" fontId="13" fillId="0" borderId="0" xfId="25" applyFont="1" applyBorder="1"/>
    <xf numFmtId="0" fontId="20" fillId="0" borderId="61" xfId="25" applyFont="1" applyBorder="1"/>
    <xf numFmtId="0" fontId="18" fillId="0" borderId="0" xfId="25" applyFont="1" applyBorder="1" applyAlignment="1">
      <alignment horizontal="left"/>
    </xf>
    <xf numFmtId="0" fontId="42" fillId="0" borderId="0" xfId="25" applyBorder="1" applyAlignment="1">
      <alignment horizontal="left"/>
    </xf>
    <xf numFmtId="0" fontId="18" fillId="0" borderId="38" xfId="25" applyFont="1" applyBorder="1" applyAlignment="1">
      <alignment horizontal="center"/>
    </xf>
    <xf numFmtId="0" fontId="18" fillId="0" borderId="0" xfId="25" applyFont="1" applyBorder="1" applyAlignment="1">
      <alignment horizontal="center"/>
    </xf>
    <xf numFmtId="0" fontId="18" fillId="0" borderId="74" xfId="25" applyFont="1" applyBorder="1" applyAlignment="1">
      <alignment horizontal="center"/>
    </xf>
    <xf numFmtId="14" fontId="18" fillId="0" borderId="26" xfId="25" applyNumberFormat="1" applyFont="1" applyBorder="1" applyAlignment="1">
      <alignment horizontal="center"/>
    </xf>
    <xf numFmtId="3" fontId="20" fillId="0" borderId="0" xfId="25" applyNumberFormat="1" applyFont="1" applyBorder="1"/>
    <xf numFmtId="168" fontId="26" fillId="0" borderId="18" xfId="25" applyNumberFormat="1" applyFont="1" applyFill="1" applyBorder="1"/>
    <xf numFmtId="2" fontId="26" fillId="0" borderId="18" xfId="25" applyNumberFormat="1" applyFont="1" applyFill="1" applyBorder="1"/>
    <xf numFmtId="168" fontId="26" fillId="0" borderId="23" xfId="25" applyNumberFormat="1" applyFont="1" applyFill="1" applyBorder="1"/>
    <xf numFmtId="0" fontId="20" fillId="0" borderId="30" xfId="25" applyFont="1" applyBorder="1"/>
    <xf numFmtId="0" fontId="20" fillId="0" borderId="0" xfId="25" applyFont="1" applyBorder="1"/>
    <xf numFmtId="0" fontId="28" fillId="0" borderId="34" xfId="25" applyFont="1" applyBorder="1"/>
    <xf numFmtId="2" fontId="18" fillId="0" borderId="27" xfId="25" applyNumberFormat="1" applyFont="1" applyBorder="1"/>
    <xf numFmtId="3" fontId="18" fillId="0" borderId="0" xfId="25" applyNumberFormat="1" applyFont="1" applyBorder="1"/>
    <xf numFmtId="0" fontId="28" fillId="0" borderId="27" xfId="25" applyFont="1" applyBorder="1"/>
    <xf numFmtId="0" fontId="26" fillId="0" borderId="43" xfId="25" applyFont="1" applyBorder="1"/>
    <xf numFmtId="0" fontId="26" fillId="0" borderId="30" xfId="25" applyFont="1" applyBorder="1"/>
    <xf numFmtId="168" fontId="20" fillId="0" borderId="23" xfId="25" applyNumberFormat="1" applyFont="1" applyFill="1" applyBorder="1"/>
    <xf numFmtId="0" fontId="4" fillId="0" borderId="29" xfId="25" applyFont="1" applyBorder="1"/>
    <xf numFmtId="2" fontId="18" fillId="0" borderId="22" xfId="25" applyNumberFormat="1" applyFont="1" applyBorder="1"/>
    <xf numFmtId="0" fontId="38" fillId="0" borderId="34" xfId="25" applyFont="1" applyBorder="1"/>
    <xf numFmtId="2" fontId="24" fillId="0" borderId="27" xfId="25" applyNumberFormat="1" applyFont="1" applyBorder="1"/>
    <xf numFmtId="0" fontId="3" fillId="0" borderId="0" xfId="20" applyFont="1"/>
    <xf numFmtId="0" fontId="42" fillId="0" borderId="0" xfId="20"/>
    <xf numFmtId="0" fontId="8" fillId="0" borderId="0" xfId="20" applyFont="1" applyAlignment="1">
      <alignment horizontal="center"/>
    </xf>
    <xf numFmtId="0" fontId="44" fillId="0" borderId="0" xfId="20" applyFont="1" applyAlignment="1">
      <alignment horizontal="centerContinuous"/>
    </xf>
    <xf numFmtId="0" fontId="6" fillId="0" borderId="63" xfId="20" applyFont="1" applyBorder="1" applyAlignment="1">
      <alignment vertical="center"/>
    </xf>
    <xf numFmtId="0" fontId="3" fillId="0" borderId="52" xfId="20" applyFont="1" applyBorder="1" applyAlignment="1">
      <alignment vertical="center"/>
    </xf>
    <xf numFmtId="0" fontId="3" fillId="0" borderId="53" xfId="20" applyFont="1" applyBorder="1" applyAlignment="1">
      <alignment vertical="center"/>
    </xf>
    <xf numFmtId="0" fontId="42" fillId="0" borderId="0" xfId="20" applyAlignment="1">
      <alignment vertical="center"/>
    </xf>
    <xf numFmtId="0" fontId="42" fillId="0" borderId="0" xfId="20" applyFill="1" applyBorder="1"/>
    <xf numFmtId="0" fontId="42" fillId="0" borderId="0" xfId="20" applyBorder="1"/>
    <xf numFmtId="0" fontId="13" fillId="0" borderId="48" xfId="20" applyFont="1" applyBorder="1" applyAlignment="1">
      <alignment horizontal="left"/>
    </xf>
    <xf numFmtId="0" fontId="13" fillId="0" borderId="72" xfId="20" applyFont="1" applyBorder="1"/>
    <xf numFmtId="0" fontId="13" fillId="0" borderId="36" xfId="20" applyFont="1" applyBorder="1"/>
    <xf numFmtId="0" fontId="13" fillId="0" borderId="0" xfId="20" applyFont="1" applyBorder="1"/>
    <xf numFmtId="0" fontId="15" fillId="0" borderId="48" xfId="20" applyFont="1" applyBorder="1"/>
    <xf numFmtId="0" fontId="46" fillId="0" borderId="36" xfId="20" applyFont="1" applyBorder="1"/>
    <xf numFmtId="0" fontId="15" fillId="0" borderId="41" xfId="18" applyFont="1" applyBorder="1" applyAlignment="1">
      <alignment horizontal="left" vertical="center" wrapText="1"/>
    </xf>
    <xf numFmtId="0" fontId="15" fillId="0" borderId="41" xfId="18" applyFont="1" applyBorder="1" applyAlignment="1">
      <alignment wrapText="1"/>
    </xf>
    <xf numFmtId="3" fontId="37" fillId="0" borderId="51" xfId="10" applyNumberFormat="1" applyFont="1" applyBorder="1" applyAlignment="1">
      <alignment horizontal="right" indent="2"/>
    </xf>
    <xf numFmtId="3" fontId="33" fillId="0" borderId="51" xfId="10" applyNumberFormat="1" applyFont="1" applyBorder="1" applyAlignment="1">
      <alignment horizontal="right" indent="2"/>
    </xf>
    <xf numFmtId="0" fontId="15" fillId="0" borderId="42" xfId="18" applyFont="1" applyBorder="1"/>
    <xf numFmtId="3" fontId="33" fillId="0" borderId="32" xfId="10" applyNumberFormat="1" applyFont="1" applyBorder="1" applyAlignment="1">
      <alignment horizontal="right" indent="2"/>
    </xf>
    <xf numFmtId="3" fontId="37" fillId="0" borderId="36" xfId="10" applyNumberFormat="1" applyFont="1" applyBorder="1" applyAlignment="1">
      <alignment horizontal="right" indent="2"/>
    </xf>
    <xf numFmtId="166" fontId="42" fillId="0" borderId="0" xfId="18" applyNumberFormat="1"/>
    <xf numFmtId="0" fontId="42" fillId="0" borderId="0" xfId="19"/>
    <xf numFmtId="0" fontId="20" fillId="0" borderId="0" xfId="19" applyFont="1"/>
    <xf numFmtId="0" fontId="18" fillId="0" borderId="0" xfId="19" applyFont="1"/>
    <xf numFmtId="0" fontId="68" fillId="0" borderId="0" xfId="19" applyFont="1"/>
    <xf numFmtId="0" fontId="13" fillId="0" borderId="0" xfId="19" applyFont="1"/>
    <xf numFmtId="0" fontId="26" fillId="0" borderId="0" xfId="19" applyFont="1"/>
    <xf numFmtId="0" fontId="19" fillId="0" borderId="0" xfId="19" applyFont="1" applyAlignment="1">
      <alignment horizontal="right"/>
    </xf>
    <xf numFmtId="49" fontId="44" fillId="0" borderId="0" xfId="19" applyNumberFormat="1" applyFont="1" applyAlignment="1">
      <alignment horizontal="centerContinuous"/>
    </xf>
    <xf numFmtId="0" fontId="20" fillId="0" borderId="0" xfId="19" applyFont="1" applyAlignment="1">
      <alignment horizontal="centerContinuous"/>
    </xf>
    <xf numFmtId="0" fontId="18" fillId="0" borderId="0" xfId="19" applyFont="1" applyAlignment="1">
      <alignment horizontal="centerContinuous"/>
    </xf>
    <xf numFmtId="0" fontId="13" fillId="0" borderId="0" xfId="19" applyFont="1" applyAlignment="1">
      <alignment horizontal="centerContinuous"/>
    </xf>
    <xf numFmtId="0" fontId="4" fillId="0" borderId="0" xfId="19" applyFont="1" applyAlignment="1">
      <alignment horizontal="centerContinuous"/>
    </xf>
    <xf numFmtId="0" fontId="44" fillId="0" borderId="0" xfId="19" applyFont="1" applyAlignment="1">
      <alignment horizontal="centerContinuous"/>
    </xf>
    <xf numFmtId="0" fontId="52" fillId="0" borderId="0" xfId="19" applyFont="1" applyAlignment="1">
      <alignment horizontal="centerContinuous"/>
    </xf>
    <xf numFmtId="0" fontId="6" fillId="0" borderId="63" xfId="19" applyFont="1" applyBorder="1"/>
    <xf numFmtId="0" fontId="6" fillId="0" borderId="52" xfId="19" applyFont="1" applyBorder="1" applyAlignment="1">
      <alignment horizontal="center"/>
    </xf>
    <xf numFmtId="0" fontId="32" fillId="0" borderId="43" xfId="19" applyFont="1" applyBorder="1" applyAlignment="1">
      <alignment horizontal="center"/>
    </xf>
    <xf numFmtId="0" fontId="7" fillId="0" borderId="10" xfId="19" applyFont="1" applyBorder="1" applyAlignment="1">
      <alignment horizontal="center"/>
    </xf>
    <xf numFmtId="0" fontId="7" fillId="0" borderId="6" xfId="19" applyFont="1" applyBorder="1" applyAlignment="1">
      <alignment horizontal="center"/>
    </xf>
    <xf numFmtId="0" fontId="7" fillId="0" borderId="23" xfId="19" applyFont="1" applyBorder="1" applyAlignment="1">
      <alignment horizontal="center"/>
    </xf>
    <xf numFmtId="0" fontId="7" fillId="0" borderId="38" xfId="19" applyFont="1" applyBorder="1" applyAlignment="1">
      <alignment horizontal="center"/>
    </xf>
    <xf numFmtId="0" fontId="17" fillId="0" borderId="60" xfId="19" applyFont="1" applyBorder="1"/>
    <xf numFmtId="0" fontId="7" fillId="0" borderId="7" xfId="19" applyFont="1" applyBorder="1" applyAlignment="1">
      <alignment horizontal="center"/>
    </xf>
    <xf numFmtId="0" fontId="7" fillId="0" borderId="1" xfId="19" applyFont="1" applyBorder="1" applyAlignment="1">
      <alignment horizontal="center"/>
    </xf>
    <xf numFmtId="0" fontId="7" fillId="0" borderId="40" xfId="19" applyFont="1" applyBorder="1" applyAlignment="1">
      <alignment horizontal="center"/>
    </xf>
    <xf numFmtId="0" fontId="7" fillId="0" borderId="0" xfId="19" applyFont="1" applyBorder="1" applyAlignment="1">
      <alignment horizontal="center"/>
    </xf>
    <xf numFmtId="3" fontId="34" fillId="0" borderId="56" xfId="19" applyNumberFormat="1" applyFont="1" applyBorder="1" applyAlignment="1">
      <alignment horizontal="center"/>
    </xf>
    <xf numFmtId="3" fontId="34" fillId="0" borderId="4" xfId="19" applyNumberFormat="1" applyFont="1" applyBorder="1" applyAlignment="1">
      <alignment horizontal="center"/>
    </xf>
    <xf numFmtId="3" fontId="34" fillId="0" borderId="4" xfId="19" applyNumberFormat="1" applyFont="1" applyBorder="1" applyAlignment="1">
      <alignment horizontal="right"/>
    </xf>
    <xf numFmtId="3" fontId="7" fillId="0" borderId="17" xfId="19" applyNumberFormat="1" applyFont="1" applyBorder="1"/>
    <xf numFmtId="3" fontId="7" fillId="0" borderId="52" xfId="19" applyNumberFormat="1" applyFont="1" applyBorder="1"/>
    <xf numFmtId="3" fontId="34" fillId="0" borderId="11" xfId="19" applyNumberFormat="1" applyFont="1" applyBorder="1" applyAlignment="1">
      <alignment horizontal="right"/>
    </xf>
    <xf numFmtId="3" fontId="34" fillId="0" borderId="4" xfId="19" applyNumberFormat="1" applyFont="1" applyBorder="1" applyAlignment="1"/>
    <xf numFmtId="3" fontId="27" fillId="0" borderId="17" xfId="19" applyNumberFormat="1" applyFont="1" applyBorder="1"/>
    <xf numFmtId="0" fontId="43" fillId="0" borderId="0" xfId="19" applyFont="1"/>
    <xf numFmtId="3" fontId="34" fillId="0" borderId="5" xfId="19" applyNumberFormat="1" applyFont="1" applyBorder="1"/>
    <xf numFmtId="3" fontId="34" fillId="0" borderId="2" xfId="19" applyNumberFormat="1" applyFont="1" applyBorder="1"/>
    <xf numFmtId="3" fontId="7" fillId="0" borderId="18" xfId="19" applyNumberFormat="1" applyFont="1" applyBorder="1"/>
    <xf numFmtId="3" fontId="7" fillId="0" borderId="38" xfId="19" applyNumberFormat="1" applyFont="1" applyBorder="1"/>
    <xf numFmtId="3" fontId="34" fillId="0" borderId="8" xfId="19" applyNumberFormat="1" applyFont="1" applyBorder="1"/>
    <xf numFmtId="3" fontId="27" fillId="0" borderId="18" xfId="19" applyNumberFormat="1" applyFont="1" applyBorder="1"/>
    <xf numFmtId="0" fontId="34" fillId="0" borderId="42" xfId="19" applyFont="1" applyBorder="1"/>
    <xf numFmtId="3" fontId="7" fillId="0" borderId="0" xfId="19" applyNumberFormat="1" applyFont="1" applyBorder="1"/>
    <xf numFmtId="3" fontId="34" fillId="0" borderId="2" xfId="19" applyNumberFormat="1" applyFont="1" applyFill="1" applyBorder="1"/>
    <xf numFmtId="3" fontId="7" fillId="0" borderId="50" xfId="19" applyNumberFormat="1" applyFont="1" applyBorder="1"/>
    <xf numFmtId="49" fontId="34" fillId="0" borderId="42" xfId="19" applyNumberFormat="1" applyFont="1" applyBorder="1"/>
    <xf numFmtId="3" fontId="55" fillId="0" borderId="2" xfId="19" applyNumberFormat="1" applyFont="1" applyBorder="1"/>
    <xf numFmtId="3" fontId="55" fillId="0" borderId="5" xfId="19" applyNumberFormat="1" applyFont="1" applyBorder="1"/>
    <xf numFmtId="3" fontId="19" fillId="0" borderId="38" xfId="19" applyNumberFormat="1" applyFont="1" applyBorder="1"/>
    <xf numFmtId="3" fontId="55" fillId="0" borderId="8" xfId="19" applyNumberFormat="1" applyFont="1" applyBorder="1"/>
    <xf numFmtId="49" fontId="55" fillId="0" borderId="42" xfId="19" applyNumberFormat="1" applyFont="1" applyBorder="1"/>
    <xf numFmtId="3" fontId="19" fillId="0" borderId="18" xfId="19" applyNumberFormat="1" applyFont="1" applyBorder="1"/>
    <xf numFmtId="3" fontId="32" fillId="0" borderId="18" xfId="19" applyNumberFormat="1" applyFont="1" applyBorder="1"/>
    <xf numFmtId="0" fontId="15" fillId="0" borderId="42" xfId="19" applyFont="1" applyBorder="1"/>
    <xf numFmtId="3" fontId="34" fillId="0" borderId="75" xfId="19" applyNumberFormat="1" applyFont="1" applyBorder="1"/>
    <xf numFmtId="3" fontId="34" fillId="0" borderId="6" xfId="19" applyNumberFormat="1" applyFont="1" applyBorder="1"/>
    <xf numFmtId="3" fontId="55" fillId="0" borderId="6" xfId="19" applyNumberFormat="1" applyFont="1" applyBorder="1"/>
    <xf numFmtId="3" fontId="27" fillId="0" borderId="23" xfId="19" applyNumberFormat="1" applyFont="1" applyBorder="1"/>
    <xf numFmtId="3" fontId="19" fillId="0" borderId="57" xfId="19" applyNumberFormat="1" applyFont="1" applyBorder="1"/>
    <xf numFmtId="3" fontId="34" fillId="0" borderId="10" xfId="19" applyNumberFormat="1" applyFont="1" applyBorder="1"/>
    <xf numFmtId="3" fontId="34" fillId="0" borderId="75" xfId="19" applyNumberFormat="1" applyFont="1" applyFill="1" applyBorder="1"/>
    <xf numFmtId="3" fontId="34" fillId="0" borderId="6" xfId="19" applyNumberFormat="1" applyFont="1" applyFill="1" applyBorder="1"/>
    <xf numFmtId="0" fontId="7" fillId="0" borderId="41" xfId="19" applyFont="1" applyBorder="1"/>
    <xf numFmtId="3" fontId="7" fillId="0" borderId="56" xfId="19" applyNumberFormat="1" applyFont="1" applyBorder="1"/>
    <xf numFmtId="3" fontId="7" fillId="0" borderId="11" xfId="19" applyNumberFormat="1" applyFont="1" applyBorder="1"/>
    <xf numFmtId="3" fontId="7" fillId="0" borderId="59" xfId="19" applyNumberFormat="1" applyFont="1" applyBorder="1"/>
    <xf numFmtId="3" fontId="42" fillId="0" borderId="0" xfId="19" applyNumberFormat="1"/>
    <xf numFmtId="0" fontId="17" fillId="0" borderId="42" xfId="19" quotePrefix="1" applyFont="1" applyBorder="1"/>
    <xf numFmtId="3" fontId="17" fillId="0" borderId="5" xfId="19" applyNumberFormat="1" applyFont="1" applyBorder="1"/>
    <xf numFmtId="3" fontId="17" fillId="0" borderId="2" xfId="19" applyNumberFormat="1" applyFont="1" applyBorder="1"/>
    <xf numFmtId="3" fontId="7" fillId="0" borderId="8" xfId="19" applyNumberFormat="1" applyFont="1" applyBorder="1"/>
    <xf numFmtId="3" fontId="27" fillId="0" borderId="2" xfId="19" applyNumberFormat="1" applyFont="1" applyBorder="1"/>
    <xf numFmtId="3" fontId="17" fillId="0" borderId="18" xfId="19" applyNumberFormat="1" applyFont="1" applyBorder="1"/>
    <xf numFmtId="0" fontId="7" fillId="0" borderId="76" xfId="19" applyFont="1" applyBorder="1"/>
    <xf numFmtId="3" fontId="7" fillId="0" borderId="55" xfId="19" applyNumberFormat="1" applyFont="1" applyBorder="1"/>
    <xf numFmtId="3" fontId="7" fillId="0" borderId="21" xfId="19" applyNumberFormat="1" applyFont="1" applyBorder="1"/>
    <xf numFmtId="3" fontId="7" fillId="0" borderId="76" xfId="19" applyNumberFormat="1" applyFont="1" applyBorder="1"/>
    <xf numFmtId="3" fontId="7" fillId="0" borderId="22" xfId="19" applyNumberFormat="1" applyFont="1" applyBorder="1"/>
    <xf numFmtId="0" fontId="53" fillId="0" borderId="0" xfId="19" quotePrefix="1" applyFont="1" applyBorder="1"/>
    <xf numFmtId="3" fontId="17" fillId="0" borderId="0" xfId="19" applyNumberFormat="1" applyFont="1" applyBorder="1"/>
    <xf numFmtId="3" fontId="19" fillId="0" borderId="0" xfId="19" applyNumberFormat="1" applyFont="1" applyBorder="1"/>
    <xf numFmtId="3" fontId="17" fillId="0" borderId="0" xfId="19" applyNumberFormat="1" applyFont="1" applyFill="1" applyBorder="1"/>
    <xf numFmtId="3" fontId="53" fillId="0" borderId="0" xfId="19" applyNumberFormat="1" applyFont="1" applyFill="1" applyBorder="1"/>
    <xf numFmtId="3" fontId="53" fillId="0" borderId="0" xfId="19" applyNumberFormat="1" applyFont="1" applyBorder="1"/>
    <xf numFmtId="3" fontId="54" fillId="0" borderId="0" xfId="19" applyNumberFormat="1" applyFont="1" applyBorder="1"/>
    <xf numFmtId="165" fontId="26" fillId="0" borderId="2" xfId="0" applyNumberFormat="1" applyFont="1" applyFill="1" applyBorder="1" applyAlignment="1" applyProtection="1">
      <alignment horizontal="left" vertical="center" wrapText="1" indent="1"/>
    </xf>
    <xf numFmtId="165" fontId="26" fillId="0" borderId="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0" fontId="0" fillId="0" borderId="8" xfId="0" applyFont="1" applyFill="1" applyBorder="1" applyAlignment="1" applyProtection="1">
      <alignment horizontal="left" vertical="center"/>
    </xf>
    <xf numFmtId="0" fontId="0" fillId="0" borderId="2" xfId="0" applyFont="1" applyFill="1" applyBorder="1" applyAlignment="1" applyProtection="1">
      <alignment vertical="center" wrapText="1"/>
    </xf>
    <xf numFmtId="0" fontId="46" fillId="0" borderId="0" xfId="0" applyFont="1" applyFill="1" applyAlignment="1" applyProtection="1">
      <alignment vertical="center" wrapText="1"/>
    </xf>
    <xf numFmtId="168" fontId="26" fillId="0" borderId="40" xfId="25" applyNumberFormat="1" applyFont="1" applyFill="1" applyBorder="1"/>
    <xf numFmtId="0" fontId="57" fillId="0" borderId="36" xfId="20" applyFont="1" applyBorder="1"/>
    <xf numFmtId="165" fontId="25" fillId="0" borderId="14" xfId="0" applyNumberFormat="1" applyFont="1" applyFill="1" applyBorder="1" applyAlignment="1" applyProtection="1">
      <alignment vertical="center" wrapText="1"/>
    </xf>
    <xf numFmtId="0" fontId="27" fillId="0" borderId="15" xfId="23" applyFont="1" applyFill="1" applyBorder="1" applyAlignment="1" applyProtection="1">
      <alignment horizontal="center" vertical="center" wrapText="1"/>
      <protection locked="0"/>
    </xf>
    <xf numFmtId="0" fontId="27" fillId="0" borderId="16" xfId="23" applyFont="1" applyFill="1" applyBorder="1" applyAlignment="1" applyProtection="1">
      <alignment horizontal="center" vertical="center"/>
      <protection locked="0"/>
    </xf>
    <xf numFmtId="0" fontId="27" fillId="0" borderId="28" xfId="23" applyFont="1" applyFill="1" applyBorder="1" applyAlignment="1" applyProtection="1">
      <alignment horizontal="center" vertical="center"/>
      <protection locked="0"/>
    </xf>
    <xf numFmtId="165" fontId="26" fillId="0" borderId="18" xfId="23" applyNumberFormat="1" applyFont="1" applyFill="1" applyBorder="1" applyAlignment="1" applyProtection="1">
      <alignment vertical="center"/>
    </xf>
    <xf numFmtId="0" fontId="42" fillId="0" borderId="42" xfId="18" applyFont="1" applyBorder="1"/>
    <xf numFmtId="3" fontId="42" fillId="0" borderId="36" xfId="18" applyNumberFormat="1" applyFont="1" applyBorder="1" applyAlignment="1">
      <alignment horizontal="right" indent="2"/>
    </xf>
    <xf numFmtId="0" fontId="42" fillId="0" borderId="38" xfId="18" applyFont="1" applyBorder="1"/>
    <xf numFmtId="3" fontId="42" fillId="0" borderId="49" xfId="18" applyNumberFormat="1" applyFont="1" applyBorder="1" applyAlignment="1">
      <alignment horizontal="right" indent="2"/>
    </xf>
    <xf numFmtId="3" fontId="42" fillId="0" borderId="42" xfId="18" applyNumberFormat="1" applyFont="1" applyBorder="1" applyAlignment="1">
      <alignment horizontal="right" indent="2"/>
    </xf>
    <xf numFmtId="0" fontId="7" fillId="0" borderId="39" xfId="19" applyFont="1" applyBorder="1" applyAlignment="1">
      <alignment horizontal="center"/>
    </xf>
    <xf numFmtId="0" fontId="7" fillId="0" borderId="25" xfId="19" applyFont="1" applyBorder="1" applyAlignment="1">
      <alignment horizontal="center"/>
    </xf>
    <xf numFmtId="0" fontId="7" fillId="0" borderId="26" xfId="19" applyFont="1" applyBorder="1" applyAlignment="1">
      <alignment horizontal="center"/>
    </xf>
    <xf numFmtId="0" fontId="34" fillId="0" borderId="59" xfId="19" applyFont="1" applyBorder="1"/>
    <xf numFmtId="0" fontId="34" fillId="0" borderId="57" xfId="19" applyFont="1" applyBorder="1"/>
    <xf numFmtId="0" fontId="34" fillId="0" borderId="38" xfId="19" applyFont="1" applyBorder="1"/>
    <xf numFmtId="165" fontId="20" fillId="0" borderId="28" xfId="21" applyNumberFormat="1" applyFont="1" applyFill="1" applyBorder="1" applyAlignment="1" applyProtection="1">
      <alignment horizontal="right" vertical="center" wrapText="1" indent="1"/>
    </xf>
    <xf numFmtId="165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73" fillId="0" borderId="41" xfId="0" applyNumberFormat="1" applyFont="1" applyFill="1" applyBorder="1" applyAlignment="1" applyProtection="1">
      <alignment horizontal="left" vertical="center" wrapText="1"/>
      <protection locked="0"/>
    </xf>
    <xf numFmtId="165" fontId="73" fillId="0" borderId="9" xfId="0" applyNumberFormat="1" applyFont="1" applyFill="1" applyBorder="1" applyAlignment="1" applyProtection="1">
      <alignment vertical="center" wrapText="1"/>
      <protection locked="0"/>
    </xf>
    <xf numFmtId="49" fontId="73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3" xfId="0" applyNumberFormat="1" applyFont="1" applyFill="1" applyBorder="1" applyAlignment="1" applyProtection="1">
      <alignment vertical="center" wrapText="1"/>
      <protection locked="0"/>
    </xf>
    <xf numFmtId="165" fontId="74" fillId="0" borderId="20" xfId="0" applyNumberFormat="1" applyFont="1" applyFill="1" applyBorder="1" applyAlignment="1" applyProtection="1">
      <alignment vertical="center" wrapText="1"/>
    </xf>
    <xf numFmtId="165" fontId="75" fillId="0" borderId="0" xfId="0" applyNumberFormat="1" applyFont="1" applyFill="1" applyAlignment="1">
      <alignment vertical="center" wrapText="1"/>
    </xf>
    <xf numFmtId="165" fontId="76" fillId="0" borderId="42" xfId="0" applyNumberFormat="1" applyFont="1" applyFill="1" applyBorder="1" applyAlignment="1" applyProtection="1">
      <alignment horizontal="left" vertical="center" wrapText="1"/>
      <protection locked="0"/>
    </xf>
    <xf numFmtId="165" fontId="76" fillId="0" borderId="8" xfId="0" applyNumberFormat="1" applyFont="1" applyFill="1" applyBorder="1" applyAlignment="1" applyProtection="1">
      <alignment vertical="center" wrapText="1"/>
      <protection locked="0"/>
    </xf>
    <xf numFmtId="49" fontId="7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2" xfId="0" applyNumberFormat="1" applyFont="1" applyFill="1" applyBorder="1" applyAlignment="1" applyProtection="1">
      <alignment vertical="center" wrapText="1"/>
      <protection locked="0"/>
    </xf>
    <xf numFmtId="165" fontId="76" fillId="0" borderId="18" xfId="0" applyNumberFormat="1" applyFont="1" applyFill="1" applyBorder="1" applyAlignment="1" applyProtection="1">
      <alignment vertical="center" wrapText="1"/>
    </xf>
    <xf numFmtId="165" fontId="72" fillId="0" borderId="18" xfId="0" applyNumberFormat="1" applyFont="1" applyFill="1" applyBorder="1" applyAlignment="1" applyProtection="1">
      <alignment vertical="center" wrapText="1"/>
    </xf>
    <xf numFmtId="165" fontId="76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73" fillId="0" borderId="8" xfId="21" applyFont="1" applyFill="1" applyBorder="1" applyAlignment="1" applyProtection="1">
      <alignment horizontal="left"/>
      <protection locked="0"/>
    </xf>
    <xf numFmtId="165" fontId="73" fillId="0" borderId="8" xfId="0" applyNumberFormat="1" applyFont="1" applyFill="1" applyBorder="1" applyAlignment="1" applyProtection="1">
      <alignment vertical="center" wrapText="1"/>
      <protection locked="0"/>
    </xf>
    <xf numFmtId="165" fontId="73" fillId="0" borderId="2" xfId="0" applyNumberFormat="1" applyFont="1" applyFill="1" applyBorder="1" applyAlignment="1" applyProtection="1">
      <alignment vertical="center" wrapText="1"/>
      <protection locked="0"/>
    </xf>
    <xf numFmtId="165" fontId="73" fillId="0" borderId="38" xfId="0" applyNumberFormat="1" applyFont="1" applyFill="1" applyBorder="1" applyAlignment="1" applyProtection="1">
      <alignment horizontal="left" vertical="center" wrapText="1"/>
      <protection locked="0"/>
    </xf>
    <xf numFmtId="49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18" xfId="0" applyNumberFormat="1" applyFont="1" applyFill="1" applyBorder="1" applyAlignment="1" applyProtection="1">
      <alignment vertical="center" wrapText="1"/>
    </xf>
    <xf numFmtId="165" fontId="77" fillId="0" borderId="0" xfId="0" applyNumberFormat="1" applyFont="1" applyFill="1" applyAlignment="1">
      <alignment vertical="center" wrapText="1"/>
    </xf>
    <xf numFmtId="0" fontId="76" fillId="0" borderId="42" xfId="21" applyFont="1" applyFill="1" applyBorder="1" applyProtection="1">
      <protection locked="0"/>
    </xf>
    <xf numFmtId="165" fontId="78" fillId="0" borderId="8" xfId="0" applyNumberFormat="1" applyFont="1" applyFill="1" applyBorder="1" applyAlignment="1" applyProtection="1">
      <alignment vertical="center" wrapText="1"/>
      <protection locked="0"/>
    </xf>
    <xf numFmtId="165" fontId="78" fillId="0" borderId="2" xfId="0" applyNumberFormat="1" applyFont="1" applyFill="1" applyBorder="1" applyAlignment="1" applyProtection="1">
      <alignment vertical="center" wrapText="1"/>
      <protection locked="0"/>
    </xf>
    <xf numFmtId="165" fontId="7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5" fillId="0" borderId="38" xfId="0" applyNumberFormat="1" applyFont="1" applyFill="1" applyBorder="1" applyAlignment="1" applyProtection="1">
      <alignment horizontal="left" vertical="center" wrapText="1"/>
      <protection locked="0"/>
    </xf>
    <xf numFmtId="0" fontId="79" fillId="0" borderId="42" xfId="0" applyFont="1" applyFill="1" applyBorder="1" applyAlignment="1">
      <alignment vertical="center"/>
    </xf>
    <xf numFmtId="165" fontId="80" fillId="0" borderId="18" xfId="0" applyNumberFormat="1" applyFont="1" applyFill="1" applyBorder="1" applyAlignment="1" applyProtection="1">
      <alignment vertical="center" wrapText="1"/>
    </xf>
    <xf numFmtId="165" fontId="76" fillId="0" borderId="5" xfId="0" applyNumberFormat="1" applyFont="1" applyFill="1" applyBorder="1" applyAlignment="1" applyProtection="1">
      <alignment vertical="center" wrapText="1"/>
      <protection locked="0"/>
    </xf>
    <xf numFmtId="165" fontId="81" fillId="0" borderId="18" xfId="0" applyNumberFormat="1" applyFont="1" applyFill="1" applyBorder="1" applyAlignment="1" applyProtection="1">
      <alignment vertical="center" wrapText="1"/>
    </xf>
    <xf numFmtId="165" fontId="76" fillId="0" borderId="77" xfId="0" applyNumberFormat="1" applyFont="1" applyFill="1" applyBorder="1" applyAlignment="1" applyProtection="1">
      <alignment vertical="center" wrapText="1"/>
      <protection locked="0"/>
    </xf>
    <xf numFmtId="49" fontId="76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3" xfId="0" applyNumberFormat="1" applyFont="1" applyFill="1" applyBorder="1" applyAlignment="1" applyProtection="1">
      <alignment vertical="center" wrapText="1"/>
      <protection locked="0"/>
    </xf>
    <xf numFmtId="165" fontId="80" fillId="0" borderId="20" xfId="0" applyNumberFormat="1" applyFont="1" applyFill="1" applyBorder="1" applyAlignment="1" applyProtection="1">
      <alignment vertical="center" wrapText="1"/>
    </xf>
    <xf numFmtId="0" fontId="79" fillId="0" borderId="41" xfId="0" applyFont="1" applyFill="1" applyBorder="1" applyAlignment="1">
      <alignment vertical="center"/>
    </xf>
    <xf numFmtId="0" fontId="79" fillId="0" borderId="59" xfId="0" applyFont="1" applyFill="1" applyBorder="1" applyAlignment="1">
      <alignment vertical="center"/>
    </xf>
    <xf numFmtId="165" fontId="76" fillId="0" borderId="56" xfId="0" applyNumberFormat="1" applyFont="1" applyFill="1" applyBorder="1" applyAlignment="1" applyProtection="1">
      <alignment vertical="center" wrapText="1"/>
      <protection locked="0"/>
    </xf>
    <xf numFmtId="49" fontId="76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4" xfId="0" applyNumberFormat="1" applyFont="1" applyFill="1" applyBorder="1" applyAlignment="1" applyProtection="1">
      <alignment vertical="center" wrapText="1"/>
      <protection locked="0"/>
    </xf>
    <xf numFmtId="165" fontId="76" fillId="0" borderId="28" xfId="0" applyNumberFormat="1" applyFont="1" applyFill="1" applyBorder="1" applyAlignment="1" applyProtection="1">
      <alignment vertical="center" wrapText="1"/>
    </xf>
    <xf numFmtId="165" fontId="76" fillId="0" borderId="23" xfId="0" applyNumberFormat="1" applyFont="1" applyFill="1" applyBorder="1" applyAlignment="1" applyProtection="1">
      <alignment vertical="center" wrapText="1"/>
    </xf>
    <xf numFmtId="0" fontId="79" fillId="0" borderId="74" xfId="0" applyFont="1" applyFill="1" applyBorder="1" applyAlignment="1">
      <alignment vertical="center"/>
    </xf>
    <xf numFmtId="165" fontId="76" fillId="0" borderId="67" xfId="0" applyNumberFormat="1" applyFont="1" applyFill="1" applyBorder="1" applyAlignment="1" applyProtection="1">
      <alignment vertical="center" wrapText="1"/>
      <protection locked="0"/>
    </xf>
    <xf numFmtId="49" fontId="7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6" fillId="0" borderId="1" xfId="0" applyNumberFormat="1" applyFont="1" applyFill="1" applyBorder="1" applyAlignment="1" applyProtection="1">
      <alignment vertical="center" wrapText="1"/>
      <protection locked="0"/>
    </xf>
    <xf numFmtId="165" fontId="76" fillId="0" borderId="40" xfId="0" applyNumberFormat="1" applyFont="1" applyFill="1" applyBorder="1" applyAlignment="1" applyProtection="1">
      <alignment vertical="center" wrapText="1"/>
    </xf>
    <xf numFmtId="0" fontId="79" fillId="0" borderId="46" xfId="0" applyFont="1" applyFill="1" applyBorder="1" applyAlignment="1">
      <alignment vertical="center"/>
    </xf>
    <xf numFmtId="165" fontId="76" fillId="0" borderId="11" xfId="0" applyNumberFormat="1" applyFont="1" applyFill="1" applyBorder="1" applyAlignment="1" applyProtection="1">
      <alignment vertical="center" wrapText="1"/>
      <protection locked="0"/>
    </xf>
    <xf numFmtId="165" fontId="76" fillId="0" borderId="17" xfId="0" applyNumberFormat="1" applyFont="1" applyFill="1" applyBorder="1" applyAlignment="1" applyProtection="1">
      <alignment vertical="center" wrapText="1"/>
    </xf>
    <xf numFmtId="0" fontId="79" fillId="0" borderId="48" xfId="0" quotePrefix="1" applyFont="1" applyFill="1" applyBorder="1" applyAlignment="1">
      <alignment vertical="center"/>
    </xf>
    <xf numFmtId="0" fontId="82" fillId="0" borderId="48" xfId="0" applyFont="1" applyFill="1" applyBorder="1" applyAlignment="1">
      <alignment vertical="center"/>
    </xf>
    <xf numFmtId="165" fontId="83" fillId="0" borderId="8" xfId="0" applyNumberFormat="1" applyFont="1" applyFill="1" applyBorder="1" applyAlignment="1" applyProtection="1">
      <alignment vertical="center" wrapText="1"/>
      <protection locked="0"/>
    </xf>
    <xf numFmtId="49" fontId="83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3" fillId="0" borderId="2" xfId="0" applyNumberFormat="1" applyFont="1" applyFill="1" applyBorder="1" applyAlignment="1" applyProtection="1">
      <alignment vertical="center" wrapText="1"/>
      <protection locked="0"/>
    </xf>
    <xf numFmtId="165" fontId="83" fillId="0" borderId="18" xfId="0" applyNumberFormat="1" applyFont="1" applyFill="1" applyBorder="1" applyAlignment="1" applyProtection="1">
      <alignment vertical="center" wrapText="1"/>
    </xf>
    <xf numFmtId="165" fontId="84" fillId="0" borderId="0" xfId="0" applyNumberFormat="1" applyFont="1" applyFill="1" applyAlignment="1">
      <alignment vertical="center" wrapText="1"/>
    </xf>
    <xf numFmtId="165" fontId="85" fillId="0" borderId="48" xfId="0" applyNumberFormat="1" applyFont="1" applyFill="1" applyBorder="1" applyAlignment="1" applyProtection="1">
      <alignment horizontal="left" vertical="center" wrapText="1"/>
      <protection locked="0"/>
    </xf>
    <xf numFmtId="165" fontId="86" fillId="0" borderId="0" xfId="0" applyNumberFormat="1" applyFont="1" applyFill="1" applyAlignment="1">
      <alignment vertical="center" wrapText="1"/>
    </xf>
    <xf numFmtId="0" fontId="75" fillId="0" borderId="48" xfId="21" applyFont="1" applyFill="1" applyBorder="1" applyProtection="1">
      <protection locked="0"/>
    </xf>
    <xf numFmtId="165" fontId="87" fillId="0" borderId="0" xfId="0" applyNumberFormat="1" applyFont="1" applyFill="1" applyAlignment="1">
      <alignment vertical="center" wrapText="1"/>
    </xf>
    <xf numFmtId="0" fontId="79" fillId="0" borderId="48" xfId="0" applyFont="1" applyFill="1" applyBorder="1" applyAlignment="1">
      <alignment vertical="center"/>
    </xf>
    <xf numFmtId="165" fontId="71" fillId="0" borderId="0" xfId="0" applyNumberFormat="1" applyFont="1" applyFill="1" applyAlignment="1">
      <alignment vertical="center" wrapText="1"/>
    </xf>
    <xf numFmtId="0" fontId="79" fillId="0" borderId="48" xfId="17" applyFont="1" applyFill="1" applyBorder="1" applyAlignment="1">
      <alignment vertical="center"/>
    </xf>
    <xf numFmtId="3" fontId="75" fillId="0" borderId="30" xfId="10" applyNumberFormat="1" applyFont="1" applyFill="1" applyBorder="1" applyAlignment="1">
      <alignment vertical="center" wrapText="1"/>
    </xf>
    <xf numFmtId="165" fontId="73" fillId="0" borderId="10" xfId="0" applyNumberFormat="1" applyFont="1" applyFill="1" applyBorder="1" applyAlignment="1" applyProtection="1">
      <alignment vertical="center" wrapText="1"/>
      <protection locked="0"/>
    </xf>
    <xf numFmtId="49" fontId="76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6" xfId="0" applyNumberFormat="1" applyFont="1" applyFill="1" applyBorder="1" applyAlignment="1" applyProtection="1">
      <alignment vertical="center" wrapText="1"/>
      <protection locked="0"/>
    </xf>
    <xf numFmtId="49" fontId="73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23" xfId="0" applyNumberFormat="1" applyFont="1" applyFill="1" applyBorder="1" applyAlignment="1" applyProtection="1">
      <alignment vertical="center" wrapText="1"/>
    </xf>
    <xf numFmtId="165" fontId="72" fillId="0" borderId="23" xfId="0" applyNumberFormat="1" applyFont="1" applyFill="1" applyBorder="1" applyAlignment="1" applyProtection="1">
      <alignment vertical="center" wrapText="1"/>
    </xf>
    <xf numFmtId="165" fontId="76" fillId="0" borderId="22" xfId="0" applyNumberFormat="1" applyFont="1" applyFill="1" applyBorder="1" applyAlignment="1" applyProtection="1">
      <alignment vertical="center" wrapText="1"/>
    </xf>
    <xf numFmtId="165" fontId="81" fillId="0" borderId="28" xfId="0" applyNumberFormat="1" applyFont="1" applyFill="1" applyBorder="1" applyAlignment="1" applyProtection="1">
      <alignment vertical="center" wrapText="1"/>
    </xf>
    <xf numFmtId="165" fontId="9" fillId="0" borderId="0" xfId="0" applyNumberFormat="1" applyFont="1" applyFill="1" applyAlignment="1" applyProtection="1">
      <alignment vertical="center" wrapText="1"/>
    </xf>
    <xf numFmtId="0" fontId="89" fillId="0" borderId="0" xfId="0" applyFont="1" applyAlignment="1" applyProtection="1">
      <alignment horizontal="right" vertical="top"/>
    </xf>
    <xf numFmtId="49" fontId="90" fillId="0" borderId="17" xfId="0" applyNumberFormat="1" applyFont="1" applyFill="1" applyBorder="1" applyAlignment="1" applyProtection="1">
      <alignment horizontal="right" vertical="center"/>
    </xf>
    <xf numFmtId="49" fontId="90" fillId="0" borderId="45" xfId="0" applyNumberFormat="1" applyFont="1" applyFill="1" applyBorder="1" applyAlignment="1" applyProtection="1">
      <alignment horizontal="right" vertical="center"/>
    </xf>
    <xf numFmtId="0" fontId="91" fillId="0" borderId="0" xfId="0" applyFont="1" applyFill="1" applyAlignment="1" applyProtection="1">
      <alignment horizontal="right"/>
    </xf>
    <xf numFmtId="0" fontId="90" fillId="0" borderId="28" xfId="0" applyFont="1" applyFill="1" applyBorder="1" applyAlignment="1" applyProtection="1">
      <alignment horizontal="center" vertical="center" wrapText="1"/>
    </xf>
    <xf numFmtId="0" fontId="80" fillId="0" borderId="19" xfId="0" applyFont="1" applyFill="1" applyBorder="1" applyAlignment="1" applyProtection="1">
      <alignment horizontal="center" vertical="center" wrapText="1"/>
    </xf>
    <xf numFmtId="165" fontId="90" fillId="0" borderId="32" xfId="0" applyNumberFormat="1" applyFont="1" applyFill="1" applyBorder="1" applyAlignment="1" applyProtection="1">
      <alignment horizontal="center" vertical="center" wrapText="1"/>
    </xf>
    <xf numFmtId="165" fontId="74" fillId="0" borderId="19" xfId="0" applyNumberFormat="1" applyFont="1" applyFill="1" applyBorder="1" applyAlignment="1" applyProtection="1">
      <alignment horizontal="right" vertical="center" wrapText="1" indent="1"/>
    </xf>
    <xf numFmtId="165" fontId="7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7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7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44" xfId="0" applyNumberFormat="1" applyFont="1" applyFill="1" applyBorder="1" applyAlignment="1" applyProtection="1">
      <alignment horizontal="right" vertical="center" wrapText="1" indent="1"/>
    </xf>
    <xf numFmtId="165" fontId="80" fillId="0" borderId="0" xfId="0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Fill="1" applyAlignment="1" applyProtection="1">
      <alignment horizontal="right" vertical="center" wrapText="1" indent="1"/>
    </xf>
    <xf numFmtId="165" fontId="80" fillId="0" borderId="44" xfId="0" applyNumberFormat="1" applyFont="1" applyFill="1" applyBorder="1" applyAlignment="1" applyProtection="1">
      <alignment horizontal="right" vertical="center" wrapText="1" indent="1"/>
    </xf>
    <xf numFmtId="0" fontId="75" fillId="0" borderId="0" xfId="0" applyFont="1" applyFill="1" applyAlignment="1" applyProtection="1">
      <alignment horizontal="right" vertical="center" wrapText="1" indent="1"/>
    </xf>
    <xf numFmtId="3" fontId="9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0" xfId="0" applyFont="1" applyFill="1" applyAlignment="1" applyProtection="1">
      <alignment vertical="center" wrapText="1"/>
    </xf>
    <xf numFmtId="4" fontId="9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2" fontId="9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8" xfId="0" applyFont="1" applyFill="1" applyBorder="1" applyAlignment="1" applyProtection="1">
      <alignment horizontal="left" vertical="center"/>
    </xf>
    <xf numFmtId="0" fontId="75" fillId="0" borderId="2" xfId="0" applyFont="1" applyFill="1" applyBorder="1" applyAlignment="1" applyProtection="1">
      <alignment vertical="center" wrapText="1"/>
    </xf>
    <xf numFmtId="165" fontId="80" fillId="0" borderId="19" xfId="0" applyNumberFormat="1" applyFont="1" applyFill="1" applyBorder="1" applyAlignment="1" applyProtection="1">
      <alignment horizontal="right" vertical="center" wrapText="1" indent="1"/>
    </xf>
    <xf numFmtId="165" fontId="8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7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8" xfId="20" quotePrefix="1" applyFont="1" applyBorder="1"/>
    <xf numFmtId="0" fontId="15" fillId="0" borderId="72" xfId="20" applyFont="1" applyBorder="1"/>
    <xf numFmtId="0" fontId="28" fillId="0" borderId="72" xfId="20" applyFont="1" applyBorder="1"/>
    <xf numFmtId="0" fontId="15" fillId="0" borderId="48" xfId="20" applyFont="1" applyBorder="1" applyAlignment="1">
      <alignment horizontal="left"/>
    </xf>
    <xf numFmtId="0" fontId="15" fillId="0" borderId="72" xfId="20" quotePrefix="1" applyFont="1" applyBorder="1" applyAlignment="1">
      <alignment horizontal="left"/>
    </xf>
    <xf numFmtId="3" fontId="34" fillId="0" borderId="5" xfId="19" applyNumberFormat="1" applyFont="1" applyFill="1" applyBorder="1"/>
    <xf numFmtId="165" fontId="25" fillId="0" borderId="26" xfId="21" applyNumberFormat="1" applyFont="1" applyFill="1" applyBorder="1" applyAlignment="1" applyProtection="1">
      <alignment horizontal="right" vertical="center" wrapText="1" indent="1"/>
    </xf>
    <xf numFmtId="165" fontId="25" fillId="0" borderId="28" xfId="21" applyNumberFormat="1" applyFont="1" applyFill="1" applyBorder="1" applyAlignment="1" applyProtection="1">
      <alignment horizontal="right" vertical="center" wrapText="1" indent="1"/>
    </xf>
    <xf numFmtId="165" fontId="21" fillId="0" borderId="0" xfId="21" applyNumberFormat="1" applyFont="1" applyFill="1" applyBorder="1" applyAlignment="1" applyProtection="1">
      <alignment horizontal="right" vertical="center" wrapText="1" indent="1"/>
    </xf>
    <xf numFmtId="3" fontId="15" fillId="0" borderId="30" xfId="10" applyNumberFormat="1" applyFont="1" applyFill="1" applyBorder="1" applyAlignment="1">
      <alignment vertical="center" wrapText="1"/>
    </xf>
    <xf numFmtId="165" fontId="26" fillId="0" borderId="10" xfId="0" applyNumberFormat="1" applyFont="1" applyFill="1" applyBorder="1" applyAlignment="1" applyProtection="1">
      <alignment vertical="center" wrapText="1"/>
      <protection locked="0"/>
    </xf>
    <xf numFmtId="49" fontId="26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6" fillId="0" borderId="6" xfId="0" applyNumberFormat="1" applyFont="1" applyFill="1" applyBorder="1" applyAlignment="1" applyProtection="1">
      <alignment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26" fillId="0" borderId="12" xfId="0" applyNumberFormat="1" applyFont="1" applyFill="1" applyBorder="1" applyAlignment="1" applyProtection="1">
      <alignment vertical="center" wrapText="1"/>
      <protection locked="0"/>
    </xf>
    <xf numFmtId="49" fontId="20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26" fillId="0" borderId="21" xfId="0" applyNumberFormat="1" applyFont="1" applyFill="1" applyBorder="1" applyAlignment="1" applyProtection="1">
      <alignment vertical="center" wrapText="1"/>
      <protection locked="0"/>
    </xf>
    <xf numFmtId="17" fontId="23" fillId="0" borderId="11" xfId="0" applyNumberFormat="1" applyFont="1" applyBorder="1" applyAlignment="1">
      <alignment horizontal="left" vertical="center" wrapText="1"/>
    </xf>
    <xf numFmtId="165" fontId="26" fillId="0" borderId="15" xfId="0" applyNumberFormat="1" applyFont="1" applyFill="1" applyBorder="1" applyAlignment="1" applyProtection="1">
      <alignment vertical="center" wrapText="1"/>
      <protection locked="0"/>
    </xf>
    <xf numFmtId="49" fontId="20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6" fillId="0" borderId="62" xfId="0" applyNumberFormat="1" applyFont="1" applyFill="1" applyBorder="1" applyAlignment="1" applyProtection="1">
      <alignment vertical="center" wrapText="1"/>
      <protection locked="0"/>
    </xf>
    <xf numFmtId="165" fontId="26" fillId="0" borderId="16" xfId="0" applyNumberFormat="1" applyFont="1" applyFill="1" applyBorder="1" applyAlignment="1" applyProtection="1">
      <alignment vertical="center" wrapText="1"/>
      <protection locked="0"/>
    </xf>
    <xf numFmtId="0" fontId="69" fillId="0" borderId="48" xfId="0" applyFont="1" applyFill="1" applyBorder="1" applyAlignment="1">
      <alignment vertical="center"/>
    </xf>
    <xf numFmtId="165" fontId="20" fillId="0" borderId="8" xfId="0" applyNumberFormat="1" applyFont="1" applyFill="1" applyBorder="1" applyAlignment="1" applyProtection="1">
      <alignment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2" xfId="0" applyNumberFormat="1" applyFont="1" applyFill="1" applyBorder="1" applyAlignment="1" applyProtection="1">
      <alignment vertical="center" wrapText="1"/>
      <protection locked="0"/>
    </xf>
    <xf numFmtId="0" fontId="15" fillId="0" borderId="48" xfId="21" applyFont="1" applyFill="1" applyBorder="1" applyProtection="1">
      <protection locked="0"/>
    </xf>
    <xf numFmtId="165" fontId="34" fillId="0" borderId="8" xfId="0" applyNumberFormat="1" applyFont="1" applyFill="1" applyBorder="1" applyAlignment="1" applyProtection="1">
      <alignment vertical="center" wrapText="1"/>
      <protection locked="0"/>
    </xf>
    <xf numFmtId="165" fontId="37" fillId="0" borderId="48" xfId="0" applyNumberFormat="1" applyFont="1" applyFill="1" applyBorder="1" applyAlignment="1" applyProtection="1">
      <alignment horizontal="left" vertical="center" wrapText="1"/>
      <protection locked="0"/>
    </xf>
    <xf numFmtId="165" fontId="26" fillId="0" borderId="8" xfId="0" applyNumberFormat="1" applyFont="1" applyFill="1" applyBorder="1" applyAlignment="1" applyProtection="1">
      <alignment vertical="center" wrapText="1"/>
      <protection locked="0"/>
    </xf>
    <xf numFmtId="165" fontId="26" fillId="0" borderId="42" xfId="0" applyNumberFormat="1" applyFont="1" applyFill="1" applyBorder="1" applyAlignment="1" applyProtection="1">
      <alignment horizontal="left" vertical="center" wrapText="1"/>
      <protection locked="0"/>
    </xf>
    <xf numFmtId="165" fontId="2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horizontal="right" vertical="center" wrapText="1" indent="1"/>
    </xf>
    <xf numFmtId="165" fontId="25" fillId="0" borderId="0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horizontal="right" vertical="center" wrapText="1" indent="1"/>
    </xf>
    <xf numFmtId="3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7" fontId="2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7" fontId="2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3" fontId="26" fillId="0" borderId="2" xfId="25" applyNumberFormat="1" applyFont="1" applyBorder="1" applyAlignment="1">
      <alignment horizontal="right"/>
    </xf>
    <xf numFmtId="3" fontId="25" fillId="0" borderId="2" xfId="25" applyNumberFormat="1" applyFont="1" applyBorder="1" applyAlignment="1">
      <alignment horizontal="right"/>
    </xf>
    <xf numFmtId="3" fontId="25" fillId="0" borderId="18" xfId="25" applyNumberFormat="1" applyFont="1" applyBorder="1" applyAlignment="1">
      <alignment horizontal="right"/>
    </xf>
    <xf numFmtId="168" fontId="26" fillId="0" borderId="20" xfId="25" applyNumberFormat="1" applyFont="1" applyFill="1" applyBorder="1"/>
    <xf numFmtId="165" fontId="25" fillId="0" borderId="18" xfId="23" applyNumberFormat="1" applyFont="1" applyFill="1" applyBorder="1" applyAlignment="1" applyProtection="1">
      <alignment vertical="center"/>
    </xf>
    <xf numFmtId="0" fontId="42" fillId="0" borderId="74" xfId="18" applyFont="1" applyBorder="1"/>
    <xf numFmtId="0" fontId="70" fillId="0" borderId="74" xfId="18" applyFont="1" applyBorder="1" applyAlignment="1">
      <alignment horizontal="left"/>
    </xf>
    <xf numFmtId="3" fontId="42" fillId="0" borderId="45" xfId="18" applyNumberFormat="1" applyFont="1" applyBorder="1" applyAlignment="1">
      <alignment horizontal="right" indent="2"/>
    </xf>
    <xf numFmtId="0" fontId="15" fillId="0" borderId="42" xfId="18" applyFont="1" applyBorder="1" applyAlignment="1">
      <alignment wrapText="1"/>
    </xf>
    <xf numFmtId="0" fontId="15" fillId="0" borderId="42" xfId="18" applyFont="1" applyBorder="1" applyAlignment="1">
      <alignment horizontal="left" wrapText="1"/>
    </xf>
    <xf numFmtId="0" fontId="26" fillId="0" borderId="2" xfId="0" applyFont="1" applyBorder="1" applyAlignment="1" applyProtection="1">
      <alignment horizontal="left" vertical="center" wrapText="1" indent="1"/>
      <protection locked="0"/>
    </xf>
    <xf numFmtId="165" fontId="72" fillId="0" borderId="18" xfId="21" applyNumberFormat="1" applyFont="1" applyFill="1" applyBorder="1" applyAlignment="1" applyProtection="1">
      <alignment horizontal="right" vertical="center" wrapText="1" indent="1"/>
    </xf>
    <xf numFmtId="165" fontId="72" fillId="0" borderId="20" xfId="21" applyNumberFormat="1" applyFont="1" applyFill="1" applyBorder="1" applyAlignment="1" applyProtection="1">
      <alignment horizontal="right" vertical="center" wrapText="1" indent="1"/>
    </xf>
    <xf numFmtId="165" fontId="72" fillId="0" borderId="23" xfId="21" applyNumberFormat="1" applyFont="1" applyFill="1" applyBorder="1" applyAlignment="1" applyProtection="1">
      <alignment horizontal="right" vertical="center" wrapText="1" indent="1"/>
    </xf>
    <xf numFmtId="165" fontId="72" fillId="0" borderId="20" xfId="21" applyNumberFormat="1" applyFont="1" applyFill="1" applyBorder="1" applyAlignment="1" applyProtection="1">
      <alignment horizontal="center" vertical="center" wrapText="1"/>
    </xf>
    <xf numFmtId="165" fontId="72" fillId="0" borderId="18" xfId="21" applyNumberFormat="1" applyFont="1" applyFill="1" applyBorder="1" applyAlignment="1" applyProtection="1">
      <alignment horizontal="center" vertical="center" wrapText="1"/>
    </xf>
    <xf numFmtId="165" fontId="72" fillId="0" borderId="23" xfId="21" applyNumberFormat="1" applyFont="1" applyFill="1" applyBorder="1" applyAlignment="1" applyProtection="1">
      <alignment horizontal="center" vertical="center" wrapText="1"/>
    </xf>
    <xf numFmtId="165" fontId="7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9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9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19" xfId="0" applyNumberFormat="1" applyFont="1" applyFill="1" applyBorder="1" applyAlignment="1" applyProtection="1">
      <alignment horizontal="right" vertical="center" wrapText="1" indent="1"/>
    </xf>
    <xf numFmtId="165" fontId="9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9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81" fillId="0" borderId="19" xfId="0" applyNumberFormat="1" applyFont="1" applyFill="1" applyBorder="1" applyAlignment="1" applyProtection="1">
      <alignment horizontal="right" vertical="center" wrapText="1" indent="1"/>
    </xf>
    <xf numFmtId="165" fontId="9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6" fontId="0" fillId="0" borderId="22" xfId="26" applyNumberFormat="1" applyFont="1" applyFill="1" applyBorder="1" applyAlignment="1" applyProtection="1">
      <alignment horizontal="right" vertical="center" wrapText="1" indent="1"/>
    </xf>
    <xf numFmtId="166" fontId="77" fillId="0" borderId="22" xfId="26" applyNumberFormat="1" applyFont="1" applyFill="1" applyBorder="1" applyAlignment="1" applyProtection="1">
      <alignment horizontal="right" vertical="center" wrapText="1" indent="1"/>
    </xf>
    <xf numFmtId="165" fontId="9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81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9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9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2" xfId="26" applyNumberFormat="1" applyFont="1" applyBorder="1" applyAlignment="1">
      <alignment horizontal="right"/>
    </xf>
    <xf numFmtId="3" fontId="26" fillId="0" borderId="2" xfId="26" quotePrefix="1" applyNumberFormat="1" applyFont="1" applyBorder="1" applyAlignment="1">
      <alignment horizontal="right"/>
    </xf>
    <xf numFmtId="0" fontId="1" fillId="0" borderId="12" xfId="24" applyFont="1" applyBorder="1"/>
    <xf numFmtId="3" fontId="74" fillId="0" borderId="21" xfId="26" applyNumberFormat="1" applyFont="1" applyBorder="1" applyAlignment="1">
      <alignment horizontal="right"/>
    </xf>
    <xf numFmtId="3" fontId="74" fillId="0" borderId="22" xfId="26" applyNumberFormat="1" applyFont="1" applyBorder="1" applyAlignment="1">
      <alignment horizontal="right"/>
    </xf>
    <xf numFmtId="3" fontId="20" fillId="0" borderId="0" xfId="0" applyNumberFormat="1" applyFont="1" applyFill="1" applyAlignment="1" applyProtection="1">
      <alignment vertical="center" wrapText="1"/>
    </xf>
    <xf numFmtId="3" fontId="18" fillId="0" borderId="0" xfId="0" applyNumberFormat="1" applyFont="1" applyFill="1" applyAlignment="1" applyProtection="1">
      <alignment vertical="center"/>
    </xf>
    <xf numFmtId="3" fontId="18" fillId="0" borderId="0" xfId="0" applyNumberFormat="1" applyFont="1" applyFill="1" applyAlignment="1" applyProtection="1">
      <alignment horizontal="center" vertical="center" wrapText="1"/>
    </xf>
    <xf numFmtId="3" fontId="48" fillId="0" borderId="0" xfId="0" applyNumberFormat="1" applyFont="1" applyFill="1" applyAlignment="1" applyProtection="1">
      <alignment vertical="center" wrapText="1"/>
    </xf>
    <xf numFmtId="3" fontId="48" fillId="0" borderId="2" xfId="0" applyNumberFormat="1" applyFont="1" applyFill="1" applyBorder="1" applyAlignment="1" applyProtection="1">
      <alignment vertical="center" wrapText="1"/>
    </xf>
    <xf numFmtId="165" fontId="72" fillId="0" borderId="51" xfId="21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0" xfId="21" applyNumberFormat="1" applyFont="1" applyFill="1" applyProtection="1"/>
    <xf numFmtId="0" fontId="26" fillId="0" borderId="0" xfId="21" applyFont="1" applyFill="1" applyProtection="1"/>
    <xf numFmtId="3" fontId="26" fillId="0" borderId="9" xfId="21" applyNumberFormat="1" applyFont="1" applyFill="1" applyBorder="1" applyProtection="1"/>
    <xf numFmtId="3" fontId="26" fillId="0" borderId="20" xfId="21" applyNumberFormat="1" applyFont="1" applyFill="1" applyBorder="1" applyProtection="1"/>
    <xf numFmtId="3" fontId="26" fillId="0" borderId="8" xfId="21" applyNumberFormat="1" applyFont="1" applyFill="1" applyBorder="1" applyProtection="1"/>
    <xf numFmtId="3" fontId="26" fillId="0" borderId="18" xfId="21" applyNumberFormat="1" applyFont="1" applyFill="1" applyBorder="1" applyProtection="1"/>
    <xf numFmtId="3" fontId="26" fillId="0" borderId="10" xfId="21" applyNumberFormat="1" applyFont="1" applyFill="1" applyBorder="1" applyProtection="1"/>
    <xf numFmtId="3" fontId="26" fillId="0" borderId="23" xfId="21" applyNumberFormat="1" applyFont="1" applyFill="1" applyBorder="1" applyProtection="1"/>
    <xf numFmtId="3" fontId="25" fillId="0" borderId="27" xfId="21" applyNumberFormat="1" applyFont="1" applyFill="1" applyBorder="1" applyProtection="1"/>
    <xf numFmtId="165" fontId="72" fillId="0" borderId="23" xfId="21" applyNumberFormat="1" applyFont="1" applyFill="1" applyBorder="1" applyAlignment="1" applyProtection="1">
      <alignment horizontal="right" vertical="center" wrapText="1" indent="1"/>
      <protection locked="0"/>
    </xf>
    <xf numFmtId="0" fontId="95" fillId="0" borderId="42" xfId="0" applyFont="1" applyFill="1" applyBorder="1" applyAlignment="1">
      <alignment vertical="center"/>
    </xf>
    <xf numFmtId="165" fontId="81" fillId="0" borderId="5" xfId="0" applyNumberFormat="1" applyFont="1" applyFill="1" applyBorder="1" applyAlignment="1" applyProtection="1">
      <alignment vertical="center" wrapText="1"/>
      <protection locked="0"/>
    </xf>
    <xf numFmtId="49" fontId="8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2" xfId="0" applyNumberFormat="1" applyFont="1" applyFill="1" applyBorder="1" applyAlignment="1" applyProtection="1">
      <alignment vertical="center" wrapText="1"/>
      <protection locked="0"/>
    </xf>
    <xf numFmtId="0" fontId="95" fillId="0" borderId="41" xfId="0" applyFont="1" applyFill="1" applyBorder="1" applyAlignment="1">
      <alignment vertical="center"/>
    </xf>
    <xf numFmtId="165" fontId="81" fillId="0" borderId="77" xfId="0" applyNumberFormat="1" applyFont="1" applyFill="1" applyBorder="1" applyAlignment="1" applyProtection="1">
      <alignment vertical="center" wrapText="1"/>
      <protection locked="0"/>
    </xf>
    <xf numFmtId="49" fontId="81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81" fillId="0" borderId="3" xfId="0" applyNumberFormat="1" applyFont="1" applyFill="1" applyBorder="1" applyAlignment="1" applyProtection="1">
      <alignment vertical="center" wrapText="1"/>
      <protection locked="0"/>
    </xf>
    <xf numFmtId="0" fontId="95" fillId="0" borderId="48" xfId="0" applyFont="1" applyFill="1" applyBorder="1" applyAlignment="1">
      <alignment vertical="center"/>
    </xf>
    <xf numFmtId="165" fontId="81" fillId="0" borderId="8" xfId="0" applyNumberFormat="1" applyFont="1" applyFill="1" applyBorder="1" applyAlignment="1" applyProtection="1">
      <alignment vertical="center" wrapText="1"/>
      <protection locked="0"/>
    </xf>
    <xf numFmtId="165" fontId="74" fillId="0" borderId="10" xfId="0" applyNumberFormat="1" applyFont="1" applyFill="1" applyBorder="1" applyAlignment="1" applyProtection="1">
      <alignment vertical="center" wrapText="1"/>
      <protection locked="0"/>
    </xf>
    <xf numFmtId="49" fontId="74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74" fillId="0" borderId="65" xfId="0" applyNumberFormat="1" applyFont="1" applyFill="1" applyBorder="1" applyAlignment="1" applyProtection="1">
      <alignment vertical="center" wrapText="1"/>
      <protection locked="0"/>
    </xf>
    <xf numFmtId="165" fontId="74" fillId="0" borderId="6" xfId="0" applyNumberFormat="1" applyFont="1" applyFill="1" applyBorder="1" applyAlignment="1" applyProtection="1">
      <alignment vertical="center" wrapText="1"/>
      <protection locked="0"/>
    </xf>
    <xf numFmtId="165" fontId="74" fillId="0" borderId="23" xfId="0" applyNumberFormat="1" applyFont="1" applyFill="1" applyBorder="1" applyAlignment="1" applyProtection="1">
      <alignment vertical="center" wrapText="1"/>
    </xf>
    <xf numFmtId="165" fontId="81" fillId="0" borderId="17" xfId="0" applyNumberFormat="1" applyFont="1" applyFill="1" applyBorder="1" applyAlignment="1" applyProtection="1">
      <alignment vertical="center" wrapText="1"/>
    </xf>
    <xf numFmtId="165" fontId="81" fillId="0" borderId="22" xfId="0" applyNumberFormat="1" applyFont="1" applyFill="1" applyBorder="1" applyAlignment="1" applyProtection="1">
      <alignment vertical="center" wrapText="1"/>
    </xf>
    <xf numFmtId="3" fontId="77" fillId="0" borderId="57" xfId="10" applyNumberFormat="1" applyFont="1" applyFill="1" applyBorder="1" applyAlignment="1">
      <alignment vertical="center" wrapText="1"/>
    </xf>
    <xf numFmtId="165" fontId="81" fillId="0" borderId="23" xfId="0" applyNumberFormat="1" applyFont="1" applyFill="1" applyBorder="1" applyAlignment="1" applyProtection="1">
      <alignment vertical="center" wrapText="1"/>
    </xf>
    <xf numFmtId="17" fontId="96" fillId="0" borderId="59" xfId="0" applyNumberFormat="1" applyFont="1" applyBorder="1" applyAlignment="1">
      <alignment horizontal="left" vertical="center" wrapText="1"/>
    </xf>
    <xf numFmtId="165" fontId="72" fillId="0" borderId="56" xfId="0" applyNumberFormat="1" applyFont="1" applyFill="1" applyBorder="1" applyAlignment="1" applyProtection="1">
      <alignment vertical="center" wrapText="1"/>
      <protection locked="0"/>
    </xf>
    <xf numFmtId="49" fontId="81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2" fillId="0" borderId="4" xfId="0" applyNumberFormat="1" applyFont="1" applyFill="1" applyBorder="1" applyAlignment="1" applyProtection="1">
      <alignment vertical="center" wrapText="1"/>
      <protection locked="0"/>
    </xf>
    <xf numFmtId="17" fontId="96" fillId="0" borderId="42" xfId="0" applyNumberFormat="1" applyFont="1" applyBorder="1" applyAlignment="1">
      <alignment horizontal="left" vertical="center" wrapText="1"/>
    </xf>
    <xf numFmtId="165" fontId="72" fillId="0" borderId="5" xfId="0" applyNumberFormat="1" applyFont="1" applyFill="1" applyBorder="1" applyAlignment="1" applyProtection="1">
      <alignment vertical="center" wrapText="1"/>
      <protection locked="0"/>
    </xf>
    <xf numFmtId="165" fontId="72" fillId="0" borderId="2" xfId="0" applyNumberFormat="1" applyFont="1" applyFill="1" applyBorder="1" applyAlignment="1" applyProtection="1">
      <alignment vertical="center" wrapText="1"/>
      <protection locked="0"/>
    </xf>
    <xf numFmtId="17" fontId="96" fillId="0" borderId="57" xfId="0" applyNumberFormat="1" applyFont="1" applyBorder="1" applyAlignment="1">
      <alignment horizontal="left" vertical="center" wrapText="1"/>
    </xf>
    <xf numFmtId="165" fontId="72" fillId="0" borderId="75" xfId="0" applyNumberFormat="1" applyFont="1" applyFill="1" applyBorder="1" applyAlignment="1" applyProtection="1">
      <alignment vertical="center" wrapText="1"/>
      <protection locked="0"/>
    </xf>
    <xf numFmtId="49" fontId="8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72" fillId="0" borderId="6" xfId="0" applyNumberFormat="1" applyFont="1" applyFill="1" applyBorder="1" applyAlignment="1" applyProtection="1">
      <alignment vertical="center" wrapText="1"/>
      <protection locked="0"/>
    </xf>
    <xf numFmtId="17" fontId="96" fillId="0" borderId="76" xfId="0" applyNumberFormat="1" applyFont="1" applyBorder="1" applyAlignment="1">
      <alignment horizontal="left" vertical="center" wrapText="1"/>
    </xf>
    <xf numFmtId="165" fontId="72" fillId="0" borderId="55" xfId="0" applyNumberFormat="1" applyFont="1" applyFill="1" applyBorder="1" applyAlignment="1" applyProtection="1">
      <alignment vertical="center" wrapText="1"/>
      <protection locked="0"/>
    </xf>
    <xf numFmtId="49" fontId="8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72" fillId="0" borderId="21" xfId="0" applyNumberFormat="1" applyFont="1" applyFill="1" applyBorder="1" applyAlignment="1" applyProtection="1">
      <alignment vertical="center" wrapText="1"/>
      <protection locked="0"/>
    </xf>
    <xf numFmtId="165" fontId="72" fillId="0" borderId="42" xfId="0" applyNumberFormat="1" applyFont="1" applyFill="1" applyBorder="1" applyAlignment="1" applyProtection="1">
      <alignment horizontal="left" vertical="center" wrapText="1"/>
      <protection locked="0"/>
    </xf>
    <xf numFmtId="165" fontId="72" fillId="0" borderId="8" xfId="0" applyNumberFormat="1" applyFont="1" applyFill="1" applyBorder="1" applyAlignment="1" applyProtection="1">
      <alignment vertical="center" wrapText="1"/>
      <protection locked="0"/>
    </xf>
    <xf numFmtId="49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8" fillId="0" borderId="13" xfId="0" applyNumberFormat="1" applyFont="1" applyFill="1" applyBorder="1" applyAlignment="1" applyProtection="1">
      <alignment vertical="center"/>
    </xf>
    <xf numFmtId="49" fontId="72" fillId="0" borderId="8" xfId="0" applyNumberFormat="1" applyFont="1" applyFill="1" applyBorder="1" applyAlignment="1" applyProtection="1">
      <alignment horizontal="left" vertical="center"/>
    </xf>
    <xf numFmtId="3" fontId="72" fillId="0" borderId="14" xfId="0" applyNumberFormat="1" applyFont="1" applyFill="1" applyBorder="1" applyAlignment="1" applyProtection="1">
      <alignment vertical="center"/>
    </xf>
    <xf numFmtId="3" fontId="72" fillId="0" borderId="19" xfId="0" applyNumberFormat="1" applyFont="1" applyFill="1" applyBorder="1" applyAlignment="1" applyProtection="1">
      <alignment vertical="center"/>
    </xf>
    <xf numFmtId="165" fontId="72" fillId="0" borderId="18" xfId="21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20" xfId="21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17" xfId="21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22" xfId="21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32" xfId="21" applyNumberFormat="1" applyFont="1" applyFill="1" applyBorder="1" applyAlignment="1" applyProtection="1">
      <alignment horizontal="right" vertical="center" wrapText="1" indent="1"/>
      <protection locked="0"/>
    </xf>
    <xf numFmtId="3" fontId="72" fillId="0" borderId="2" xfId="26" applyNumberFormat="1" applyFont="1" applyBorder="1" applyAlignment="1">
      <alignment horizontal="right"/>
    </xf>
    <xf numFmtId="3" fontId="72" fillId="0" borderId="2" xfId="25" applyNumberFormat="1" applyFont="1" applyBorder="1" applyAlignment="1">
      <alignment horizontal="right"/>
    </xf>
    <xf numFmtId="3" fontId="72" fillId="0" borderId="2" xfId="26" quotePrefix="1" applyNumberFormat="1" applyFont="1" applyBorder="1" applyAlignment="1">
      <alignment horizontal="right"/>
    </xf>
    <xf numFmtId="165" fontId="7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8" fontId="72" fillId="0" borderId="23" xfId="25" applyNumberFormat="1" applyFont="1" applyBorder="1"/>
    <xf numFmtId="168" fontId="72" fillId="0" borderId="23" xfId="25" applyNumberFormat="1" applyFont="1" applyFill="1" applyBorder="1"/>
    <xf numFmtId="3" fontId="9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7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36" xfId="20" applyFont="1" applyBorder="1"/>
    <xf numFmtId="166" fontId="71" fillId="0" borderId="36" xfId="10" applyNumberFormat="1" applyFont="1" applyBorder="1" applyAlignment="1"/>
    <xf numFmtId="0" fontId="71" fillId="0" borderId="48" xfId="20" applyFont="1" applyBorder="1" applyAlignment="1">
      <alignment horizontal="left"/>
    </xf>
    <xf numFmtId="0" fontId="71" fillId="0" borderId="72" xfId="20" quotePrefix="1" applyFont="1" applyBorder="1" applyAlignment="1">
      <alignment horizontal="left"/>
    </xf>
    <xf numFmtId="166" fontId="98" fillId="0" borderId="46" xfId="10" applyNumberFormat="1" applyFont="1" applyBorder="1"/>
    <xf numFmtId="166" fontId="98" fillId="0" borderId="71" xfId="10" applyNumberFormat="1" applyFont="1" applyBorder="1"/>
    <xf numFmtId="166" fontId="98" fillId="0" borderId="58" xfId="10" applyNumberFormat="1" applyFont="1" applyBorder="1"/>
    <xf numFmtId="166" fontId="71" fillId="0" borderId="58" xfId="10" applyNumberFormat="1" applyFont="1" applyBorder="1"/>
    <xf numFmtId="3" fontId="26" fillId="0" borderId="0" xfId="23" applyNumberFormat="1" applyFont="1" applyFill="1" applyProtection="1">
      <protection locked="0"/>
    </xf>
    <xf numFmtId="3" fontId="26" fillId="0" borderId="0" xfId="23" applyNumberFormat="1" applyFont="1" applyFill="1" applyAlignment="1" applyProtection="1">
      <alignment vertical="center"/>
    </xf>
    <xf numFmtId="3" fontId="26" fillId="0" borderId="0" xfId="23" applyNumberFormat="1" applyFont="1" applyFill="1" applyAlignment="1" applyProtection="1">
      <alignment vertical="center"/>
      <protection locked="0"/>
    </xf>
    <xf numFmtId="3" fontId="26" fillId="0" borderId="27" xfId="23" applyNumberFormat="1" applyFont="1" applyFill="1" applyBorder="1" applyAlignment="1" applyProtection="1">
      <alignment vertical="center"/>
    </xf>
    <xf numFmtId="3" fontId="26" fillId="0" borderId="27" xfId="23" applyNumberFormat="1" applyFont="1" applyFill="1" applyBorder="1" applyAlignment="1" applyProtection="1">
      <alignment vertical="center"/>
      <protection locked="0"/>
    </xf>
    <xf numFmtId="0" fontId="27" fillId="0" borderId="0" xfId="23" applyFont="1" applyFill="1" applyBorder="1" applyAlignment="1" applyProtection="1">
      <alignment horizontal="center" vertical="center"/>
      <protection locked="0"/>
    </xf>
    <xf numFmtId="0" fontId="19" fillId="0" borderId="0" xfId="23" applyFont="1" applyFill="1" applyBorder="1" applyAlignment="1" applyProtection="1">
      <alignment horizontal="left" vertical="center" indent="1"/>
    </xf>
    <xf numFmtId="165" fontId="18" fillId="0" borderId="0" xfId="23" applyNumberFormat="1" applyFont="1" applyFill="1" applyBorder="1" applyProtection="1"/>
    <xf numFmtId="0" fontId="21" fillId="0" borderId="0" xfId="23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right"/>
    </xf>
    <xf numFmtId="165" fontId="72" fillId="0" borderId="0" xfId="23" applyNumberFormat="1" applyFont="1" applyFill="1" applyBorder="1" applyAlignment="1" applyProtection="1">
      <alignment vertical="center"/>
    </xf>
    <xf numFmtId="165" fontId="25" fillId="0" borderId="0" xfId="23" applyNumberFormat="1" applyFont="1" applyFill="1" applyBorder="1" applyAlignment="1" applyProtection="1">
      <alignment vertical="center"/>
    </xf>
    <xf numFmtId="165" fontId="26" fillId="0" borderId="0" xfId="23" applyNumberFormat="1" applyFont="1" applyFill="1" applyBorder="1" applyAlignment="1" applyProtection="1">
      <alignment vertical="center"/>
    </xf>
    <xf numFmtId="165" fontId="18" fillId="0" borderId="0" xfId="23" applyNumberFormat="1" applyFont="1" applyFill="1" applyBorder="1" applyAlignment="1" applyProtection="1">
      <alignment vertical="center"/>
    </xf>
    <xf numFmtId="0" fontId="10" fillId="0" borderId="0" xfId="23" applyFill="1" applyBorder="1" applyProtection="1"/>
    <xf numFmtId="0" fontId="10" fillId="0" borderId="0" xfId="23" applyFill="1" applyBorder="1" applyProtection="1">
      <protection locked="0"/>
    </xf>
    <xf numFmtId="3" fontId="26" fillId="0" borderId="11" xfId="23" applyNumberFormat="1" applyFont="1" applyFill="1" applyBorder="1" applyAlignment="1" applyProtection="1">
      <alignment vertical="center"/>
    </xf>
    <xf numFmtId="3" fontId="26" fillId="0" borderId="17" xfId="23" applyNumberFormat="1" applyFont="1" applyFill="1" applyBorder="1" applyAlignment="1" applyProtection="1">
      <alignment vertical="center"/>
      <protection locked="0"/>
    </xf>
    <xf numFmtId="3" fontId="26" fillId="0" borderId="8" xfId="23" applyNumberFormat="1" applyFont="1" applyFill="1" applyBorder="1" applyAlignment="1" applyProtection="1">
      <alignment vertical="center"/>
      <protection locked="0"/>
    </xf>
    <xf numFmtId="3" fontId="26" fillId="0" borderId="18" xfId="23" applyNumberFormat="1" applyFont="1" applyFill="1" applyBorder="1" applyAlignment="1" applyProtection="1">
      <alignment vertical="center"/>
      <protection locked="0"/>
    </xf>
    <xf numFmtId="3" fontId="26" fillId="0" borderId="10" xfId="23" applyNumberFormat="1" applyFont="1" applyFill="1" applyBorder="1" applyAlignment="1" applyProtection="1">
      <alignment vertical="center"/>
      <protection locked="0"/>
    </xf>
    <xf numFmtId="3" fontId="26" fillId="0" borderId="23" xfId="23" applyNumberFormat="1" applyFont="1" applyFill="1" applyBorder="1" applyAlignment="1" applyProtection="1">
      <alignment vertical="center"/>
      <protection locked="0"/>
    </xf>
    <xf numFmtId="3" fontId="26" fillId="0" borderId="11" xfId="23" applyNumberFormat="1" applyFont="1" applyFill="1" applyBorder="1" applyAlignment="1" applyProtection="1">
      <alignment vertical="center"/>
      <protection locked="0"/>
    </xf>
    <xf numFmtId="3" fontId="25" fillId="0" borderId="8" xfId="23" applyNumberFormat="1" applyFont="1" applyFill="1" applyBorder="1" applyAlignment="1" applyProtection="1">
      <alignment vertical="center"/>
      <protection locked="0"/>
    </xf>
    <xf numFmtId="0" fontId="20" fillId="0" borderId="11" xfId="23" applyFont="1" applyFill="1" applyBorder="1" applyAlignment="1" applyProtection="1">
      <alignment horizontal="left" vertical="center" indent="1"/>
    </xf>
    <xf numFmtId="0" fontId="20" fillId="0" borderId="4" xfId="23" applyFont="1" applyFill="1" applyBorder="1" applyAlignment="1" applyProtection="1">
      <alignment horizontal="left" vertical="center" indent="1"/>
    </xf>
    <xf numFmtId="165" fontId="26" fillId="0" borderId="4" xfId="23" applyNumberFormat="1" applyFont="1" applyFill="1" applyBorder="1" applyAlignment="1" applyProtection="1">
      <alignment vertical="center"/>
      <protection locked="0"/>
    </xf>
    <xf numFmtId="165" fontId="25" fillId="0" borderId="17" xfId="23" applyNumberFormat="1" applyFont="1" applyFill="1" applyBorder="1" applyAlignment="1" applyProtection="1">
      <alignment vertical="center"/>
    </xf>
    <xf numFmtId="165" fontId="25" fillId="0" borderId="40" xfId="23" applyNumberFormat="1" applyFont="1" applyFill="1" applyBorder="1" applyAlignment="1" applyProtection="1">
      <alignment vertical="center"/>
    </xf>
    <xf numFmtId="0" fontId="71" fillId="0" borderId="42" xfId="18" applyFont="1" applyBorder="1"/>
    <xf numFmtId="3" fontId="99" fillId="0" borderId="51" xfId="10" applyNumberFormat="1" applyFont="1" applyBorder="1" applyAlignment="1">
      <alignment horizontal="right" indent="2"/>
    </xf>
    <xf numFmtId="3" fontId="88" fillId="0" borderId="75" xfId="19" applyNumberFormat="1" applyFont="1" applyBorder="1"/>
    <xf numFmtId="3" fontId="88" fillId="0" borderId="5" xfId="19" applyNumberFormat="1" applyFont="1" applyBorder="1"/>
    <xf numFmtId="3" fontId="100" fillId="0" borderId="8" xfId="19" applyNumberFormat="1" applyFont="1" applyBorder="1"/>
    <xf numFmtId="3" fontId="88" fillId="0" borderId="5" xfId="19" applyNumberFormat="1" applyFont="1" applyFill="1" applyBorder="1"/>
    <xf numFmtId="3" fontId="88" fillId="0" borderId="6" xfId="19" applyNumberFormat="1" applyFont="1" applyBorder="1"/>
    <xf numFmtId="3" fontId="88" fillId="0" borderId="75" xfId="19" applyNumberFormat="1" applyFont="1" applyFill="1" applyBorder="1"/>
    <xf numFmtId="3" fontId="88" fillId="0" borderId="10" xfId="19" applyNumberFormat="1" applyFont="1" applyBorder="1"/>
    <xf numFmtId="3" fontId="88" fillId="0" borderId="8" xfId="19" applyNumberFormat="1" applyFont="1" applyBorder="1"/>
    <xf numFmtId="3" fontId="88" fillId="0" borderId="4" xfId="19" applyNumberFormat="1" applyFont="1" applyBorder="1" applyAlignment="1">
      <alignment horizontal="center"/>
    </xf>
    <xf numFmtId="3" fontId="88" fillId="0" borderId="10" xfId="19" applyNumberFormat="1" applyFont="1" applyFill="1" applyBorder="1"/>
    <xf numFmtId="3" fontId="88" fillId="0" borderId="2" xfId="19" applyNumberFormat="1" applyFont="1" applyBorder="1"/>
    <xf numFmtId="3" fontId="100" fillId="0" borderId="2" xfId="19" applyNumberFormat="1" applyFont="1" applyBorder="1"/>
    <xf numFmtId="165" fontId="32" fillId="0" borderId="24" xfId="21" applyNumberFormat="1" applyFont="1" applyFill="1" applyBorder="1" applyAlignment="1" applyProtection="1">
      <alignment horizontal="left" vertical="center"/>
    </xf>
    <xf numFmtId="165" fontId="6" fillId="0" borderId="0" xfId="21" applyNumberFormat="1" applyFont="1" applyFill="1" applyBorder="1" applyAlignment="1" applyProtection="1">
      <alignment horizontal="center" vertical="center"/>
    </xf>
    <xf numFmtId="165" fontId="32" fillId="0" borderId="24" xfId="21" applyNumberFormat="1" applyFont="1" applyFill="1" applyBorder="1" applyAlignment="1" applyProtection="1">
      <alignment horizontal="left"/>
    </xf>
    <xf numFmtId="0" fontId="21" fillId="0" borderId="0" xfId="21" applyFont="1" applyFill="1" applyAlignment="1" applyProtection="1">
      <alignment horizontal="center"/>
    </xf>
    <xf numFmtId="165" fontId="27" fillId="0" borderId="24" xfId="21" applyNumberFormat="1" applyFont="1" applyFill="1" applyBorder="1" applyAlignment="1" applyProtection="1">
      <alignment horizontal="center" vertical="center"/>
    </xf>
    <xf numFmtId="165" fontId="16" fillId="0" borderId="0" xfId="0" applyNumberFormat="1" applyFont="1" applyFill="1" applyAlignment="1" applyProtection="1">
      <alignment horizontal="center" textRotation="180" wrapText="1"/>
    </xf>
    <xf numFmtId="165" fontId="27" fillId="0" borderId="61" xfId="0" applyNumberFormat="1" applyFont="1" applyFill="1" applyBorder="1" applyAlignment="1" applyProtection="1">
      <alignment horizontal="center" vertical="center" wrapText="1"/>
    </xf>
    <xf numFmtId="165" fontId="27" fillId="0" borderId="74" xfId="0" applyNumberFormat="1" applyFont="1" applyFill="1" applyBorder="1" applyAlignment="1" applyProtection="1">
      <alignment horizontal="center" vertical="center" wrapText="1"/>
    </xf>
    <xf numFmtId="165" fontId="40" fillId="0" borderId="52" xfId="0" applyNumberFormat="1" applyFont="1" applyFill="1" applyBorder="1" applyAlignment="1" applyProtection="1">
      <alignment horizontal="center" vertical="center" wrapText="1"/>
    </xf>
    <xf numFmtId="165" fontId="27" fillId="0" borderId="59" xfId="0" applyNumberFormat="1" applyFont="1" applyFill="1" applyBorder="1" applyAlignment="1" applyProtection="1">
      <alignment horizontal="center" vertical="center" wrapText="1"/>
    </xf>
    <xf numFmtId="165" fontId="27" fillId="0" borderId="76" xfId="0" applyNumberFormat="1" applyFont="1" applyFill="1" applyBorder="1" applyAlignment="1" applyProtection="1">
      <alignment horizontal="center" vertical="center" wrapText="1"/>
    </xf>
    <xf numFmtId="165" fontId="21" fillId="0" borderId="0" xfId="0" applyNumberFormat="1" applyFont="1" applyFill="1" applyAlignment="1">
      <alignment horizontal="center" vertical="center" wrapText="1"/>
    </xf>
    <xf numFmtId="0" fontId="26" fillId="0" borderId="46" xfId="0" applyFont="1" applyFill="1" applyBorder="1" applyAlignment="1" applyProtection="1">
      <alignment horizontal="left" indent="1"/>
      <protection locked="0"/>
    </xf>
    <xf numFmtId="0" fontId="26" fillId="0" borderId="71" xfId="0" applyFont="1" applyFill="1" applyBorder="1" applyAlignment="1" applyProtection="1">
      <alignment horizontal="left" indent="1"/>
      <protection locked="0"/>
    </xf>
    <xf numFmtId="0" fontId="26" fillId="0" borderId="56" xfId="0" applyFont="1" applyFill="1" applyBorder="1" applyAlignment="1" applyProtection="1">
      <alignment horizontal="left" indent="1"/>
      <protection locked="0"/>
    </xf>
    <xf numFmtId="0" fontId="26" fillId="0" borderId="4" xfId="0" applyFont="1" applyFill="1" applyBorder="1" applyAlignment="1" applyProtection="1">
      <alignment horizontal="right" indent="1"/>
      <protection locked="0"/>
    </xf>
    <xf numFmtId="0" fontId="26" fillId="0" borderId="17" xfId="0" applyFont="1" applyFill="1" applyBorder="1" applyAlignment="1" applyProtection="1">
      <alignment horizontal="right" indent="1"/>
      <protection locked="0"/>
    </xf>
    <xf numFmtId="0" fontId="26" fillId="0" borderId="30" xfId="0" applyFont="1" applyFill="1" applyBorder="1" applyAlignment="1" applyProtection="1">
      <alignment horizontal="left" indent="1"/>
      <protection locked="0"/>
    </xf>
    <xf numFmtId="0" fontId="26" fillId="0" borderId="31" xfId="0" applyFont="1" applyFill="1" applyBorder="1" applyAlignment="1" applyProtection="1">
      <alignment horizontal="left" indent="1"/>
      <protection locked="0"/>
    </xf>
    <xf numFmtId="0" fontId="26" fillId="0" borderId="75" xfId="0" applyFont="1" applyFill="1" applyBorder="1" applyAlignment="1" applyProtection="1">
      <alignment horizontal="left" indent="1"/>
      <protection locked="0"/>
    </xf>
    <xf numFmtId="0" fontId="26" fillId="0" borderId="6" xfId="0" applyFont="1" applyFill="1" applyBorder="1" applyAlignment="1" applyProtection="1">
      <alignment horizontal="right" indent="1"/>
      <protection locked="0"/>
    </xf>
    <xf numFmtId="0" fontId="26" fillId="0" borderId="23" xfId="0" applyFont="1" applyFill="1" applyBorder="1" applyAlignment="1" applyProtection="1">
      <alignment horizontal="right" indent="1"/>
      <protection locked="0"/>
    </xf>
    <xf numFmtId="0" fontId="27" fillId="0" borderId="34" xfId="0" applyFont="1" applyFill="1" applyBorder="1" applyAlignment="1" applyProtection="1">
      <alignment horizontal="left" indent="1"/>
    </xf>
    <xf numFmtId="0" fontId="27" fillId="0" borderId="35" xfId="0" applyFont="1" applyFill="1" applyBorder="1" applyAlignment="1" applyProtection="1">
      <alignment horizontal="left" indent="1"/>
    </xf>
    <xf numFmtId="0" fontId="27" fillId="0" borderId="33" xfId="0" applyFont="1" applyFill="1" applyBorder="1" applyAlignment="1" applyProtection="1">
      <alignment horizontal="left" indent="1"/>
    </xf>
    <xf numFmtId="0" fontId="25" fillId="0" borderId="14" xfId="0" applyFont="1" applyFill="1" applyBorder="1" applyAlignment="1" applyProtection="1">
      <alignment horizontal="right" indent="1"/>
    </xf>
    <xf numFmtId="0" fontId="25" fillId="0" borderId="19" xfId="0" applyFont="1" applyFill="1" applyBorder="1" applyAlignment="1" applyProtection="1">
      <alignment horizontal="right" indent="1"/>
    </xf>
    <xf numFmtId="0" fontId="27" fillId="0" borderId="63" xfId="0" applyFont="1" applyFill="1" applyBorder="1" applyAlignment="1" applyProtection="1">
      <alignment horizontal="center"/>
    </xf>
    <xf numFmtId="0" fontId="27" fillId="0" borderId="52" xfId="0" applyFont="1" applyFill="1" applyBorder="1" applyAlignment="1" applyProtection="1">
      <alignment horizontal="center"/>
    </xf>
    <xf numFmtId="0" fontId="27" fillId="0" borderId="78" xfId="0" applyFont="1" applyFill="1" applyBorder="1" applyAlignment="1" applyProtection="1">
      <alignment horizontal="center"/>
    </xf>
    <xf numFmtId="0" fontId="27" fillId="0" borderId="16" xfId="0" applyFont="1" applyFill="1" applyBorder="1" applyAlignment="1" applyProtection="1">
      <alignment horizontal="center"/>
    </xf>
    <xf numFmtId="0" fontId="27" fillId="0" borderId="28" xfId="0" applyFont="1" applyFill="1" applyBorder="1" applyAlignment="1" applyProtection="1">
      <alignment horizontal="center"/>
    </xf>
    <xf numFmtId="0" fontId="21" fillId="0" borderId="0" xfId="0" applyFont="1" applyFill="1" applyAlignment="1" applyProtection="1">
      <alignment horizontal="center" wrapText="1"/>
    </xf>
    <xf numFmtId="0" fontId="29" fillId="0" borderId="0" xfId="0" applyFont="1" applyFill="1" applyBorder="1" applyAlignment="1" applyProtection="1">
      <alignment horizontal="right"/>
    </xf>
    <xf numFmtId="49" fontId="21" fillId="0" borderId="0" xfId="0" applyNumberFormat="1" applyFont="1" applyFill="1" applyBorder="1" applyAlignment="1" applyProtection="1">
      <alignment horizontal="left" vertical="center"/>
    </xf>
    <xf numFmtId="0" fontId="75" fillId="0" borderId="8" xfId="0" applyFont="1" applyFill="1" applyBorder="1" applyAlignment="1" applyProtection="1">
      <alignment horizontal="left" vertical="center" wrapText="1"/>
    </xf>
    <xf numFmtId="0" fontId="75" fillId="0" borderId="2" xfId="0" applyFont="1" applyFill="1" applyBorder="1" applyAlignment="1" applyProtection="1">
      <alignment horizontal="left" vertical="center" wrapText="1"/>
    </xf>
    <xf numFmtId="0" fontId="75" fillId="0" borderId="12" xfId="0" applyFont="1" applyFill="1" applyBorder="1" applyAlignment="1" applyProtection="1">
      <alignment horizontal="left" vertical="center" wrapText="1"/>
    </xf>
    <xf numFmtId="0" fontId="75" fillId="0" borderId="21" xfId="0" applyFont="1" applyFill="1" applyBorder="1" applyAlignment="1" applyProtection="1">
      <alignment horizontal="left" vertical="center" wrapText="1"/>
    </xf>
    <xf numFmtId="0" fontId="4" fillId="0" borderId="34" xfId="0" applyFont="1" applyFill="1" applyBorder="1" applyAlignment="1" applyProtection="1">
      <alignment horizontal="left" vertical="center" wrapText="1"/>
    </xf>
    <xf numFmtId="0" fontId="4" fillId="0" borderId="44" xfId="0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 wrapText="1"/>
    </xf>
    <xf numFmtId="0" fontId="13" fillId="0" borderId="21" xfId="0" applyFont="1" applyFill="1" applyBorder="1" applyAlignment="1" applyProtection="1">
      <alignment horizontal="left" vertical="center" wrapText="1"/>
    </xf>
    <xf numFmtId="0" fontId="18" fillId="0" borderId="15" xfId="25" applyFont="1" applyBorder="1" applyAlignment="1">
      <alignment horizontal="center" vertical="center"/>
    </xf>
    <xf numFmtId="0" fontId="18" fillId="0" borderId="7" xfId="25" applyFont="1" applyBorder="1" applyAlignment="1">
      <alignment horizontal="center" vertical="center"/>
    </xf>
    <xf numFmtId="0" fontId="18" fillId="0" borderId="9" xfId="25" applyFont="1" applyBorder="1" applyAlignment="1">
      <alignment horizontal="center" vertical="center"/>
    </xf>
    <xf numFmtId="0" fontId="18" fillId="0" borderId="4" xfId="25" applyFont="1" applyBorder="1" applyAlignment="1">
      <alignment horizontal="left"/>
    </xf>
    <xf numFmtId="0" fontId="42" fillId="0" borderId="4" xfId="25" applyBorder="1" applyAlignment="1">
      <alignment horizontal="left"/>
    </xf>
    <xf numFmtId="0" fontId="42" fillId="0" borderId="17" xfId="25" applyBorder="1" applyAlignment="1">
      <alignment horizontal="left"/>
    </xf>
    <xf numFmtId="0" fontId="48" fillId="0" borderId="0" xfId="22" applyFont="1" applyFill="1" applyAlignment="1">
      <alignment horizontal="center"/>
    </xf>
    <xf numFmtId="0" fontId="18" fillId="0" borderId="28" xfId="25" applyFont="1" applyBorder="1" applyAlignment="1">
      <alignment horizontal="center" wrapText="1"/>
    </xf>
    <xf numFmtId="0" fontId="43" fillId="0" borderId="40" xfId="22" applyFont="1" applyBorder="1" applyAlignment="1">
      <alignment wrapText="1"/>
    </xf>
    <xf numFmtId="0" fontId="71" fillId="0" borderId="48" xfId="20" applyFont="1" applyBorder="1" applyAlignment="1">
      <alignment horizontal="left"/>
    </xf>
    <xf numFmtId="0" fontId="71" fillId="0" borderId="72" xfId="20" quotePrefix="1" applyFont="1" applyBorder="1" applyAlignment="1">
      <alignment horizontal="left"/>
    </xf>
    <xf numFmtId="0" fontId="21" fillId="0" borderId="0" xfId="23" applyFont="1" applyFill="1" applyAlignment="1" applyProtection="1">
      <alignment horizontal="center" wrapText="1"/>
    </xf>
    <xf numFmtId="0" fontId="21" fillId="0" borderId="0" xfId="23" applyFont="1" applyFill="1" applyAlignment="1" applyProtection="1">
      <alignment horizontal="center"/>
    </xf>
    <xf numFmtId="0" fontId="19" fillId="0" borderId="68" xfId="23" applyFont="1" applyFill="1" applyBorder="1" applyAlignment="1" applyProtection="1">
      <alignment horizontal="left" vertical="center" indent="1"/>
    </xf>
    <xf numFmtId="0" fontId="19" fillId="0" borderId="35" xfId="23" applyFont="1" applyFill="1" applyBorder="1" applyAlignment="1" applyProtection="1">
      <alignment horizontal="left" vertical="center" indent="1"/>
    </xf>
    <xf numFmtId="0" fontId="19" fillId="0" borderId="44" xfId="23" applyFont="1" applyFill="1" applyBorder="1" applyAlignment="1" applyProtection="1">
      <alignment horizontal="left" vertical="center" indent="1"/>
    </xf>
    <xf numFmtId="0" fontId="16" fillId="0" borderId="0" xfId="18" applyFont="1" applyAlignment="1">
      <alignment horizontal="right"/>
    </xf>
    <xf numFmtId="0" fontId="14" fillId="0" borderId="0" xfId="0" applyFont="1" applyFill="1" applyBorder="1" applyAlignment="1" applyProtection="1">
      <alignment horizontal="center" vertical="center"/>
    </xf>
    <xf numFmtId="0" fontId="28" fillId="0" borderId="61" xfId="18" applyFont="1" applyBorder="1" applyAlignment="1">
      <alignment horizontal="center" vertical="center" wrapText="1"/>
    </xf>
    <xf numFmtId="0" fontId="28" fillId="0" borderId="38" xfId="18" applyFont="1" applyBorder="1" applyAlignment="1">
      <alignment horizontal="center" vertical="center" wrapText="1"/>
    </xf>
    <xf numFmtId="0" fontId="28" fillId="0" borderId="74" xfId="18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32" fillId="0" borderId="0" xfId="0" applyFont="1" applyAlignment="1" applyProtection="1">
      <alignment horizontal="right"/>
    </xf>
    <xf numFmtId="0" fontId="27" fillId="0" borderId="34" xfId="0" applyFont="1" applyBorder="1" applyAlignment="1" applyProtection="1">
      <alignment horizontal="left" vertical="center" indent="2"/>
    </xf>
    <xf numFmtId="0" fontId="27" fillId="0" borderId="44" xfId="0" applyFont="1" applyBorder="1" applyAlignment="1" applyProtection="1">
      <alignment horizontal="left" vertical="center" indent="2"/>
    </xf>
    <xf numFmtId="0" fontId="8" fillId="0" borderId="0" xfId="19" applyFont="1" applyAlignment="1">
      <alignment horizontal="center"/>
    </xf>
    <xf numFmtId="0" fontId="13" fillId="0" borderId="0" xfId="19" applyFont="1" applyAlignment="1">
      <alignment horizontal="center"/>
    </xf>
    <xf numFmtId="0" fontId="6" fillId="0" borderId="11" xfId="19" applyFont="1" applyBorder="1" applyAlignment="1">
      <alignment horizontal="center"/>
    </xf>
    <xf numFmtId="0" fontId="6" fillId="0" borderId="4" xfId="19" applyFont="1" applyBorder="1" applyAlignment="1">
      <alignment horizontal="center"/>
    </xf>
    <xf numFmtId="0" fontId="6" fillId="0" borderId="17" xfId="19" applyFont="1" applyBorder="1" applyAlignment="1">
      <alignment horizontal="center"/>
    </xf>
    <xf numFmtId="3" fontId="20" fillId="0" borderId="0" xfId="0" applyNumberFormat="1" applyFont="1" applyFill="1" applyAlignment="1">
      <alignment horizontal="right" vertical="center" wrapText="1"/>
    </xf>
    <xf numFmtId="3" fontId="20" fillId="0" borderId="0" xfId="0" applyNumberFormat="1" applyFont="1" applyFill="1" applyAlignment="1">
      <alignment horizontal="right" vertical="center"/>
    </xf>
    <xf numFmtId="3" fontId="18" fillId="0" borderId="27" xfId="0" applyNumberFormat="1" applyFont="1" applyFill="1" applyBorder="1" applyAlignment="1">
      <alignment horizontal="right" vertical="center" wrapText="1"/>
    </xf>
    <xf numFmtId="3" fontId="20" fillId="0" borderId="9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3" fontId="20" fillId="0" borderId="8" xfId="0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10" xfId="0" applyNumberFormat="1" applyFont="1" applyFill="1" applyBorder="1" applyAlignment="1">
      <alignment horizontal="right" vertical="center" wrapText="1"/>
    </xf>
    <xf numFmtId="3" fontId="20" fillId="0" borderId="23" xfId="0" applyNumberFormat="1" applyFont="1" applyFill="1" applyBorder="1" applyAlignment="1">
      <alignment horizontal="right" vertical="center" wrapText="1"/>
    </xf>
    <xf numFmtId="3" fontId="20" fillId="0" borderId="27" xfId="0" applyNumberFormat="1" applyFont="1" applyFill="1" applyBorder="1" applyAlignment="1">
      <alignment horizontal="right" vertical="center" wrapText="1"/>
    </xf>
    <xf numFmtId="3" fontId="18" fillId="0" borderId="0" xfId="0" applyNumberFormat="1" applyFont="1" applyFill="1" applyAlignment="1">
      <alignment horizontal="center" vertical="center" wrapText="1"/>
    </xf>
    <xf numFmtId="3" fontId="20" fillId="0" borderId="0" xfId="0" applyNumberFormat="1" applyFont="1" applyFill="1" applyAlignment="1">
      <alignment vertical="center" wrapText="1"/>
    </xf>
    <xf numFmtId="3" fontId="101" fillId="0" borderId="0" xfId="0" applyNumberFormat="1" applyFont="1" applyFill="1" applyAlignment="1">
      <alignment vertical="center"/>
    </xf>
    <xf numFmtId="3" fontId="18" fillId="0" borderId="0" xfId="0" applyNumberFormat="1" applyFont="1" applyFill="1" applyAlignment="1">
      <alignment vertical="center"/>
    </xf>
  </cellXfs>
  <cellStyles count="27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3" xfId="8"/>
    <cellStyle name="Ezres 4" xfId="9"/>
    <cellStyle name="Ezres 4 2" xfId="10"/>
    <cellStyle name="Ezres 4 2 2" xfId="26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3" xfId="15"/>
    <cellStyle name="Normál 3 2" xfId="16"/>
    <cellStyle name="Normál 3 2 2" xfId="17"/>
    <cellStyle name="Normál_2013.évi normatíva költségvetéshez" xfId="18"/>
    <cellStyle name="Normál_Göngyölített 12.13 2 2" xfId="19"/>
    <cellStyle name="Normál_költségvetési rend. mód. melléklet 2 2" xfId="20"/>
    <cellStyle name="Normál_KVRENMUNKA" xfId="21"/>
    <cellStyle name="Normál_Önkormányzati%20melléklet%202013.(1) 2 2" xfId="22"/>
    <cellStyle name="Normál_SEGEDLETEK" xfId="23"/>
    <cellStyle name="Normál_szakfeladat táblázat költségvetéshez" xfId="24"/>
    <cellStyle name="Normál_szakfeladatokhoz táblázat 2 2" xfId="2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59"/>
  <sheetViews>
    <sheetView topLeftCell="B1" zoomScaleNormal="100" zoomScaleSheetLayoutView="100" workbookViewId="0">
      <selection activeCell="D1" sqref="D1:I1048576"/>
    </sheetView>
  </sheetViews>
  <sheetFormatPr defaultRowHeight="15.75" x14ac:dyDescent="0.25"/>
  <cols>
    <col min="1" max="1" width="9.5" style="232" customWidth="1"/>
    <col min="2" max="2" width="91.6640625" style="232" customWidth="1"/>
    <col min="3" max="3" width="21.6640625" style="426" customWidth="1"/>
    <col min="4" max="5" width="14.5" style="243" hidden="1" customWidth="1"/>
    <col min="6" max="6" width="15.33203125" style="243" hidden="1" customWidth="1"/>
    <col min="7" max="7" width="11.1640625" style="243" hidden="1" customWidth="1"/>
    <col min="8" max="8" width="13.5" style="838" hidden="1" customWidth="1"/>
    <col min="9" max="9" width="17.83203125" style="839" hidden="1" customWidth="1"/>
    <col min="10" max="10" width="9.33203125" style="243" customWidth="1"/>
    <col min="11" max="16384" width="9.33203125" style="243"/>
  </cols>
  <sheetData>
    <row r="1" spans="1:9" ht="15.95" customHeight="1" x14ac:dyDescent="0.25">
      <c r="A1" s="954" t="s">
        <v>42</v>
      </c>
      <c r="B1" s="954"/>
      <c r="C1" s="954"/>
    </row>
    <row r="2" spans="1:9" ht="15.95" customHeight="1" thickBot="1" x14ac:dyDescent="0.3">
      <c r="A2" s="953" t="s">
        <v>167</v>
      </c>
      <c r="B2" s="953"/>
      <c r="C2" s="167" t="s">
        <v>676</v>
      </c>
    </row>
    <row r="3" spans="1:9" ht="38.1" customHeight="1" thickBot="1" x14ac:dyDescent="0.3">
      <c r="A3" s="22" t="s">
        <v>96</v>
      </c>
      <c r="B3" s="23" t="s">
        <v>44</v>
      </c>
      <c r="C3" s="35" t="s">
        <v>661</v>
      </c>
      <c r="D3" s="232" t="s">
        <v>699</v>
      </c>
      <c r="E3" s="232" t="s">
        <v>700</v>
      </c>
      <c r="F3" s="232" t="s">
        <v>701</v>
      </c>
      <c r="G3" s="232"/>
    </row>
    <row r="4" spans="1:9" s="244" customFormat="1" ht="12" customHeight="1" thickBot="1" x14ac:dyDescent="0.25">
      <c r="A4" s="238" t="s">
        <v>524</v>
      </c>
      <c r="B4" s="239" t="s">
        <v>525</v>
      </c>
      <c r="C4" s="240" t="s">
        <v>526</v>
      </c>
      <c r="H4" s="838"/>
      <c r="I4" s="839"/>
    </row>
    <row r="5" spans="1:9" s="245" customFormat="1" ht="12" customHeight="1" thickBot="1" x14ac:dyDescent="0.25">
      <c r="A5" s="19" t="s">
        <v>45</v>
      </c>
      <c r="B5" s="20" t="s">
        <v>228</v>
      </c>
      <c r="C5" s="158">
        <f>SUM(C6:C11)</f>
        <v>1214566895</v>
      </c>
      <c r="D5" s="351">
        <f>+D6+D7+D8+D9+D10+D11</f>
        <v>1190343400</v>
      </c>
      <c r="E5" s="158">
        <f>+E6+E7+E8+E9+E10+E11</f>
        <v>0</v>
      </c>
      <c r="F5" s="158">
        <f>+F6+F7+F8+F9+F10+F11</f>
        <v>0</v>
      </c>
      <c r="H5" s="846">
        <f>'1.2.sz.mell. '!C5+'1.3.sz.mell.'!C5+'1.4.sz.mell. '!C5</f>
        <v>1214566895</v>
      </c>
      <c r="I5" s="846">
        <f t="shared" ref="I5:I68" si="0">C5-H5</f>
        <v>0</v>
      </c>
    </row>
    <row r="6" spans="1:9" s="245" customFormat="1" ht="12" customHeight="1" x14ac:dyDescent="0.2">
      <c r="A6" s="14" t="s">
        <v>121</v>
      </c>
      <c r="B6" s="246" t="s">
        <v>229</v>
      </c>
      <c r="C6" s="393">
        <f>SUM(D6:F6)+905743</f>
        <v>228418282</v>
      </c>
      <c r="D6" s="358">
        <v>227512539</v>
      </c>
      <c r="E6" s="284"/>
      <c r="F6" s="284"/>
      <c r="H6" s="840">
        <f>'1.2.sz.mell. '!C6+'1.3.sz.mell.'!C6+'1.4.sz.mell. '!C6</f>
        <v>228418282</v>
      </c>
      <c r="I6" s="841">
        <f t="shared" si="0"/>
        <v>0</v>
      </c>
    </row>
    <row r="7" spans="1:9" s="245" customFormat="1" ht="12" customHeight="1" x14ac:dyDescent="0.2">
      <c r="A7" s="13" t="s">
        <v>122</v>
      </c>
      <c r="B7" s="247" t="s">
        <v>230</v>
      </c>
      <c r="C7" s="394">
        <f>SUM(D7:F7)+10461768-4721982-4278000</f>
        <v>219569080</v>
      </c>
      <c r="D7" s="324">
        <v>218107294</v>
      </c>
      <c r="E7" s="162"/>
      <c r="F7" s="162"/>
      <c r="H7" s="842">
        <f>'1.2.sz.mell. '!C7+'1.3.sz.mell.'!C7+'1.4.sz.mell. '!C7</f>
        <v>219569080</v>
      </c>
      <c r="I7" s="843">
        <f t="shared" si="0"/>
        <v>0</v>
      </c>
    </row>
    <row r="8" spans="1:9" s="245" customFormat="1" ht="12" customHeight="1" x14ac:dyDescent="0.2">
      <c r="A8" s="13" t="s">
        <v>123</v>
      </c>
      <c r="B8" s="247" t="s">
        <v>648</v>
      </c>
      <c r="C8" s="802">
        <f>SUM(D8:F8)-35761000-1921230+31350000</f>
        <v>534581835</v>
      </c>
      <c r="D8" s="324">
        <f>121200000+67844165+118423160+15562200+177597260+4526280+11511000+24250000</f>
        <v>540914065</v>
      </c>
      <c r="E8" s="162"/>
      <c r="F8" s="162"/>
      <c r="H8" s="842">
        <f>'1.2.sz.mell. '!C8+'1.3.sz.mell.'!C8+'1.4.sz.mell. '!C8</f>
        <v>534581835</v>
      </c>
      <c r="I8" s="843">
        <f t="shared" si="0"/>
        <v>0</v>
      </c>
    </row>
    <row r="9" spans="1:9" s="245" customFormat="1" ht="12" customHeight="1" x14ac:dyDescent="0.2">
      <c r="A9" s="13" t="s">
        <v>124</v>
      </c>
      <c r="B9" s="247" t="s">
        <v>232</v>
      </c>
      <c r="C9" s="394">
        <f>SUM(D9:F9)-4412740+4412740+1038248</f>
        <v>31342308</v>
      </c>
      <c r="D9" s="324">
        <f>4412740+15262320+10629000</f>
        <v>30304060</v>
      </c>
      <c r="E9" s="162"/>
      <c r="F9" s="162"/>
      <c r="H9" s="842">
        <f>'1.2.sz.mell. '!C9+'1.3.sz.mell.'!C9+'1.4.sz.mell. '!C9</f>
        <v>31342308</v>
      </c>
      <c r="I9" s="843">
        <f t="shared" si="0"/>
        <v>0</v>
      </c>
    </row>
    <row r="10" spans="1:9" s="245" customFormat="1" ht="12" customHeight="1" x14ac:dyDescent="0.2">
      <c r="A10" s="13" t="s">
        <v>164</v>
      </c>
      <c r="B10" s="154" t="s">
        <v>527</v>
      </c>
      <c r="C10" s="802">
        <f>SUM(D10:F10)+23885805+49094027+4501192-4412740-15000000+306000-31224336</f>
        <v>200655390</v>
      </c>
      <c r="D10" s="324">
        <f>3551000+1060845+168707597+58000+128000</f>
        <v>173505442</v>
      </c>
      <c r="E10" s="162"/>
      <c r="F10" s="162"/>
      <c r="H10" s="842">
        <f>'1.2.sz.mell. '!C10+'1.3.sz.mell.'!C10+'1.4.sz.mell. '!C10</f>
        <v>200655390</v>
      </c>
      <c r="I10" s="843">
        <f t="shared" si="0"/>
        <v>0</v>
      </c>
    </row>
    <row r="11" spans="1:9" s="245" customFormat="1" ht="12" customHeight="1" thickBot="1" x14ac:dyDescent="0.25">
      <c r="A11" s="15" t="s">
        <v>125</v>
      </c>
      <c r="B11" s="155" t="s">
        <v>528</v>
      </c>
      <c r="C11" s="395">
        <f>SUM(D11:F11)</f>
        <v>0</v>
      </c>
      <c r="D11" s="145"/>
      <c r="E11" s="159"/>
      <c r="F11" s="159"/>
      <c r="H11" s="844">
        <f>'1.2.sz.mell. '!C11+'1.3.sz.mell.'!C11+'1.4.sz.mell. '!C11</f>
        <v>0</v>
      </c>
      <c r="I11" s="845">
        <f t="shared" si="0"/>
        <v>0</v>
      </c>
    </row>
    <row r="12" spans="1:9" s="245" customFormat="1" ht="12" customHeight="1" thickBot="1" x14ac:dyDescent="0.25">
      <c r="A12" s="19" t="s">
        <v>46</v>
      </c>
      <c r="B12" s="153" t="s">
        <v>233</v>
      </c>
      <c r="C12" s="158">
        <f>SUM(C13:C17)</f>
        <v>335849323</v>
      </c>
      <c r="D12" s="351">
        <f>+D13+D14+D15+D16+D17</f>
        <v>-145452435</v>
      </c>
      <c r="E12" s="158">
        <f>+E13+E14+E15+E16+E17</f>
        <v>0</v>
      </c>
      <c r="F12" s="158">
        <f>+F13+F14+F15+F16+F17</f>
        <v>5485000</v>
      </c>
      <c r="H12" s="846">
        <f>'1.2.sz.mell. '!C12+'1.3.sz.mell.'!C12+'1.4.sz.mell. '!C12</f>
        <v>335849323</v>
      </c>
      <c r="I12" s="846">
        <f t="shared" si="0"/>
        <v>0</v>
      </c>
    </row>
    <row r="13" spans="1:9" s="245" customFormat="1" ht="12" customHeight="1" x14ac:dyDescent="0.2">
      <c r="A13" s="14" t="s">
        <v>127</v>
      </c>
      <c r="B13" s="246" t="s">
        <v>234</v>
      </c>
      <c r="C13" s="241">
        <f>SUM(D13:F13)</f>
        <v>0</v>
      </c>
      <c r="D13" s="353"/>
      <c r="E13" s="160"/>
      <c r="F13" s="160"/>
      <c r="H13" s="840">
        <f>'1.2.sz.mell. '!C13+'1.3.sz.mell.'!C13+'1.4.sz.mell. '!C13</f>
        <v>0</v>
      </c>
      <c r="I13" s="841">
        <f t="shared" si="0"/>
        <v>0</v>
      </c>
    </row>
    <row r="14" spans="1:9" s="245" customFormat="1" ht="12" customHeight="1" x14ac:dyDescent="0.2">
      <c r="A14" s="13" t="s">
        <v>128</v>
      </c>
      <c r="B14" s="247" t="s">
        <v>235</v>
      </c>
      <c r="C14" s="418">
        <f>SUM(D14:F14)</f>
        <v>0</v>
      </c>
      <c r="D14" s="145"/>
      <c r="E14" s="159"/>
      <c r="F14" s="159"/>
      <c r="H14" s="842">
        <f>'1.2.sz.mell. '!C14+'1.3.sz.mell.'!C14+'1.4.sz.mell. '!C14</f>
        <v>0</v>
      </c>
      <c r="I14" s="843">
        <f t="shared" si="0"/>
        <v>0</v>
      </c>
    </row>
    <row r="15" spans="1:9" s="245" customFormat="1" ht="12" customHeight="1" x14ac:dyDescent="0.2">
      <c r="A15" s="13" t="s">
        <v>129</v>
      </c>
      <c r="B15" s="247" t="s">
        <v>404</v>
      </c>
      <c r="C15" s="394">
        <f>SUM(D15:F15)</f>
        <v>0</v>
      </c>
      <c r="D15" s="145"/>
      <c r="E15" s="159"/>
      <c r="F15" s="159"/>
      <c r="H15" s="842">
        <f>'1.2.sz.mell. '!C15+'1.3.sz.mell.'!C15+'1.4.sz.mell. '!C15</f>
        <v>0</v>
      </c>
      <c r="I15" s="843">
        <f t="shared" si="0"/>
        <v>0</v>
      </c>
    </row>
    <row r="16" spans="1:9" s="245" customFormat="1" ht="12" customHeight="1" x14ac:dyDescent="0.2">
      <c r="A16" s="13" t="s">
        <v>130</v>
      </c>
      <c r="B16" s="247" t="s">
        <v>405</v>
      </c>
      <c r="C16" s="394">
        <f>SUM(D16:F16)</f>
        <v>0</v>
      </c>
      <c r="D16" s="145"/>
      <c r="E16" s="159"/>
      <c r="F16" s="159"/>
      <c r="H16" s="842">
        <f>'1.2.sz.mell. '!C16+'1.3.sz.mell.'!C16+'1.4.sz.mell. '!C16</f>
        <v>0</v>
      </c>
      <c r="I16" s="843">
        <f t="shared" si="0"/>
        <v>0</v>
      </c>
    </row>
    <row r="17" spans="1:9" s="245" customFormat="1" ht="12" customHeight="1" x14ac:dyDescent="0.2">
      <c r="A17" s="13" t="s">
        <v>131</v>
      </c>
      <c r="B17" s="247" t="s">
        <v>236</v>
      </c>
      <c r="C17" s="802">
        <f>SUM(D17:F17)+326152588+94906504+10325405+7215044+33734217+3483000</f>
        <v>335849323</v>
      </c>
      <c r="D17" s="329">
        <f>2285000+210000+110446000+65342000-323735435</f>
        <v>-145452435</v>
      </c>
      <c r="E17" s="326"/>
      <c r="F17" s="162">
        <v>5485000</v>
      </c>
      <c r="H17" s="842">
        <f>'1.2.sz.mell. '!C17+'1.3.sz.mell.'!C17+'1.4.sz.mell. '!C17</f>
        <v>335849323</v>
      </c>
      <c r="I17" s="843">
        <f t="shared" si="0"/>
        <v>0</v>
      </c>
    </row>
    <row r="18" spans="1:9" s="245" customFormat="1" ht="12" customHeight="1" thickBot="1" x14ac:dyDescent="0.25">
      <c r="A18" s="15" t="s">
        <v>140</v>
      </c>
      <c r="B18" s="155" t="s">
        <v>237</v>
      </c>
      <c r="C18" s="395">
        <f>374405+16502729</f>
        <v>16877134</v>
      </c>
      <c r="D18" s="328"/>
      <c r="E18" s="235"/>
      <c r="F18" s="235"/>
      <c r="H18" s="844">
        <f>'1.2.sz.mell. '!C18+'1.3.sz.mell.'!C18+'1.4.sz.mell. '!C18</f>
        <v>16877134</v>
      </c>
      <c r="I18" s="845">
        <f t="shared" si="0"/>
        <v>0</v>
      </c>
    </row>
    <row r="19" spans="1:9" s="245" customFormat="1" ht="12" customHeight="1" thickBot="1" x14ac:dyDescent="0.25">
      <c r="A19" s="19" t="s">
        <v>47</v>
      </c>
      <c r="B19" s="20" t="s">
        <v>238</v>
      </c>
      <c r="C19" s="163">
        <f>SUM(C20:C24)</f>
        <v>532260298</v>
      </c>
      <c r="D19" s="351">
        <f>+D20+D21+D22+D23+D24</f>
        <v>-11381976</v>
      </c>
      <c r="E19" s="158">
        <f>+E20+E21+E22+E23+E24</f>
        <v>0</v>
      </c>
      <c r="F19" s="158">
        <f>+F20+F21+F22+F23+F24</f>
        <v>0</v>
      </c>
      <c r="H19" s="846">
        <f>'1.2.sz.mell. '!C19+'1.3.sz.mell.'!C19+'1.4.sz.mell. '!C19</f>
        <v>532260298</v>
      </c>
      <c r="I19" s="846">
        <f t="shared" si="0"/>
        <v>0</v>
      </c>
    </row>
    <row r="20" spans="1:9" s="245" customFormat="1" ht="12" customHeight="1" x14ac:dyDescent="0.2">
      <c r="A20" s="14" t="s">
        <v>110</v>
      </c>
      <c r="B20" s="246" t="s">
        <v>239</v>
      </c>
      <c r="C20" s="393">
        <f>SUM(D20:F20)+15690532</f>
        <v>15690532</v>
      </c>
      <c r="D20" s="386"/>
      <c r="E20" s="323"/>
      <c r="F20" s="323"/>
      <c r="H20" s="840">
        <f>'1.2.sz.mell. '!C20+'1.3.sz.mell.'!C20+'1.4.sz.mell. '!C20</f>
        <v>15690532</v>
      </c>
      <c r="I20" s="841">
        <f t="shared" si="0"/>
        <v>0</v>
      </c>
    </row>
    <row r="21" spans="1:9" s="245" customFormat="1" ht="12" customHeight="1" x14ac:dyDescent="0.2">
      <c r="A21" s="13" t="s">
        <v>111</v>
      </c>
      <c r="B21" s="247" t="s">
        <v>240</v>
      </c>
      <c r="C21" s="394">
        <f>SUM(D21:F21)</f>
        <v>0</v>
      </c>
      <c r="D21" s="324"/>
      <c r="E21" s="162"/>
      <c r="F21" s="162"/>
      <c r="H21" s="842">
        <f>'1.2.sz.mell. '!C21+'1.3.sz.mell.'!C21+'1.4.sz.mell. '!C21</f>
        <v>0</v>
      </c>
      <c r="I21" s="843">
        <f t="shared" si="0"/>
        <v>0</v>
      </c>
    </row>
    <row r="22" spans="1:9" s="245" customFormat="1" ht="12" customHeight="1" x14ac:dyDescent="0.2">
      <c r="A22" s="13" t="s">
        <v>112</v>
      </c>
      <c r="B22" s="247" t="s">
        <v>406</v>
      </c>
      <c r="C22" s="394">
        <f>SUM(D22:F22)</f>
        <v>0</v>
      </c>
      <c r="D22" s="324"/>
      <c r="E22" s="162"/>
      <c r="F22" s="162"/>
      <c r="H22" s="842">
        <f>'1.2.sz.mell. '!C22+'1.3.sz.mell.'!C22+'1.4.sz.mell. '!C22</f>
        <v>0</v>
      </c>
      <c r="I22" s="843">
        <f t="shared" si="0"/>
        <v>0</v>
      </c>
    </row>
    <row r="23" spans="1:9" s="245" customFormat="1" ht="12" customHeight="1" x14ac:dyDescent="0.2">
      <c r="A23" s="13" t="s">
        <v>113</v>
      </c>
      <c r="B23" s="247" t="s">
        <v>407</v>
      </c>
      <c r="C23" s="394">
        <f>SUM(D23:F23)</f>
        <v>0</v>
      </c>
      <c r="D23" s="324"/>
      <c r="E23" s="162"/>
      <c r="F23" s="162"/>
      <c r="H23" s="842">
        <f>'1.2.sz.mell. '!C23+'1.3.sz.mell.'!C23+'1.4.sz.mell. '!C23</f>
        <v>0</v>
      </c>
      <c r="I23" s="843">
        <f t="shared" si="0"/>
        <v>0</v>
      </c>
    </row>
    <row r="24" spans="1:9" s="245" customFormat="1" ht="12" customHeight="1" x14ac:dyDescent="0.2">
      <c r="A24" s="13" t="s">
        <v>175</v>
      </c>
      <c r="B24" s="247" t="s">
        <v>241</v>
      </c>
      <c r="C24" s="394">
        <f>SUM(D24:F24)+15179276+93705029+216916507+202150930</f>
        <v>516569766</v>
      </c>
      <c r="D24" s="324">
        <f>3797300-15179276</f>
        <v>-11381976</v>
      </c>
      <c r="E24" s="162"/>
      <c r="F24" s="162"/>
      <c r="H24" s="842">
        <f>'1.2.sz.mell. '!C24+'1.3.sz.mell.'!C24+'1.4.sz.mell. '!C24</f>
        <v>516569766</v>
      </c>
      <c r="I24" s="843">
        <f t="shared" si="0"/>
        <v>0</v>
      </c>
    </row>
    <row r="25" spans="1:9" s="245" customFormat="1" ht="12" customHeight="1" thickBot="1" x14ac:dyDescent="0.25">
      <c r="A25" s="15" t="s">
        <v>176</v>
      </c>
      <c r="B25" s="248" t="s">
        <v>242</v>
      </c>
      <c r="C25" s="395">
        <f>SUM(D25:F25)+91545029+214128350+202150930</f>
        <v>511621609</v>
      </c>
      <c r="D25" s="328">
        <v>3797300</v>
      </c>
      <c r="E25" s="235"/>
      <c r="F25" s="235"/>
      <c r="H25" s="844">
        <f>'1.2.sz.mell. '!C25+'1.3.sz.mell.'!C25+'1.4.sz.mell. '!C25</f>
        <v>511621609</v>
      </c>
      <c r="I25" s="845">
        <f t="shared" si="0"/>
        <v>0</v>
      </c>
    </row>
    <row r="26" spans="1:9" s="245" customFormat="1" ht="12" customHeight="1" thickBot="1" x14ac:dyDescent="0.25">
      <c r="A26" s="19" t="s">
        <v>177</v>
      </c>
      <c r="B26" s="20" t="s">
        <v>243</v>
      </c>
      <c r="C26" s="163">
        <f>SUM(C27)+SUM(C30:C33)</f>
        <v>356490000</v>
      </c>
      <c r="D26" s="355">
        <f>+D27+D31+D32+D33</f>
        <v>319390000</v>
      </c>
      <c r="E26" s="163">
        <f>+E27+E31+E32+E33</f>
        <v>0</v>
      </c>
      <c r="F26" s="163">
        <f>+F27+F31+F32+F33</f>
        <v>0</v>
      </c>
      <c r="H26" s="846">
        <f>'1.2.sz.mell. '!C26+'1.3.sz.mell.'!C26+'1.4.sz.mell. '!C26</f>
        <v>356490000</v>
      </c>
      <c r="I26" s="846">
        <f t="shared" si="0"/>
        <v>0</v>
      </c>
    </row>
    <row r="27" spans="1:9" s="245" customFormat="1" ht="12" customHeight="1" x14ac:dyDescent="0.2">
      <c r="A27" s="14" t="s">
        <v>244</v>
      </c>
      <c r="B27" s="246" t="s">
        <v>529</v>
      </c>
      <c r="C27" s="393">
        <f>SUM(C28:C29)</f>
        <v>317830000</v>
      </c>
      <c r="D27" s="387">
        <f>SUM(D28:D30)</f>
        <v>282830000</v>
      </c>
      <c r="E27" s="241"/>
      <c r="F27" s="241"/>
      <c r="H27" s="840">
        <f>'1.2.sz.mell. '!C27+'1.3.sz.mell.'!C27+'1.4.sz.mell. '!C27</f>
        <v>317830000</v>
      </c>
      <c r="I27" s="841">
        <f t="shared" si="0"/>
        <v>0</v>
      </c>
    </row>
    <row r="28" spans="1:9" s="245" customFormat="1" ht="12" customHeight="1" x14ac:dyDescent="0.2">
      <c r="A28" s="13" t="s">
        <v>245</v>
      </c>
      <c r="B28" s="247" t="s">
        <v>250</v>
      </c>
      <c r="C28" s="394">
        <f>SUM(D28:F28)</f>
        <v>78990000</v>
      </c>
      <c r="D28" s="145">
        <f>8990000+70000000</f>
        <v>78990000</v>
      </c>
      <c r="E28" s="159"/>
      <c r="F28" s="159"/>
      <c r="H28" s="842">
        <f>'1.2.sz.mell. '!C28+'1.3.sz.mell.'!C28+'1.4.sz.mell. '!C28</f>
        <v>78990000</v>
      </c>
      <c r="I28" s="843">
        <f t="shared" si="0"/>
        <v>0</v>
      </c>
    </row>
    <row r="29" spans="1:9" s="245" customFormat="1" ht="12" customHeight="1" x14ac:dyDescent="0.2">
      <c r="A29" s="13" t="s">
        <v>246</v>
      </c>
      <c r="B29" s="247" t="s">
        <v>627</v>
      </c>
      <c r="C29" s="394">
        <f>SUM(D29:F29)+35000000</f>
        <v>238840000</v>
      </c>
      <c r="D29" s="145">
        <v>203840000</v>
      </c>
      <c r="E29" s="159"/>
      <c r="F29" s="159"/>
      <c r="H29" s="842">
        <f>'1.2.sz.mell. '!C29+'1.3.sz.mell.'!C29+'1.4.sz.mell. '!C29</f>
        <v>238840000</v>
      </c>
      <c r="I29" s="843">
        <f t="shared" si="0"/>
        <v>0</v>
      </c>
    </row>
    <row r="30" spans="1:9" s="245" customFormat="1" ht="12" customHeight="1" x14ac:dyDescent="0.2">
      <c r="A30" s="13" t="s">
        <v>247</v>
      </c>
      <c r="B30" s="247" t="s">
        <v>628</v>
      </c>
      <c r="C30" s="394">
        <f>SUM(D30:F30)</f>
        <v>0</v>
      </c>
      <c r="D30" s="324"/>
      <c r="E30" s="162"/>
      <c r="F30" s="162"/>
      <c r="H30" s="842">
        <f>'1.2.sz.mell. '!C30+'1.3.sz.mell.'!C30+'1.4.sz.mell. '!C30</f>
        <v>0</v>
      </c>
      <c r="I30" s="843">
        <f t="shared" si="0"/>
        <v>0</v>
      </c>
    </row>
    <row r="31" spans="1:9" s="245" customFormat="1" ht="12" customHeight="1" x14ac:dyDescent="0.2">
      <c r="A31" s="13" t="s">
        <v>629</v>
      </c>
      <c r="B31" s="247" t="s">
        <v>252</v>
      </c>
      <c r="C31" s="394">
        <f>SUM(D31:F31)</f>
        <v>27000000</v>
      </c>
      <c r="D31" s="145">
        <f>27000000</f>
        <v>27000000</v>
      </c>
      <c r="E31" s="159"/>
      <c r="F31" s="159"/>
      <c r="H31" s="842">
        <f>'1.2.sz.mell. '!C31+'1.3.sz.mell.'!C31+'1.4.sz.mell. '!C31</f>
        <v>27000000</v>
      </c>
      <c r="I31" s="843">
        <f t="shared" si="0"/>
        <v>0</v>
      </c>
    </row>
    <row r="32" spans="1:9" s="245" customFormat="1" ht="12" customHeight="1" x14ac:dyDescent="0.2">
      <c r="A32" s="13" t="s">
        <v>249</v>
      </c>
      <c r="B32" s="247" t="s">
        <v>253</v>
      </c>
      <c r="C32" s="394">
        <f>SUM(D32:F32)-4000000</f>
        <v>60000</v>
      </c>
      <c r="D32" s="145">
        <v>4060000</v>
      </c>
      <c r="E32" s="159"/>
      <c r="F32" s="159"/>
      <c r="H32" s="842">
        <f>'1.2.sz.mell. '!C32+'1.3.sz.mell.'!C32+'1.4.sz.mell. '!C32</f>
        <v>60000</v>
      </c>
      <c r="I32" s="843">
        <f t="shared" si="0"/>
        <v>0</v>
      </c>
    </row>
    <row r="33" spans="1:9" s="245" customFormat="1" ht="12" customHeight="1" thickBot="1" x14ac:dyDescent="0.25">
      <c r="A33" s="15" t="s">
        <v>630</v>
      </c>
      <c r="B33" s="248" t="s">
        <v>254</v>
      </c>
      <c r="C33" s="395">
        <f>SUM(D33:F33)+4000000+2100000</f>
        <v>11600000</v>
      </c>
      <c r="D33" s="328">
        <v>5500000</v>
      </c>
      <c r="E33" s="235"/>
      <c r="F33" s="235"/>
      <c r="H33" s="844">
        <f>'1.2.sz.mell. '!C33+'1.3.sz.mell.'!C33+'1.4.sz.mell. '!C33</f>
        <v>11600000</v>
      </c>
      <c r="I33" s="845">
        <f t="shared" si="0"/>
        <v>0</v>
      </c>
    </row>
    <row r="34" spans="1:9" s="245" customFormat="1" ht="12" customHeight="1" thickBot="1" x14ac:dyDescent="0.25">
      <c r="A34" s="19" t="s">
        <v>49</v>
      </c>
      <c r="B34" s="20" t="s">
        <v>532</v>
      </c>
      <c r="C34" s="163">
        <f>SUM(C35:C45)</f>
        <v>469251145</v>
      </c>
      <c r="D34" s="351">
        <f>SUM(D35:D45)</f>
        <v>54395907</v>
      </c>
      <c r="E34" s="158">
        <f>SUM(E35:E45)</f>
        <v>9416500</v>
      </c>
      <c r="F34" s="158">
        <f>SUM(F35:F45)</f>
        <v>389838178</v>
      </c>
      <c r="H34" s="846">
        <f>'1.2.sz.mell. '!C34+'1.3.sz.mell.'!C34+'1.4.sz.mell. '!C34</f>
        <v>469251145</v>
      </c>
      <c r="I34" s="846">
        <f t="shared" si="0"/>
        <v>0</v>
      </c>
    </row>
    <row r="35" spans="1:9" s="245" customFormat="1" ht="12" customHeight="1" x14ac:dyDescent="0.2">
      <c r="A35" s="14" t="s">
        <v>114</v>
      </c>
      <c r="B35" s="246" t="s">
        <v>257</v>
      </c>
      <c r="C35" s="803">
        <f>SUM(D35:F35)+5500000+275371-130000+3954000</f>
        <v>19744849</v>
      </c>
      <c r="D35" s="358">
        <f>3937000+4000000+5000000-2941522</f>
        <v>9995478</v>
      </c>
      <c r="E35" s="284"/>
      <c r="F35" s="284">
        <v>150000</v>
      </c>
      <c r="H35" s="840">
        <f>'1.2.sz.mell. '!C35+'1.3.sz.mell.'!C35+'1.4.sz.mell. '!C35</f>
        <v>19744849</v>
      </c>
      <c r="I35" s="841">
        <f t="shared" si="0"/>
        <v>0</v>
      </c>
    </row>
    <row r="36" spans="1:9" s="245" customFormat="1" ht="12" customHeight="1" x14ac:dyDescent="0.2">
      <c r="A36" s="13" t="s">
        <v>115</v>
      </c>
      <c r="B36" s="247" t="s">
        <v>258</v>
      </c>
      <c r="C36" s="802">
        <f>SUM(D36:F36)+1813568-195228+4055000-5885856+1800934</f>
        <v>96708620</v>
      </c>
      <c r="D36" s="324">
        <f>100000+12004000+160000+7128864</f>
        <v>19392864</v>
      </c>
      <c r="E36" s="162">
        <v>7533500</v>
      </c>
      <c r="F36" s="284">
        <v>68193838</v>
      </c>
      <c r="H36" s="842">
        <f>'1.2.sz.mell. '!C36+'1.3.sz.mell.'!C36+'1.4.sz.mell. '!C36</f>
        <v>96708620</v>
      </c>
      <c r="I36" s="843">
        <f t="shared" si="0"/>
        <v>0</v>
      </c>
    </row>
    <row r="37" spans="1:9" s="245" customFormat="1" ht="12" customHeight="1" x14ac:dyDescent="0.2">
      <c r="A37" s="13" t="s">
        <v>116</v>
      </c>
      <c r="B37" s="247" t="s">
        <v>259</v>
      </c>
      <c r="C37" s="802">
        <f>SUM(D37:F37)+1061599-195228+364027-3376000-189000-42520+2246520</f>
        <v>95492738</v>
      </c>
      <c r="D37" s="324">
        <f>8458000+947000</f>
        <v>9405000</v>
      </c>
      <c r="E37" s="162">
        <v>500000</v>
      </c>
      <c r="F37" s="284">
        <v>85718340</v>
      </c>
      <c r="H37" s="842">
        <f>'1.2.sz.mell. '!C37+'1.3.sz.mell.'!C37+'1.4.sz.mell. '!C37</f>
        <v>95492738</v>
      </c>
      <c r="I37" s="843">
        <f t="shared" si="0"/>
        <v>0</v>
      </c>
    </row>
    <row r="38" spans="1:9" s="245" customFormat="1" ht="12" customHeight="1" x14ac:dyDescent="0.2">
      <c r="A38" s="13" t="s">
        <v>179</v>
      </c>
      <c r="B38" s="247" t="s">
        <v>260</v>
      </c>
      <c r="C38" s="394">
        <f>SUM(D38:F38)</f>
        <v>430000</v>
      </c>
      <c r="D38" s="324">
        <f>430000</f>
        <v>430000</v>
      </c>
      <c r="E38" s="162"/>
      <c r="F38" s="284"/>
      <c r="H38" s="842">
        <f>'1.2.sz.mell. '!C38+'1.3.sz.mell.'!C38+'1.4.sz.mell. '!C38</f>
        <v>430000</v>
      </c>
      <c r="I38" s="843">
        <f t="shared" si="0"/>
        <v>0</v>
      </c>
    </row>
    <row r="39" spans="1:9" s="245" customFormat="1" ht="12" customHeight="1" x14ac:dyDescent="0.2">
      <c r="A39" s="13" t="s">
        <v>180</v>
      </c>
      <c r="B39" s="247" t="s">
        <v>261</v>
      </c>
      <c r="C39" s="802">
        <f>SUM(D39:F39)-1800934</f>
        <v>181010468</v>
      </c>
      <c r="D39" s="324"/>
      <c r="E39" s="162"/>
      <c r="F39" s="284">
        <v>182811402</v>
      </c>
      <c r="H39" s="842">
        <f>'1.2.sz.mell. '!C39+'1.3.sz.mell.'!C39+'1.4.sz.mell. '!C39</f>
        <v>181010468</v>
      </c>
      <c r="I39" s="843">
        <f t="shared" si="0"/>
        <v>0</v>
      </c>
    </row>
    <row r="40" spans="1:9" s="245" customFormat="1" ht="12" customHeight="1" x14ac:dyDescent="0.2">
      <c r="A40" s="13" t="s">
        <v>181</v>
      </c>
      <c r="B40" s="247" t="s">
        <v>262</v>
      </c>
      <c r="C40" s="802">
        <f>SUM(D40:F40)+270000+1485000+976640+195228+195228+246410+2609072+189000+42520-2463811</f>
        <v>50887450</v>
      </c>
      <c r="D40" s="324">
        <f>1063000+3242000+5853000+44000+378000+600000+1350000+1408565</f>
        <v>13938565</v>
      </c>
      <c r="E40" s="162">
        <v>1283000</v>
      </c>
      <c r="F40" s="284">
        <v>31920598</v>
      </c>
      <c r="H40" s="842">
        <f>'1.2.sz.mell. '!C40+'1.3.sz.mell.'!C40+'1.4.sz.mell. '!C40</f>
        <v>50887450</v>
      </c>
      <c r="I40" s="843">
        <f t="shared" si="0"/>
        <v>0</v>
      </c>
    </row>
    <row r="41" spans="1:9" s="245" customFormat="1" ht="12" customHeight="1" x14ac:dyDescent="0.2">
      <c r="A41" s="13" t="s">
        <v>182</v>
      </c>
      <c r="B41" s="247" t="s">
        <v>263</v>
      </c>
      <c r="C41" s="394">
        <f>SUM(D41:F41)-1286000+1924793</f>
        <v>21672793</v>
      </c>
      <c r="D41" s="324"/>
      <c r="E41" s="162"/>
      <c r="F41" s="284">
        <v>21034000</v>
      </c>
      <c r="H41" s="842">
        <f>'1.2.sz.mell. '!C41+'1.3.sz.mell.'!C41+'1.4.sz.mell. '!C41</f>
        <v>21672793</v>
      </c>
      <c r="I41" s="843">
        <f t="shared" si="0"/>
        <v>0</v>
      </c>
    </row>
    <row r="42" spans="1:9" s="245" customFormat="1" ht="12" customHeight="1" x14ac:dyDescent="0.2">
      <c r="A42" s="13" t="s">
        <v>183</v>
      </c>
      <c r="B42" s="247" t="s">
        <v>645</v>
      </c>
      <c r="C42" s="394">
        <f>SUM(D42:F42)</f>
        <v>40000</v>
      </c>
      <c r="D42" s="324">
        <v>30000</v>
      </c>
      <c r="E42" s="162"/>
      <c r="F42" s="284">
        <v>10000</v>
      </c>
      <c r="H42" s="842">
        <f>'1.2.sz.mell. '!C42+'1.3.sz.mell.'!C42+'1.4.sz.mell. '!C42</f>
        <v>40000</v>
      </c>
      <c r="I42" s="843">
        <f t="shared" si="0"/>
        <v>0</v>
      </c>
    </row>
    <row r="43" spans="1:9" s="245" customFormat="1" ht="12" customHeight="1" x14ac:dyDescent="0.2">
      <c r="A43" s="13" t="s">
        <v>255</v>
      </c>
      <c r="B43" s="247" t="s">
        <v>265</v>
      </c>
      <c r="C43" s="394">
        <f>SUM(D43:F43)</f>
        <v>0</v>
      </c>
      <c r="D43" s="324"/>
      <c r="E43" s="162"/>
      <c r="F43" s="284"/>
      <c r="H43" s="842">
        <f>'1.2.sz.mell. '!C43+'1.3.sz.mell.'!C43+'1.4.sz.mell. '!C43</f>
        <v>0</v>
      </c>
      <c r="I43" s="843">
        <f t="shared" si="0"/>
        <v>0</v>
      </c>
    </row>
    <row r="44" spans="1:9" s="245" customFormat="1" ht="12" customHeight="1" x14ac:dyDescent="0.2">
      <c r="A44" s="15" t="s">
        <v>256</v>
      </c>
      <c r="B44" s="248" t="s">
        <v>533</v>
      </c>
      <c r="C44" s="394">
        <f>SUM(D44:F44)</f>
        <v>500000</v>
      </c>
      <c r="D44" s="328">
        <f>500000</f>
        <v>500000</v>
      </c>
      <c r="E44" s="235"/>
      <c r="F44" s="284"/>
      <c r="H44" s="842">
        <f>'1.2.sz.mell. '!C44+'1.3.sz.mell.'!C44+'1.4.sz.mell. '!C44</f>
        <v>500000</v>
      </c>
      <c r="I44" s="843">
        <f t="shared" si="0"/>
        <v>0</v>
      </c>
    </row>
    <row r="45" spans="1:9" s="245" customFormat="1" ht="12" customHeight="1" thickBot="1" x14ac:dyDescent="0.25">
      <c r="A45" s="15" t="s">
        <v>534</v>
      </c>
      <c r="B45" s="155" t="s">
        <v>266</v>
      </c>
      <c r="C45" s="804">
        <f>SUM(D45:F45)+200318+416514+1343395</f>
        <v>2764227</v>
      </c>
      <c r="D45" s="328">
        <f>704000</f>
        <v>704000</v>
      </c>
      <c r="E45" s="235">
        <v>100000</v>
      </c>
      <c r="F45" s="284"/>
      <c r="H45" s="844">
        <f>'1.2.sz.mell. '!C45+'1.3.sz.mell.'!C45+'1.4.sz.mell. '!C45</f>
        <v>2764227</v>
      </c>
      <c r="I45" s="845">
        <f t="shared" si="0"/>
        <v>0</v>
      </c>
    </row>
    <row r="46" spans="1:9" s="245" customFormat="1" ht="12" customHeight="1" thickBot="1" x14ac:dyDescent="0.25">
      <c r="A46" s="19" t="s">
        <v>50</v>
      </c>
      <c r="B46" s="20" t="s">
        <v>267</v>
      </c>
      <c r="C46" s="163">
        <f>SUM(C47:C51)</f>
        <v>47429000</v>
      </c>
      <c r="D46" s="351">
        <f>SUM(D47:D51)</f>
        <v>25179000</v>
      </c>
      <c r="E46" s="158">
        <f>SUM(E47:E51)</f>
        <v>0</v>
      </c>
      <c r="F46" s="158">
        <f>SUM(F47:F51)</f>
        <v>0</v>
      </c>
      <c r="H46" s="846">
        <f>'1.2.sz.mell. '!C46+'1.3.sz.mell.'!C46+'1.4.sz.mell. '!C46</f>
        <v>47429000</v>
      </c>
      <c r="I46" s="846">
        <f t="shared" si="0"/>
        <v>0</v>
      </c>
    </row>
    <row r="47" spans="1:9" s="245" customFormat="1" ht="12" customHeight="1" x14ac:dyDescent="0.2">
      <c r="A47" s="14" t="s">
        <v>117</v>
      </c>
      <c r="B47" s="246" t="s">
        <v>271</v>
      </c>
      <c r="C47" s="393">
        <f>SUM(D47:F47)</f>
        <v>0</v>
      </c>
      <c r="D47" s="358"/>
      <c r="E47" s="284"/>
      <c r="F47" s="284"/>
      <c r="H47" s="840">
        <f>'1.2.sz.mell. '!C47+'1.3.sz.mell.'!C47+'1.4.sz.mell. '!C47</f>
        <v>0</v>
      </c>
      <c r="I47" s="841">
        <f t="shared" si="0"/>
        <v>0</v>
      </c>
    </row>
    <row r="48" spans="1:9" s="245" customFormat="1" ht="12" customHeight="1" x14ac:dyDescent="0.2">
      <c r="A48" s="13" t="s">
        <v>118</v>
      </c>
      <c r="B48" s="247" t="s">
        <v>272</v>
      </c>
      <c r="C48" s="394">
        <f>SUM(D48:F48)+22000000</f>
        <v>47179000</v>
      </c>
      <c r="D48" s="324">
        <f>25179000</f>
        <v>25179000</v>
      </c>
      <c r="E48" s="162"/>
      <c r="F48" s="162"/>
      <c r="H48" s="842">
        <f>'1.2.sz.mell. '!C48+'1.3.sz.mell.'!C48+'1.4.sz.mell. '!C48</f>
        <v>47179000</v>
      </c>
      <c r="I48" s="843">
        <f t="shared" si="0"/>
        <v>0</v>
      </c>
    </row>
    <row r="49" spans="1:9" s="245" customFormat="1" ht="12" customHeight="1" x14ac:dyDescent="0.2">
      <c r="A49" s="13" t="s">
        <v>268</v>
      </c>
      <c r="B49" s="247" t="s">
        <v>273</v>
      </c>
      <c r="C49" s="394">
        <v>250000</v>
      </c>
      <c r="D49" s="324"/>
      <c r="E49" s="162"/>
      <c r="F49" s="162"/>
      <c r="H49" s="842">
        <f>'1.2.sz.mell. '!C49+'1.3.sz.mell.'!C49+'1.4.sz.mell. '!C49</f>
        <v>250000</v>
      </c>
      <c r="I49" s="843">
        <f t="shared" si="0"/>
        <v>0</v>
      </c>
    </row>
    <row r="50" spans="1:9" s="245" customFormat="1" ht="12" customHeight="1" x14ac:dyDescent="0.2">
      <c r="A50" s="13" t="s">
        <v>269</v>
      </c>
      <c r="B50" s="247" t="s">
        <v>274</v>
      </c>
      <c r="C50" s="394">
        <f>SUM(D50:F50)</f>
        <v>0</v>
      </c>
      <c r="D50" s="324"/>
      <c r="E50" s="162"/>
      <c r="F50" s="162"/>
      <c r="H50" s="842">
        <f>'1.2.sz.mell. '!C50+'1.3.sz.mell.'!C50+'1.4.sz.mell. '!C50</f>
        <v>0</v>
      </c>
      <c r="I50" s="843">
        <f t="shared" si="0"/>
        <v>0</v>
      </c>
    </row>
    <row r="51" spans="1:9" s="245" customFormat="1" ht="12" customHeight="1" thickBot="1" x14ac:dyDescent="0.25">
      <c r="A51" s="15" t="s">
        <v>270</v>
      </c>
      <c r="B51" s="155" t="s">
        <v>275</v>
      </c>
      <c r="C51" s="395">
        <f>SUM(D51:F51)</f>
        <v>0</v>
      </c>
      <c r="D51" s="328"/>
      <c r="E51" s="235"/>
      <c r="F51" s="235"/>
      <c r="H51" s="844">
        <f>'1.2.sz.mell. '!C51+'1.3.sz.mell.'!C51+'1.4.sz.mell. '!C51</f>
        <v>0</v>
      </c>
      <c r="I51" s="845">
        <f t="shared" si="0"/>
        <v>0</v>
      </c>
    </row>
    <row r="52" spans="1:9" s="245" customFormat="1" ht="12" customHeight="1" thickBot="1" x14ac:dyDescent="0.25">
      <c r="A52" s="19" t="s">
        <v>184</v>
      </c>
      <c r="B52" s="20" t="s">
        <v>276</v>
      </c>
      <c r="C52" s="163">
        <f>SUM(C53:C55)</f>
        <v>24244433</v>
      </c>
      <c r="D52" s="351">
        <f>SUM(D53:D55)</f>
        <v>6164433</v>
      </c>
      <c r="E52" s="158">
        <f>SUM(E53:E55)</f>
        <v>0</v>
      </c>
      <c r="F52" s="158">
        <f>SUM(F53:F55)</f>
        <v>0</v>
      </c>
      <c r="H52" s="846">
        <f>'1.2.sz.mell. '!C52+'1.3.sz.mell.'!C52+'1.4.sz.mell. '!C52</f>
        <v>24244433</v>
      </c>
      <c r="I52" s="846">
        <f t="shared" si="0"/>
        <v>0</v>
      </c>
    </row>
    <row r="53" spans="1:9" s="245" customFormat="1" ht="12" customHeight="1" x14ac:dyDescent="0.2">
      <c r="A53" s="14" t="s">
        <v>119</v>
      </c>
      <c r="B53" s="246" t="s">
        <v>277</v>
      </c>
      <c r="C53" s="393">
        <f>SUM(D53:F53)</f>
        <v>0</v>
      </c>
      <c r="D53" s="353"/>
      <c r="E53" s="160"/>
      <c r="F53" s="160"/>
      <c r="H53" s="840">
        <f>'1.2.sz.mell. '!C53+'1.3.sz.mell.'!C53+'1.4.sz.mell. '!C53</f>
        <v>0</v>
      </c>
      <c r="I53" s="841">
        <f t="shared" si="0"/>
        <v>0</v>
      </c>
    </row>
    <row r="54" spans="1:9" s="245" customFormat="1" ht="12" customHeight="1" x14ac:dyDescent="0.2">
      <c r="A54" s="13" t="s">
        <v>120</v>
      </c>
      <c r="B54" s="247" t="s">
        <v>408</v>
      </c>
      <c r="C54" s="802">
        <f>SUM(D54:F54)+18000000</f>
        <v>19949000</v>
      </c>
      <c r="D54" s="324">
        <f>383000+1566000</f>
        <v>1949000</v>
      </c>
      <c r="E54" s="162"/>
      <c r="F54" s="162"/>
      <c r="H54" s="842">
        <f>'1.2.sz.mell. '!C54+'1.3.sz.mell.'!C54+'1.4.sz.mell. '!C54</f>
        <v>19949000</v>
      </c>
      <c r="I54" s="843">
        <f t="shared" si="0"/>
        <v>0</v>
      </c>
    </row>
    <row r="55" spans="1:9" s="245" customFormat="1" ht="12" customHeight="1" x14ac:dyDescent="0.2">
      <c r="A55" s="13" t="s">
        <v>280</v>
      </c>
      <c r="B55" s="247" t="s">
        <v>278</v>
      </c>
      <c r="C55" s="394">
        <f>SUM(D55:F55)+80000</f>
        <v>4295433</v>
      </c>
      <c r="D55" s="324">
        <f>4075000+140433</f>
        <v>4215433</v>
      </c>
      <c r="E55" s="162"/>
      <c r="F55" s="162"/>
      <c r="H55" s="842">
        <f>'1.2.sz.mell. '!C55+'1.3.sz.mell.'!C55+'1.4.sz.mell. '!C55</f>
        <v>4295433</v>
      </c>
      <c r="I55" s="843">
        <f t="shared" si="0"/>
        <v>0</v>
      </c>
    </row>
    <row r="56" spans="1:9" s="245" customFormat="1" ht="12" customHeight="1" thickBot="1" x14ac:dyDescent="0.25">
      <c r="A56" s="15" t="s">
        <v>281</v>
      </c>
      <c r="B56" s="155" t="s">
        <v>279</v>
      </c>
      <c r="C56" s="395">
        <f>SUM(D56:F56)</f>
        <v>0</v>
      </c>
      <c r="D56" s="146"/>
      <c r="E56" s="161"/>
      <c r="F56" s="161"/>
      <c r="H56" s="844">
        <f>'1.2.sz.mell. '!C56+'1.3.sz.mell.'!C56+'1.4.sz.mell. '!C56</f>
        <v>0</v>
      </c>
      <c r="I56" s="845">
        <f t="shared" si="0"/>
        <v>0</v>
      </c>
    </row>
    <row r="57" spans="1:9" s="245" customFormat="1" ht="12" customHeight="1" thickBot="1" x14ac:dyDescent="0.25">
      <c r="A57" s="19" t="s">
        <v>52</v>
      </c>
      <c r="B57" s="153" t="s">
        <v>282</v>
      </c>
      <c r="C57" s="163">
        <f>SUM(C58:C60)</f>
        <v>1400000</v>
      </c>
      <c r="D57" s="351">
        <f>SUM(D58:D60)</f>
        <v>0</v>
      </c>
      <c r="E57" s="158">
        <f>SUM(E58:E60)</f>
        <v>0</v>
      </c>
      <c r="F57" s="158">
        <f>SUM(F58:F60)</f>
        <v>0</v>
      </c>
      <c r="H57" s="846">
        <f>'1.2.sz.mell. '!C57+'1.3.sz.mell.'!C57+'1.4.sz.mell. '!C57</f>
        <v>1400000</v>
      </c>
      <c r="I57" s="846">
        <f t="shared" si="0"/>
        <v>0</v>
      </c>
    </row>
    <row r="58" spans="1:9" s="245" customFormat="1" ht="12" customHeight="1" x14ac:dyDescent="0.2">
      <c r="A58" s="14" t="s">
        <v>185</v>
      </c>
      <c r="B58" s="246" t="s">
        <v>284</v>
      </c>
      <c r="C58" s="393">
        <f>SUM(D58:F58)</f>
        <v>0</v>
      </c>
      <c r="D58" s="324"/>
      <c r="E58" s="162"/>
      <c r="F58" s="162"/>
      <c r="H58" s="840">
        <f>'1.2.sz.mell. '!C58+'1.3.sz.mell.'!C58+'1.4.sz.mell. '!C58</f>
        <v>0</v>
      </c>
      <c r="I58" s="841">
        <f t="shared" si="0"/>
        <v>0</v>
      </c>
    </row>
    <row r="59" spans="1:9" s="245" customFormat="1" ht="12" customHeight="1" x14ac:dyDescent="0.2">
      <c r="A59" s="13" t="s">
        <v>186</v>
      </c>
      <c r="B59" s="247" t="s">
        <v>409</v>
      </c>
      <c r="C59" s="394">
        <f>SUM(D59:F59)</f>
        <v>0</v>
      </c>
      <c r="D59" s="324"/>
      <c r="E59" s="162"/>
      <c r="F59" s="162"/>
      <c r="H59" s="842">
        <f>'1.2.sz.mell. '!C59+'1.3.sz.mell.'!C59+'1.4.sz.mell. '!C59</f>
        <v>0</v>
      </c>
      <c r="I59" s="843">
        <f t="shared" si="0"/>
        <v>0</v>
      </c>
    </row>
    <row r="60" spans="1:9" s="245" customFormat="1" ht="12" customHeight="1" x14ac:dyDescent="0.2">
      <c r="A60" s="13" t="s">
        <v>208</v>
      </c>
      <c r="B60" s="247" t="s">
        <v>285</v>
      </c>
      <c r="C60" s="802">
        <f>1200000+200000</f>
        <v>1400000</v>
      </c>
      <c r="D60" s="324"/>
      <c r="E60" s="162"/>
      <c r="F60" s="162"/>
      <c r="H60" s="842">
        <f>'1.2.sz.mell. '!C60+'1.3.sz.mell.'!C60+'1.4.sz.mell. '!C60</f>
        <v>1400000</v>
      </c>
      <c r="I60" s="843">
        <f t="shared" si="0"/>
        <v>0</v>
      </c>
    </row>
    <row r="61" spans="1:9" s="245" customFormat="1" ht="12" customHeight="1" thickBot="1" x14ac:dyDescent="0.25">
      <c r="A61" s="15" t="s">
        <v>283</v>
      </c>
      <c r="B61" s="155" t="s">
        <v>286</v>
      </c>
      <c r="C61" s="395">
        <f>SUM(D61:F61)</f>
        <v>0</v>
      </c>
      <c r="D61" s="324"/>
      <c r="E61" s="162"/>
      <c r="F61" s="162"/>
      <c r="H61" s="844">
        <f>'1.2.sz.mell. '!C61+'1.3.sz.mell.'!C61+'1.4.sz.mell. '!C61</f>
        <v>0</v>
      </c>
      <c r="I61" s="845">
        <f t="shared" si="0"/>
        <v>0</v>
      </c>
    </row>
    <row r="62" spans="1:9" s="245" customFormat="1" ht="12" customHeight="1" thickBot="1" x14ac:dyDescent="0.25">
      <c r="A62" s="306" t="s">
        <v>535</v>
      </c>
      <c r="B62" s="20" t="s">
        <v>287</v>
      </c>
      <c r="C62" s="163">
        <f>C57+C52+C46+C34+C26+C19+C12+C5</f>
        <v>2981491094</v>
      </c>
      <c r="D62" s="355">
        <f>+D5+D12+D19+D26+D34+D46+D52+D57</f>
        <v>1438638329</v>
      </c>
      <c r="E62" s="163">
        <f>+E5+E12+E19+E26+E34+E46+E52+E57</f>
        <v>9416500</v>
      </c>
      <c r="F62" s="163">
        <f>+F5+F12+F19+F26+F34+F46+F52+F57</f>
        <v>395323178</v>
      </c>
      <c r="H62" s="846">
        <f>'1.2.sz.mell. '!C62+'1.3.sz.mell.'!C62+'1.4.sz.mell. '!C62</f>
        <v>2981491094</v>
      </c>
      <c r="I62" s="846">
        <f t="shared" si="0"/>
        <v>0</v>
      </c>
    </row>
    <row r="63" spans="1:9" s="245" customFormat="1" ht="12" customHeight="1" thickBot="1" x14ac:dyDescent="0.25">
      <c r="A63" s="307" t="s">
        <v>288</v>
      </c>
      <c r="B63" s="153" t="s">
        <v>289</v>
      </c>
      <c r="C63" s="755">
        <f>SUM(C64:C66)</f>
        <v>187500000</v>
      </c>
      <c r="D63" s="351">
        <f>SUM(D64:D66)</f>
        <v>144100000</v>
      </c>
      <c r="E63" s="158">
        <f>SUM(E64:E66)</f>
        <v>0</v>
      </c>
      <c r="F63" s="158">
        <f>SUM(F64:F66)</f>
        <v>0</v>
      </c>
      <c r="H63" s="846">
        <f>'1.2.sz.mell. '!C63+'1.3.sz.mell.'!C63+'1.4.sz.mell. '!C63</f>
        <v>187500000</v>
      </c>
      <c r="I63" s="846">
        <f t="shared" si="0"/>
        <v>0</v>
      </c>
    </row>
    <row r="64" spans="1:9" s="245" customFormat="1" ht="12" customHeight="1" x14ac:dyDescent="0.2">
      <c r="A64" s="14" t="s">
        <v>320</v>
      </c>
      <c r="B64" s="246" t="s">
        <v>290</v>
      </c>
      <c r="C64" s="393">
        <f>SUM(D64:F64)+37900000+5500000</f>
        <v>87500000</v>
      </c>
      <c r="D64" s="324">
        <v>44100000</v>
      </c>
      <c r="E64" s="162"/>
      <c r="F64" s="162"/>
      <c r="H64" s="840">
        <f>'1.2.sz.mell. '!C64+'1.3.sz.mell.'!C64+'1.4.sz.mell. '!C64</f>
        <v>87500000</v>
      </c>
      <c r="I64" s="841">
        <f t="shared" si="0"/>
        <v>0</v>
      </c>
    </row>
    <row r="65" spans="1:9" s="245" customFormat="1" ht="12" customHeight="1" x14ac:dyDescent="0.2">
      <c r="A65" s="13" t="s">
        <v>329</v>
      </c>
      <c r="B65" s="247" t="s">
        <v>291</v>
      </c>
      <c r="C65" s="394">
        <f>SUM(D65:F65)</f>
        <v>100000000</v>
      </c>
      <c r="D65" s="324">
        <v>100000000</v>
      </c>
      <c r="E65" s="162"/>
      <c r="F65" s="162"/>
      <c r="H65" s="842">
        <f>'1.2.sz.mell. '!C65+'1.3.sz.mell.'!C65+'1.4.sz.mell. '!C65</f>
        <v>100000000</v>
      </c>
      <c r="I65" s="843">
        <f t="shared" si="0"/>
        <v>0</v>
      </c>
    </row>
    <row r="66" spans="1:9" s="245" customFormat="1" ht="12" customHeight="1" thickBot="1" x14ac:dyDescent="0.25">
      <c r="A66" s="15" t="s">
        <v>330</v>
      </c>
      <c r="B66" s="308" t="s">
        <v>536</v>
      </c>
      <c r="C66" s="395">
        <f>SUM(D66:F66)</f>
        <v>0</v>
      </c>
      <c r="D66" s="324"/>
      <c r="E66" s="162"/>
      <c r="F66" s="162"/>
      <c r="H66" s="844">
        <f>'1.2.sz.mell. '!C66+'1.3.sz.mell.'!C66+'1.4.sz.mell. '!C66</f>
        <v>0</v>
      </c>
      <c r="I66" s="845">
        <f t="shared" si="0"/>
        <v>0</v>
      </c>
    </row>
    <row r="67" spans="1:9" s="245" customFormat="1" ht="12" customHeight="1" thickBot="1" x14ac:dyDescent="0.25">
      <c r="A67" s="307" t="s">
        <v>293</v>
      </c>
      <c r="B67" s="153" t="s">
        <v>294</v>
      </c>
      <c r="C67" s="325">
        <f>SUM(C68:C71)</f>
        <v>0</v>
      </c>
      <c r="D67" s="351">
        <f>SUM(D68:D71)</f>
        <v>0</v>
      </c>
      <c r="E67" s="158">
        <f>SUM(E68:E71)</f>
        <v>0</v>
      </c>
      <c r="F67" s="158">
        <f>SUM(F68:F71)</f>
        <v>0</v>
      </c>
      <c r="H67" s="846">
        <f>'1.2.sz.mell. '!C67+'1.3.sz.mell.'!C67+'1.4.sz.mell. '!C67</f>
        <v>0</v>
      </c>
      <c r="I67" s="846">
        <f t="shared" si="0"/>
        <v>0</v>
      </c>
    </row>
    <row r="68" spans="1:9" s="245" customFormat="1" ht="12" customHeight="1" x14ac:dyDescent="0.2">
      <c r="A68" s="14" t="s">
        <v>165</v>
      </c>
      <c r="B68" s="246" t="s">
        <v>295</v>
      </c>
      <c r="C68" s="393">
        <f>SUM(D68:F68)</f>
        <v>0</v>
      </c>
      <c r="D68" s="324"/>
      <c r="E68" s="162"/>
      <c r="F68" s="162"/>
      <c r="H68" s="840">
        <f>'1.2.sz.mell. '!C68+'1.3.sz.mell.'!C68+'1.4.sz.mell. '!C68</f>
        <v>0</v>
      </c>
      <c r="I68" s="841">
        <f t="shared" si="0"/>
        <v>0</v>
      </c>
    </row>
    <row r="69" spans="1:9" s="245" customFormat="1" ht="12" customHeight="1" x14ac:dyDescent="0.2">
      <c r="A69" s="13" t="s">
        <v>166</v>
      </c>
      <c r="B69" s="247" t="s">
        <v>296</v>
      </c>
      <c r="C69" s="394">
        <f>SUM(D69:F69)</f>
        <v>0</v>
      </c>
      <c r="D69" s="324"/>
      <c r="E69" s="162"/>
      <c r="F69" s="162"/>
      <c r="H69" s="842">
        <f>'1.2.sz.mell. '!C69+'1.3.sz.mell.'!C69+'1.4.sz.mell. '!C69</f>
        <v>0</v>
      </c>
      <c r="I69" s="843">
        <f t="shared" ref="I69:I87" si="1">C69-H69</f>
        <v>0</v>
      </c>
    </row>
    <row r="70" spans="1:9" s="245" customFormat="1" ht="12" customHeight="1" x14ac:dyDescent="0.2">
      <c r="A70" s="13" t="s">
        <v>321</v>
      </c>
      <c r="B70" s="247" t="s">
        <v>297</v>
      </c>
      <c r="C70" s="394">
        <f>SUM(D70:F70)</f>
        <v>0</v>
      </c>
      <c r="D70" s="324"/>
      <c r="E70" s="162"/>
      <c r="F70" s="162"/>
      <c r="H70" s="842">
        <f>'1.2.sz.mell. '!C70+'1.3.sz.mell.'!C70+'1.4.sz.mell. '!C70</f>
        <v>0</v>
      </c>
      <c r="I70" s="843">
        <f t="shared" si="1"/>
        <v>0</v>
      </c>
    </row>
    <row r="71" spans="1:9" s="245" customFormat="1" ht="12" customHeight="1" thickBot="1" x14ac:dyDescent="0.25">
      <c r="A71" s="15" t="s">
        <v>322</v>
      </c>
      <c r="B71" s="155" t="s">
        <v>298</v>
      </c>
      <c r="C71" s="395">
        <f>SUM(D71:F71)</f>
        <v>0</v>
      </c>
      <c r="D71" s="324"/>
      <c r="E71" s="162"/>
      <c r="F71" s="162"/>
      <c r="H71" s="844">
        <f>'1.2.sz.mell. '!C71+'1.3.sz.mell.'!C71+'1.4.sz.mell. '!C71</f>
        <v>0</v>
      </c>
      <c r="I71" s="845">
        <f t="shared" si="1"/>
        <v>0</v>
      </c>
    </row>
    <row r="72" spans="1:9" s="245" customFormat="1" ht="12" customHeight="1" thickBot="1" x14ac:dyDescent="0.25">
      <c r="A72" s="307" t="s">
        <v>299</v>
      </c>
      <c r="B72" s="153" t="s">
        <v>300</v>
      </c>
      <c r="C72" s="163">
        <f>SUM(C73:C74)</f>
        <v>292999415</v>
      </c>
      <c r="D72" s="351">
        <f>SUM(D73:D74)</f>
        <v>289331423</v>
      </c>
      <c r="E72" s="158">
        <f>SUM(E73:E74)</f>
        <v>447404</v>
      </c>
      <c r="F72" s="158">
        <f>SUM(F73:F74)</f>
        <v>3220588</v>
      </c>
      <c r="H72" s="846">
        <f>'1.2.sz.mell. '!C72+'1.3.sz.mell.'!C72+'1.4.sz.mell. '!C72</f>
        <v>292999415</v>
      </c>
      <c r="I72" s="846">
        <f t="shared" si="1"/>
        <v>0</v>
      </c>
    </row>
    <row r="73" spans="1:9" s="245" customFormat="1" ht="12" customHeight="1" x14ac:dyDescent="0.2">
      <c r="A73" s="14" t="s">
        <v>323</v>
      </c>
      <c r="B73" s="246" t="s">
        <v>301</v>
      </c>
      <c r="C73" s="393">
        <f>SUM(D73:F73)</f>
        <v>292999415</v>
      </c>
      <c r="D73" s="324">
        <v>289331423</v>
      </c>
      <c r="E73" s="162">
        <v>447404</v>
      </c>
      <c r="F73" s="162">
        <v>3220588</v>
      </c>
      <c r="H73" s="840">
        <f>'1.2.sz.mell. '!C73+'1.3.sz.mell.'!C73+'1.4.sz.mell. '!C73</f>
        <v>292999415</v>
      </c>
      <c r="I73" s="841">
        <f t="shared" si="1"/>
        <v>0</v>
      </c>
    </row>
    <row r="74" spans="1:9" s="245" customFormat="1" ht="12" customHeight="1" thickBot="1" x14ac:dyDescent="0.25">
      <c r="A74" s="15" t="s">
        <v>324</v>
      </c>
      <c r="B74" s="155" t="s">
        <v>302</v>
      </c>
      <c r="C74" s="395">
        <f>SUM(D74:F74)</f>
        <v>0</v>
      </c>
      <c r="D74" s="324"/>
      <c r="E74" s="162"/>
      <c r="F74" s="162"/>
      <c r="H74" s="844">
        <f>'1.2.sz.mell. '!C74+'1.3.sz.mell.'!C74+'1.4.sz.mell. '!C74</f>
        <v>0</v>
      </c>
      <c r="I74" s="845">
        <f t="shared" si="1"/>
        <v>0</v>
      </c>
    </row>
    <row r="75" spans="1:9" s="245" customFormat="1" ht="12" customHeight="1" thickBot="1" x14ac:dyDescent="0.25">
      <c r="A75" s="307" t="s">
        <v>303</v>
      </c>
      <c r="B75" s="153" t="s">
        <v>304</v>
      </c>
      <c r="C75" s="325">
        <f>SUM(C76:C78)</f>
        <v>0</v>
      </c>
      <c r="D75" s="351">
        <f>SUM(D76:D78)</f>
        <v>0</v>
      </c>
      <c r="E75" s="158">
        <f>SUM(E76:E78)</f>
        <v>0</v>
      </c>
      <c r="F75" s="158">
        <f>SUM(F76:F78)</f>
        <v>0</v>
      </c>
      <c r="H75" s="846">
        <f>'1.2.sz.mell. '!C75+'1.3.sz.mell.'!C75+'1.4.sz.mell. '!C75</f>
        <v>0</v>
      </c>
      <c r="I75" s="846">
        <f t="shared" si="1"/>
        <v>0</v>
      </c>
    </row>
    <row r="76" spans="1:9" s="245" customFormat="1" ht="12" customHeight="1" x14ac:dyDescent="0.2">
      <c r="A76" s="14" t="s">
        <v>325</v>
      </c>
      <c r="B76" s="246" t="s">
        <v>305</v>
      </c>
      <c r="C76" s="393">
        <f>SUM(D76:F76)</f>
        <v>0</v>
      </c>
      <c r="D76" s="324"/>
      <c r="E76" s="162"/>
      <c r="F76" s="162"/>
      <c r="H76" s="840">
        <f>'1.2.sz.mell. '!C76+'1.3.sz.mell.'!C76+'1.4.sz.mell. '!C76</f>
        <v>0</v>
      </c>
      <c r="I76" s="841">
        <f t="shared" si="1"/>
        <v>0</v>
      </c>
    </row>
    <row r="77" spans="1:9" s="245" customFormat="1" ht="12" customHeight="1" x14ac:dyDescent="0.2">
      <c r="A77" s="13" t="s">
        <v>326</v>
      </c>
      <c r="B77" s="247" t="s">
        <v>306</v>
      </c>
      <c r="C77" s="394">
        <f>SUM(D77:F77)</f>
        <v>0</v>
      </c>
      <c r="D77" s="324"/>
      <c r="E77" s="162"/>
      <c r="F77" s="162"/>
      <c r="H77" s="842">
        <f>'1.2.sz.mell. '!C77+'1.3.sz.mell.'!C77+'1.4.sz.mell. '!C77</f>
        <v>0</v>
      </c>
      <c r="I77" s="843">
        <f t="shared" si="1"/>
        <v>0</v>
      </c>
    </row>
    <row r="78" spans="1:9" s="245" customFormat="1" ht="12" customHeight="1" thickBot="1" x14ac:dyDescent="0.25">
      <c r="A78" s="15" t="s">
        <v>327</v>
      </c>
      <c r="B78" s="155" t="s">
        <v>307</v>
      </c>
      <c r="C78" s="395">
        <f>SUM(D78:F78)</f>
        <v>0</v>
      </c>
      <c r="D78" s="324"/>
      <c r="E78" s="162"/>
      <c r="F78" s="162"/>
      <c r="H78" s="844">
        <f>'1.2.sz.mell. '!C78+'1.3.sz.mell.'!C78+'1.4.sz.mell. '!C78</f>
        <v>0</v>
      </c>
      <c r="I78" s="845">
        <f t="shared" si="1"/>
        <v>0</v>
      </c>
    </row>
    <row r="79" spans="1:9" s="245" customFormat="1" ht="12" customHeight="1" thickBot="1" x14ac:dyDescent="0.25">
      <c r="A79" s="307" t="s">
        <v>308</v>
      </c>
      <c r="B79" s="153" t="s">
        <v>328</v>
      </c>
      <c r="C79" s="325">
        <f>SUM(C80:C83)</f>
        <v>0</v>
      </c>
      <c r="D79" s="351">
        <f>SUM(D80:D83)</f>
        <v>0</v>
      </c>
      <c r="E79" s="158">
        <f>SUM(E80:E83)</f>
        <v>0</v>
      </c>
      <c r="F79" s="158">
        <f>SUM(F80:F83)</f>
        <v>0</v>
      </c>
      <c r="H79" s="846">
        <f>'1.2.sz.mell. '!C79+'1.3.sz.mell.'!C79+'1.4.sz.mell. '!C79</f>
        <v>0</v>
      </c>
      <c r="I79" s="846">
        <f t="shared" si="1"/>
        <v>0</v>
      </c>
    </row>
    <row r="80" spans="1:9" s="245" customFormat="1" ht="12" customHeight="1" x14ac:dyDescent="0.2">
      <c r="A80" s="250" t="s">
        <v>309</v>
      </c>
      <c r="B80" s="246" t="s">
        <v>310</v>
      </c>
      <c r="C80" s="393">
        <f t="shared" ref="C80:C85" si="2">SUM(D80:F80)</f>
        <v>0</v>
      </c>
      <c r="D80" s="324"/>
      <c r="E80" s="162"/>
      <c r="F80" s="162"/>
      <c r="H80" s="840">
        <f>'1.2.sz.mell. '!C80+'1.3.sz.mell.'!C80+'1.4.sz.mell. '!C80</f>
        <v>0</v>
      </c>
      <c r="I80" s="841">
        <f t="shared" si="1"/>
        <v>0</v>
      </c>
    </row>
    <row r="81" spans="1:9" s="245" customFormat="1" ht="12" customHeight="1" x14ac:dyDescent="0.2">
      <c r="A81" s="251" t="s">
        <v>311</v>
      </c>
      <c r="B81" s="247" t="s">
        <v>312</v>
      </c>
      <c r="C81" s="394">
        <f t="shared" si="2"/>
        <v>0</v>
      </c>
      <c r="D81" s="324"/>
      <c r="E81" s="162"/>
      <c r="F81" s="162"/>
      <c r="H81" s="842">
        <f>'1.2.sz.mell. '!C81+'1.3.sz.mell.'!C81+'1.4.sz.mell. '!C81</f>
        <v>0</v>
      </c>
      <c r="I81" s="843">
        <f t="shared" si="1"/>
        <v>0</v>
      </c>
    </row>
    <row r="82" spans="1:9" s="245" customFormat="1" ht="12" customHeight="1" x14ac:dyDescent="0.2">
      <c r="A82" s="251" t="s">
        <v>313</v>
      </c>
      <c r="B82" s="247" t="s">
        <v>314</v>
      </c>
      <c r="C82" s="394">
        <f t="shared" si="2"/>
        <v>0</v>
      </c>
      <c r="D82" s="324"/>
      <c r="E82" s="162"/>
      <c r="F82" s="162"/>
      <c r="H82" s="842">
        <f>'1.2.sz.mell. '!C82+'1.3.sz.mell.'!C82+'1.4.sz.mell. '!C82</f>
        <v>0</v>
      </c>
      <c r="I82" s="843">
        <f t="shared" si="1"/>
        <v>0</v>
      </c>
    </row>
    <row r="83" spans="1:9" s="245" customFormat="1" ht="12" customHeight="1" thickBot="1" x14ac:dyDescent="0.25">
      <c r="A83" s="252" t="s">
        <v>315</v>
      </c>
      <c r="B83" s="155" t="s">
        <v>316</v>
      </c>
      <c r="C83" s="395">
        <f t="shared" si="2"/>
        <v>0</v>
      </c>
      <c r="D83" s="324"/>
      <c r="E83" s="162"/>
      <c r="F83" s="162"/>
      <c r="H83" s="844">
        <f>'1.2.sz.mell. '!C83+'1.3.sz.mell.'!C83+'1.4.sz.mell. '!C83</f>
        <v>0</v>
      </c>
      <c r="I83" s="845">
        <f t="shared" si="1"/>
        <v>0</v>
      </c>
    </row>
    <row r="84" spans="1:9" s="245" customFormat="1" ht="12" customHeight="1" thickBot="1" x14ac:dyDescent="0.25">
      <c r="A84" s="307" t="s">
        <v>317</v>
      </c>
      <c r="B84" s="153" t="s">
        <v>537</v>
      </c>
      <c r="C84" s="756">
        <f t="shared" si="2"/>
        <v>0</v>
      </c>
      <c r="D84" s="359"/>
      <c r="E84" s="285"/>
      <c r="F84" s="285"/>
      <c r="H84" s="846">
        <f>'1.2.sz.mell. '!C84+'1.3.sz.mell.'!C84+'1.4.sz.mell. '!C84</f>
        <v>0</v>
      </c>
      <c r="I84" s="846">
        <f t="shared" si="1"/>
        <v>0</v>
      </c>
    </row>
    <row r="85" spans="1:9" s="245" customFormat="1" ht="13.5" customHeight="1" thickBot="1" x14ac:dyDescent="0.25">
      <c r="A85" s="307" t="s">
        <v>319</v>
      </c>
      <c r="B85" s="153" t="s">
        <v>318</v>
      </c>
      <c r="C85" s="163">
        <f t="shared" si="2"/>
        <v>0</v>
      </c>
      <c r="D85" s="359"/>
      <c r="E85" s="285"/>
      <c r="F85" s="285"/>
      <c r="H85" s="846">
        <f>'1.2.sz.mell. '!C85+'1.3.sz.mell.'!C85+'1.4.sz.mell. '!C85</f>
        <v>0</v>
      </c>
      <c r="I85" s="846">
        <f t="shared" si="1"/>
        <v>0</v>
      </c>
    </row>
    <row r="86" spans="1:9" s="245" customFormat="1" ht="15.75" customHeight="1" thickBot="1" x14ac:dyDescent="0.25">
      <c r="A86" s="307" t="s">
        <v>331</v>
      </c>
      <c r="B86" s="253" t="s">
        <v>538</v>
      </c>
      <c r="C86" s="163">
        <f>C85+C84+C79+C75+C72+C67+C63</f>
        <v>480499415</v>
      </c>
      <c r="D86" s="355">
        <f>+D63+D67+D72+D75+D79+D85+D84</f>
        <v>433431423</v>
      </c>
      <c r="E86" s="163">
        <f>+E63+E67+E72+E75+E79+E85+E84</f>
        <v>447404</v>
      </c>
      <c r="F86" s="163">
        <f>+F63+F67+F72+F75+F79+F85+F84</f>
        <v>3220588</v>
      </c>
      <c r="H86" s="846">
        <f>'1.2.sz.mell. '!C86+'1.3.sz.mell.'!C86+'1.4.sz.mell. '!C86</f>
        <v>480499415</v>
      </c>
      <c r="I86" s="846">
        <f t="shared" si="1"/>
        <v>0</v>
      </c>
    </row>
    <row r="87" spans="1:9" s="245" customFormat="1" ht="16.5" customHeight="1" thickBot="1" x14ac:dyDescent="0.25">
      <c r="A87" s="309" t="s">
        <v>539</v>
      </c>
      <c r="B87" s="254" t="s">
        <v>540</v>
      </c>
      <c r="C87" s="163">
        <f>C62+C86</f>
        <v>3461990509</v>
      </c>
      <c r="D87" s="355">
        <f>+D62+D86</f>
        <v>1872069752</v>
      </c>
      <c r="E87" s="163">
        <f>+E62+E86</f>
        <v>9863904</v>
      </c>
      <c r="F87" s="163">
        <f>+F62+F86</f>
        <v>398543766</v>
      </c>
      <c r="H87" s="846">
        <f>'1.2.sz.mell. '!C87+'1.3.sz.mell.'!C87+'1.4.sz.mell. '!C87</f>
        <v>3461990509</v>
      </c>
      <c r="I87" s="846">
        <f t="shared" si="1"/>
        <v>0</v>
      </c>
    </row>
    <row r="88" spans="1:9" s="245" customFormat="1" ht="83.25" customHeight="1" x14ac:dyDescent="0.2">
      <c r="A88" s="4"/>
      <c r="B88" s="5"/>
      <c r="C88" s="757"/>
      <c r="H88" s="838"/>
      <c r="I88" s="838"/>
    </row>
    <row r="89" spans="1:9" ht="16.5" customHeight="1" x14ac:dyDescent="0.25">
      <c r="A89" s="954" t="s">
        <v>74</v>
      </c>
      <c r="B89" s="954"/>
      <c r="C89" s="954"/>
      <c r="I89" s="838"/>
    </row>
    <row r="90" spans="1:9" s="255" customFormat="1" ht="16.5" customHeight="1" thickBot="1" x14ac:dyDescent="0.3">
      <c r="A90" s="955" t="s">
        <v>168</v>
      </c>
      <c r="B90" s="955"/>
      <c r="C90" s="86" t="s">
        <v>676</v>
      </c>
      <c r="H90" s="838"/>
      <c r="I90" s="838"/>
    </row>
    <row r="91" spans="1:9" ht="38.1" customHeight="1" thickBot="1" x14ac:dyDescent="0.3">
      <c r="A91" s="22" t="s">
        <v>96</v>
      </c>
      <c r="B91" s="23" t="s">
        <v>75</v>
      </c>
      <c r="C91" s="35" t="str">
        <f>+C3</f>
        <v>2017. évi előirányzat</v>
      </c>
      <c r="I91" s="838"/>
    </row>
    <row r="92" spans="1:9" s="244" customFormat="1" ht="12" customHeight="1" thickBot="1" x14ac:dyDescent="0.25">
      <c r="A92" s="31" t="s">
        <v>524</v>
      </c>
      <c r="B92" s="32" t="s">
        <v>525</v>
      </c>
      <c r="C92" s="240" t="s">
        <v>526</v>
      </c>
      <c r="H92" s="838"/>
      <c r="I92" s="838"/>
    </row>
    <row r="93" spans="1:9" ht="12" customHeight="1" thickBot="1" x14ac:dyDescent="0.3">
      <c r="A93" s="21" t="s">
        <v>45</v>
      </c>
      <c r="B93" s="25" t="s">
        <v>578</v>
      </c>
      <c r="C93" s="421">
        <f>SUM(C94:C98)+SUM(C111)</f>
        <v>2571441521</v>
      </c>
      <c r="D93" s="363">
        <f>+D94+D95+D96+D97+D98+D111</f>
        <v>370628367</v>
      </c>
      <c r="E93" s="157">
        <f>+E94+E95+E96+E97+E98+E111</f>
        <v>223822850</v>
      </c>
      <c r="F93" s="385">
        <f>F94+F95+F96+F97+F98+F111</f>
        <v>1388014694</v>
      </c>
      <c r="H93" s="846">
        <f>'1.2.sz.mell. '!C93+'1.3.sz.mell.'!C93+'1.4.sz.mell. '!C93</f>
        <v>2571441521</v>
      </c>
      <c r="I93" s="846">
        <f>C93-H93</f>
        <v>0</v>
      </c>
    </row>
    <row r="94" spans="1:9" ht="12" customHeight="1" x14ac:dyDescent="0.25">
      <c r="A94" s="16" t="s">
        <v>121</v>
      </c>
      <c r="B94" s="9" t="s">
        <v>76</v>
      </c>
      <c r="C94" s="805">
        <f>SUM(D94:F94)+252096521+85501355+27232396-1393308+7410662+5711096+12960546+166800</f>
        <v>1093963055</v>
      </c>
      <c r="D94" s="388">
        <f>25364000+485000+6010000+3749000+165142000+48000+105000-275033584</f>
        <v>-74130584</v>
      </c>
      <c r="E94" s="333">
        <v>119212000</v>
      </c>
      <c r="F94" s="342">
        <v>659195571</v>
      </c>
      <c r="H94" s="840">
        <f>'1.2.sz.mell. '!C94+'1.3.sz.mell.'!C94+'1.4.sz.mell. '!C94</f>
        <v>1093963055</v>
      </c>
      <c r="I94" s="841">
        <f t="shared" ref="I94:I154" si="3">C94-H94</f>
        <v>0</v>
      </c>
    </row>
    <row r="95" spans="1:9" ht="12" customHeight="1" x14ac:dyDescent="0.25">
      <c r="A95" s="13" t="s">
        <v>122</v>
      </c>
      <c r="B95" s="7" t="s">
        <v>187</v>
      </c>
      <c r="C95" s="806">
        <f>SUM(D95:F95)+28812821+9405149+5800271-280382+2089507-570939+1438961+3013037+175648</f>
        <v>232171042</v>
      </c>
      <c r="D95" s="324">
        <f>5239000+143000+1233000+14000+1652000+19299000+10000+23000-28480392</f>
        <v>-867392</v>
      </c>
      <c r="E95" s="162">
        <v>28323500</v>
      </c>
      <c r="F95" s="326">
        <v>154830861</v>
      </c>
      <c r="H95" s="842">
        <f>'1.2.sz.mell. '!C95+'1.3.sz.mell.'!C95+'1.4.sz.mell. '!C95</f>
        <v>232171042</v>
      </c>
      <c r="I95" s="843">
        <f t="shared" si="3"/>
        <v>0</v>
      </c>
    </row>
    <row r="96" spans="1:9" ht="12" customHeight="1" x14ac:dyDescent="0.25">
      <c r="A96" s="13" t="s">
        <v>123</v>
      </c>
      <c r="B96" s="7" t="s">
        <v>157</v>
      </c>
      <c r="C96" s="806">
        <f>SUM(D96:F96)+41579904+1600000+22320920+28158088+9295882+11813400+570939+10565807+4029458+20547308</f>
        <v>983158853</v>
      </c>
      <c r="D96" s="328">
        <f>11475000+835000+4801000+2722822+944166+8715000+1817000+17736000+735000+300000+8485000+34925000+628800+40773000+3429000+11212000+576000+3351000+1682000+16980000+46750042+1200000+4573000+1350000+376000-19720295</f>
        <v>206651535</v>
      </c>
      <c r="E96" s="235">
        <v>52037350</v>
      </c>
      <c r="F96" s="326">
        <v>573988262</v>
      </c>
      <c r="H96" s="842">
        <f>'1.2.sz.mell. '!C96+'1.3.sz.mell.'!C96+'1.4.sz.mell. '!C96</f>
        <v>983158853</v>
      </c>
      <c r="I96" s="843">
        <f t="shared" si="3"/>
        <v>0</v>
      </c>
    </row>
    <row r="97" spans="1:9" ht="12" customHeight="1" x14ac:dyDescent="0.25">
      <c r="A97" s="13" t="s">
        <v>124</v>
      </c>
      <c r="B97" s="7" t="s">
        <v>188</v>
      </c>
      <c r="C97" s="806">
        <f>SUM(D97:F97)-6901260-4000000</f>
        <v>79248740</v>
      </c>
      <c r="D97" s="328">
        <f>70980000-5080000</f>
        <v>65900000</v>
      </c>
      <c r="E97" s="235">
        <v>24250000</v>
      </c>
      <c r="F97" s="341"/>
      <c r="H97" s="842">
        <f>'1.2.sz.mell. '!C97+'1.3.sz.mell.'!C97+'1.4.sz.mell. '!C97</f>
        <v>79248740</v>
      </c>
      <c r="I97" s="843">
        <f t="shared" si="3"/>
        <v>0</v>
      </c>
    </row>
    <row r="98" spans="1:9" ht="12" customHeight="1" x14ac:dyDescent="0.25">
      <c r="A98" s="13" t="s">
        <v>135</v>
      </c>
      <c r="B98" s="6" t="s">
        <v>189</v>
      </c>
      <c r="C98" s="427">
        <f>SUM(C99:C110)</f>
        <v>85130011</v>
      </c>
      <c r="D98" s="328">
        <f>SUM(D99:D110)</f>
        <v>43566000</v>
      </c>
      <c r="E98" s="235">
        <f>SUM(E99:E110)</f>
        <v>0</v>
      </c>
      <c r="F98" s="341"/>
      <c r="H98" s="842">
        <f>'1.2.sz.mell. '!C98+'1.3.sz.mell.'!C98+'1.4.sz.mell. '!C98</f>
        <v>85130011</v>
      </c>
      <c r="I98" s="843">
        <f t="shared" si="3"/>
        <v>0</v>
      </c>
    </row>
    <row r="99" spans="1:9" ht="12" customHeight="1" x14ac:dyDescent="0.25">
      <c r="A99" s="13" t="s">
        <v>125</v>
      </c>
      <c r="B99" s="7" t="s">
        <v>541</v>
      </c>
      <c r="C99" s="427">
        <f>SUM(D99:F99)+1500+7242044+114463+2792500+6504</f>
        <v>10157011</v>
      </c>
      <c r="D99" s="328"/>
      <c r="E99" s="235"/>
      <c r="F99" s="341"/>
      <c r="H99" s="842">
        <f>'1.2.sz.mell. '!C99+'1.3.sz.mell.'!C99+'1.4.sz.mell. '!C99</f>
        <v>10157011</v>
      </c>
      <c r="I99" s="843">
        <f t="shared" si="3"/>
        <v>0</v>
      </c>
    </row>
    <row r="100" spans="1:9" ht="12" customHeight="1" x14ac:dyDescent="0.25">
      <c r="A100" s="13" t="s">
        <v>126</v>
      </c>
      <c r="B100" s="90" t="s">
        <v>542</v>
      </c>
      <c r="C100" s="427">
        <f>SUM(D100:F100)</f>
        <v>0</v>
      </c>
      <c r="D100" s="328"/>
      <c r="E100" s="235"/>
      <c r="F100" s="341"/>
      <c r="H100" s="842">
        <f>'1.2.sz.mell. '!C100+'1.3.sz.mell.'!C100+'1.4.sz.mell. '!C100</f>
        <v>0</v>
      </c>
      <c r="I100" s="843">
        <f t="shared" si="3"/>
        <v>0</v>
      </c>
    </row>
    <row r="101" spans="1:9" ht="12" customHeight="1" x14ac:dyDescent="0.25">
      <c r="A101" s="13" t="s">
        <v>136</v>
      </c>
      <c r="B101" s="90" t="s">
        <v>543</v>
      </c>
      <c r="C101" s="427">
        <f>SUM(D101:F101)</f>
        <v>0</v>
      </c>
      <c r="D101" s="328"/>
      <c r="E101" s="235"/>
      <c r="F101" s="341"/>
      <c r="H101" s="842">
        <f>'1.2.sz.mell. '!C101+'1.3.sz.mell.'!C101+'1.4.sz.mell. '!C101</f>
        <v>0</v>
      </c>
      <c r="I101" s="843">
        <f t="shared" si="3"/>
        <v>0</v>
      </c>
    </row>
    <row r="102" spans="1:9" ht="12" customHeight="1" x14ac:dyDescent="0.25">
      <c r="A102" s="13" t="s">
        <v>137</v>
      </c>
      <c r="B102" s="88" t="s">
        <v>334</v>
      </c>
      <c r="C102" s="427">
        <f>SUM(D102:F102)</f>
        <v>0</v>
      </c>
      <c r="D102" s="328"/>
      <c r="E102" s="235"/>
      <c r="F102" s="341"/>
      <c r="H102" s="842">
        <f>'1.2.sz.mell. '!C102+'1.3.sz.mell.'!C102+'1.4.sz.mell. '!C102</f>
        <v>0</v>
      </c>
      <c r="I102" s="843">
        <f t="shared" si="3"/>
        <v>0</v>
      </c>
    </row>
    <row r="103" spans="1:9" ht="12" customHeight="1" x14ac:dyDescent="0.25">
      <c r="A103" s="13" t="s">
        <v>138</v>
      </c>
      <c r="B103" s="89" t="s">
        <v>335</v>
      </c>
      <c r="C103" s="427">
        <f>SUM(D103:F103)</f>
        <v>0</v>
      </c>
      <c r="D103" s="328"/>
      <c r="E103" s="235"/>
      <c r="F103" s="341"/>
      <c r="H103" s="842">
        <f>'1.2.sz.mell. '!C103+'1.3.sz.mell.'!C103+'1.4.sz.mell. '!C103</f>
        <v>0</v>
      </c>
      <c r="I103" s="843">
        <f t="shared" si="3"/>
        <v>0</v>
      </c>
    </row>
    <row r="104" spans="1:9" ht="12" customHeight="1" x14ac:dyDescent="0.25">
      <c r="A104" s="13" t="s">
        <v>139</v>
      </c>
      <c r="B104" s="89" t="s">
        <v>336</v>
      </c>
      <c r="C104" s="427">
        <f>SUM(D104:F104)</f>
        <v>0</v>
      </c>
      <c r="D104" s="328"/>
      <c r="E104" s="235"/>
      <c r="F104" s="341"/>
      <c r="H104" s="842">
        <f>'1.2.sz.mell. '!C104+'1.3.sz.mell.'!C104+'1.4.sz.mell. '!C104</f>
        <v>0</v>
      </c>
      <c r="I104" s="843">
        <f t="shared" si="3"/>
        <v>0</v>
      </c>
    </row>
    <row r="105" spans="1:9" ht="12" customHeight="1" x14ac:dyDescent="0.25">
      <c r="A105" s="13" t="s">
        <v>141</v>
      </c>
      <c r="B105" s="88" t="s">
        <v>337</v>
      </c>
      <c r="C105" s="427">
        <f>SUM(D105:F105)+60754-60754</f>
        <v>0</v>
      </c>
      <c r="D105" s="328"/>
      <c r="E105" s="235"/>
      <c r="F105" s="341"/>
      <c r="H105" s="842">
        <f>'1.2.sz.mell. '!C105+'1.3.sz.mell.'!C105+'1.4.sz.mell. '!C105</f>
        <v>0</v>
      </c>
      <c r="I105" s="843">
        <f t="shared" si="3"/>
        <v>0</v>
      </c>
    </row>
    <row r="106" spans="1:9" ht="12" customHeight="1" x14ac:dyDescent="0.25">
      <c r="A106" s="13" t="s">
        <v>190</v>
      </c>
      <c r="B106" s="88" t="s">
        <v>338</v>
      </c>
      <c r="C106" s="427">
        <f>SUM(D106:F106)</f>
        <v>0</v>
      </c>
      <c r="D106" s="328"/>
      <c r="E106" s="235"/>
      <c r="F106" s="341"/>
      <c r="H106" s="842">
        <f>'1.2.sz.mell. '!C106+'1.3.sz.mell.'!C106+'1.4.sz.mell. '!C106</f>
        <v>0</v>
      </c>
      <c r="I106" s="843">
        <f t="shared" si="3"/>
        <v>0</v>
      </c>
    </row>
    <row r="107" spans="1:9" ht="12" customHeight="1" x14ac:dyDescent="0.25">
      <c r="A107" s="13" t="s">
        <v>332</v>
      </c>
      <c r="B107" s="89" t="s">
        <v>339</v>
      </c>
      <c r="C107" s="427">
        <f>SUM(D107:F107)</f>
        <v>0</v>
      </c>
      <c r="D107" s="328"/>
      <c r="E107" s="235"/>
      <c r="F107" s="341"/>
      <c r="H107" s="842">
        <f>'1.2.sz.mell. '!C107+'1.3.sz.mell.'!C107+'1.4.sz.mell. '!C107</f>
        <v>0</v>
      </c>
      <c r="I107" s="843">
        <f t="shared" si="3"/>
        <v>0</v>
      </c>
    </row>
    <row r="108" spans="1:9" ht="12" customHeight="1" x14ac:dyDescent="0.25">
      <c r="A108" s="12" t="s">
        <v>333</v>
      </c>
      <c r="B108" s="90" t="s">
        <v>340</v>
      </c>
      <c r="C108" s="427">
        <f>SUM(D108:F108)</f>
        <v>0</v>
      </c>
      <c r="D108" s="328"/>
      <c r="E108" s="235"/>
      <c r="F108" s="341"/>
      <c r="H108" s="842">
        <f>'1.2.sz.mell. '!C108+'1.3.sz.mell.'!C108+'1.4.sz.mell. '!C108</f>
        <v>0</v>
      </c>
      <c r="I108" s="843">
        <f t="shared" si="3"/>
        <v>0</v>
      </c>
    </row>
    <row r="109" spans="1:9" ht="12" customHeight="1" x14ac:dyDescent="0.25">
      <c r="A109" s="13" t="s">
        <v>544</v>
      </c>
      <c r="B109" s="90" t="s">
        <v>341</v>
      </c>
      <c r="C109" s="427">
        <f>SUM(D109:F109)</f>
        <v>0</v>
      </c>
      <c r="D109" s="328"/>
      <c r="E109" s="235"/>
      <c r="F109" s="341"/>
      <c r="H109" s="842">
        <f>'1.2.sz.mell. '!C109+'1.3.sz.mell.'!C109+'1.4.sz.mell. '!C109</f>
        <v>0</v>
      </c>
      <c r="I109" s="843">
        <f t="shared" si="3"/>
        <v>0</v>
      </c>
    </row>
    <row r="110" spans="1:9" ht="12" customHeight="1" x14ac:dyDescent="0.25">
      <c r="A110" s="15" t="s">
        <v>545</v>
      </c>
      <c r="B110" s="90" t="s">
        <v>342</v>
      </c>
      <c r="C110" s="806">
        <f>SUM(D110:F110)+3500000+6600000+2000000+16082000+3225000</f>
        <v>74973000</v>
      </c>
      <c r="D110" s="324">
        <f>536000+11389000+8562000+16678000+6401000</f>
        <v>43566000</v>
      </c>
      <c r="E110" s="162"/>
      <c r="F110" s="341"/>
      <c r="H110" s="842">
        <f>'1.2.sz.mell. '!C110+'1.3.sz.mell.'!C110+'1.4.sz.mell. '!C110</f>
        <v>74973000</v>
      </c>
      <c r="I110" s="843">
        <f t="shared" si="3"/>
        <v>0</v>
      </c>
    </row>
    <row r="111" spans="1:9" ht="12" customHeight="1" x14ac:dyDescent="0.25">
      <c r="A111" s="13" t="s">
        <v>546</v>
      </c>
      <c r="B111" s="7" t="s">
        <v>77</v>
      </c>
      <c r="C111" s="427">
        <f>SUM(C112:C113)</f>
        <v>97769820</v>
      </c>
      <c r="D111" s="324">
        <f>D112+D113</f>
        <v>129508808</v>
      </c>
      <c r="E111" s="162"/>
      <c r="F111" s="326">
        <f>F112+F113</f>
        <v>0</v>
      </c>
      <c r="H111" s="842">
        <f>'1.2.sz.mell. '!C111+'1.3.sz.mell.'!C111+'1.4.sz.mell. '!C111</f>
        <v>97769820</v>
      </c>
      <c r="I111" s="843">
        <f t="shared" si="3"/>
        <v>0</v>
      </c>
    </row>
    <row r="112" spans="1:9" ht="12" customHeight="1" x14ac:dyDescent="0.25">
      <c r="A112" s="13" t="s">
        <v>547</v>
      </c>
      <c r="B112" s="7" t="s">
        <v>548</v>
      </c>
      <c r="C112" s="806">
        <f>SUM(D112:F112)-9172313+8719388-4010722-1042502-1846399+5485909+8185627+3000000</f>
        <v>30975496</v>
      </c>
      <c r="D112" s="328">
        <f>20000000+1656508</f>
        <v>21656508</v>
      </c>
      <c r="E112" s="235"/>
      <c r="F112" s="326"/>
      <c r="H112" s="842">
        <f>'1.2.sz.mell. '!C112+'1.3.sz.mell.'!C112+'1.4.sz.mell. '!C112</f>
        <v>30975496</v>
      </c>
      <c r="I112" s="843">
        <f t="shared" si="3"/>
        <v>0</v>
      </c>
    </row>
    <row r="113" spans="1:9" ht="12" customHeight="1" thickBot="1" x14ac:dyDescent="0.3">
      <c r="A113" s="17" t="s">
        <v>549</v>
      </c>
      <c r="B113" s="310" t="s">
        <v>550</v>
      </c>
      <c r="C113" s="807">
        <f>SUM(D113:F113)-8373330-1600000-8539600-6323156-7948000-7343244+31158286-32066515+411581-433998</f>
        <v>66794324</v>
      </c>
      <c r="D113" s="389">
        <f>110613300+500000-3261000</f>
        <v>107852300</v>
      </c>
      <c r="E113" s="345"/>
      <c r="F113" s="343"/>
      <c r="H113" s="844">
        <f>'1.2.sz.mell. '!C113+'1.3.sz.mell.'!C113+'1.4.sz.mell. '!C113</f>
        <v>66794324</v>
      </c>
      <c r="I113" s="845">
        <f t="shared" si="3"/>
        <v>0</v>
      </c>
    </row>
    <row r="114" spans="1:9" ht="12" customHeight="1" thickBot="1" x14ac:dyDescent="0.3">
      <c r="A114" s="311" t="s">
        <v>46</v>
      </c>
      <c r="B114" s="312" t="s">
        <v>343</v>
      </c>
      <c r="C114" s="421">
        <f>C115+C117+C119</f>
        <v>752223056</v>
      </c>
      <c r="D114" s="351">
        <f>+D115+D117+D119</f>
        <v>150430581</v>
      </c>
      <c r="E114" s="158">
        <f>+E115+E117+E119</f>
        <v>1901000</v>
      </c>
      <c r="F114" s="313">
        <f>+F115+F117+F119</f>
        <v>9272287</v>
      </c>
      <c r="H114" s="846">
        <f>'1.2.sz.mell. '!C114+'1.3.sz.mell.'!C114+'1.4.sz.mell. '!C114</f>
        <v>752223056</v>
      </c>
      <c r="I114" s="846">
        <f t="shared" si="3"/>
        <v>0</v>
      </c>
    </row>
    <row r="115" spans="1:9" ht="12" customHeight="1" x14ac:dyDescent="0.25">
      <c r="A115" s="14" t="s">
        <v>127</v>
      </c>
      <c r="B115" s="7" t="s">
        <v>207</v>
      </c>
      <c r="C115" s="805">
        <f>SUM(D115:F115)+15239176+979170-265000+63976+93988736+220065714+8904148-1752617</f>
        <v>366184004</v>
      </c>
      <c r="D115" s="358">
        <f>6621000+2963001+787402+10624171+3081125+300001+529000+1654000+447000+2237000+90200+6604000+301000+204000-18155486</f>
        <v>18287414</v>
      </c>
      <c r="E115" s="284">
        <v>1901000</v>
      </c>
      <c r="F115" s="344">
        <v>8772287</v>
      </c>
      <c r="H115" s="840">
        <f>'1.2.sz.mell. '!C115+'1.3.sz.mell.'!C115+'1.4.sz.mell. '!C115</f>
        <v>366184004</v>
      </c>
      <c r="I115" s="841">
        <f t="shared" si="3"/>
        <v>0</v>
      </c>
    </row>
    <row r="116" spans="1:9" ht="12" customHeight="1" x14ac:dyDescent="0.25">
      <c r="A116" s="14" t="s">
        <v>128</v>
      </c>
      <c r="B116" s="11" t="s">
        <v>347</v>
      </c>
      <c r="C116" s="806">
        <f>SUM(D116:F116)-1000000+87765636+214128350+2959448</f>
        <v>318346132</v>
      </c>
      <c r="D116" s="358">
        <v>14492698</v>
      </c>
      <c r="E116" s="284"/>
      <c r="F116" s="344"/>
      <c r="H116" s="842">
        <f>'1.2.sz.mell. '!C116+'1.3.sz.mell.'!C116+'1.4.sz.mell. '!C116</f>
        <v>318346132</v>
      </c>
      <c r="I116" s="843">
        <f t="shared" si="3"/>
        <v>0</v>
      </c>
    </row>
    <row r="117" spans="1:9" ht="12" customHeight="1" x14ac:dyDescent="0.25">
      <c r="A117" s="14" t="s">
        <v>129</v>
      </c>
      <c r="B117" s="11" t="s">
        <v>191</v>
      </c>
      <c r="C117" s="427">
        <f>SUM(D117:F117)-134607+7509510+735000+1000000+839841+49594413+188498728</f>
        <v>337534552</v>
      </c>
      <c r="D117" s="324">
        <f>53340000+21000000+1513000+2996000+809000+9333667</f>
        <v>88991667</v>
      </c>
      <c r="E117" s="162"/>
      <c r="F117" s="326">
        <v>500000</v>
      </c>
      <c r="H117" s="842">
        <f>'1.2.sz.mell. '!C117+'1.3.sz.mell.'!C117+'1.4.sz.mell. '!C117</f>
        <v>337534552</v>
      </c>
      <c r="I117" s="843">
        <f t="shared" si="3"/>
        <v>0</v>
      </c>
    </row>
    <row r="118" spans="1:9" ht="12" customHeight="1" x14ac:dyDescent="0.25">
      <c r="A118" s="14" t="s">
        <v>130</v>
      </c>
      <c r="B118" s="11" t="s">
        <v>348</v>
      </c>
      <c r="C118" s="427">
        <f>SUM(D118:F118)+1000000+3795044+189429682-203244</f>
        <v>247361482</v>
      </c>
      <c r="D118" s="324">
        <v>53340000</v>
      </c>
      <c r="E118" s="337"/>
      <c r="F118" s="324"/>
      <c r="H118" s="842">
        <f>'1.2.sz.mell. '!C118+'1.3.sz.mell.'!C118+'1.4.sz.mell. '!C118</f>
        <v>247361482</v>
      </c>
      <c r="I118" s="843">
        <f t="shared" si="3"/>
        <v>0</v>
      </c>
    </row>
    <row r="119" spans="1:9" ht="12" customHeight="1" x14ac:dyDescent="0.25">
      <c r="A119" s="14" t="s">
        <v>131</v>
      </c>
      <c r="B119" s="155" t="s">
        <v>209</v>
      </c>
      <c r="C119" s="427">
        <f>SUM(C120:C127)</f>
        <v>48504500</v>
      </c>
      <c r="D119" s="324">
        <f>SUM(D120:D127)</f>
        <v>43151500</v>
      </c>
      <c r="E119" s="324"/>
      <c r="F119" s="324"/>
      <c r="H119" s="842">
        <f>'1.2.sz.mell. '!C119+'1.3.sz.mell.'!C119+'1.4.sz.mell. '!C119</f>
        <v>48504500</v>
      </c>
      <c r="I119" s="843">
        <f t="shared" si="3"/>
        <v>0</v>
      </c>
    </row>
    <row r="120" spans="1:9" ht="12" customHeight="1" x14ac:dyDescent="0.25">
      <c r="A120" s="14" t="s">
        <v>140</v>
      </c>
      <c r="B120" s="154" t="s">
        <v>410</v>
      </c>
      <c r="C120" s="427">
        <f t="shared" ref="C120:C126" si="4">SUM(D120:F120)</f>
        <v>0</v>
      </c>
      <c r="D120" s="145"/>
      <c r="E120" s="145"/>
      <c r="F120" s="324"/>
      <c r="H120" s="842">
        <f>'1.2.sz.mell. '!C120+'1.3.sz.mell.'!C120+'1.4.sz.mell. '!C120</f>
        <v>0</v>
      </c>
      <c r="I120" s="843">
        <f t="shared" si="3"/>
        <v>0</v>
      </c>
    </row>
    <row r="121" spans="1:9" ht="12" customHeight="1" x14ac:dyDescent="0.25">
      <c r="A121" s="14" t="s">
        <v>142</v>
      </c>
      <c r="B121" s="242" t="s">
        <v>353</v>
      </c>
      <c r="C121" s="427">
        <f t="shared" si="4"/>
        <v>0</v>
      </c>
      <c r="D121" s="145"/>
      <c r="E121" s="145"/>
      <c r="F121" s="324"/>
      <c r="H121" s="842">
        <f>'1.2.sz.mell. '!C121+'1.3.sz.mell.'!C121+'1.4.sz.mell. '!C121</f>
        <v>0</v>
      </c>
      <c r="I121" s="843">
        <f t="shared" si="3"/>
        <v>0</v>
      </c>
    </row>
    <row r="122" spans="1:9" x14ac:dyDescent="0.25">
      <c r="A122" s="14" t="s">
        <v>192</v>
      </c>
      <c r="B122" s="89" t="s">
        <v>336</v>
      </c>
      <c r="C122" s="427">
        <f t="shared" si="4"/>
        <v>0</v>
      </c>
      <c r="D122" s="145"/>
      <c r="E122" s="145"/>
      <c r="F122" s="324"/>
      <c r="H122" s="842">
        <f>'1.2.sz.mell. '!C122+'1.3.sz.mell.'!C122+'1.4.sz.mell. '!C122</f>
        <v>0</v>
      </c>
      <c r="I122" s="843">
        <f t="shared" si="3"/>
        <v>0</v>
      </c>
    </row>
    <row r="123" spans="1:9" ht="12" customHeight="1" x14ac:dyDescent="0.25">
      <c r="A123" s="14" t="s">
        <v>193</v>
      </c>
      <c r="B123" s="89" t="s">
        <v>352</v>
      </c>
      <c r="C123" s="427">
        <f t="shared" si="4"/>
        <v>0</v>
      </c>
      <c r="D123" s="145"/>
      <c r="E123" s="145"/>
      <c r="F123" s="324"/>
      <c r="H123" s="842">
        <f>'1.2.sz.mell. '!C123+'1.3.sz.mell.'!C123+'1.4.sz.mell. '!C123</f>
        <v>0</v>
      </c>
      <c r="I123" s="843">
        <f t="shared" si="3"/>
        <v>0</v>
      </c>
    </row>
    <row r="124" spans="1:9" ht="12" customHeight="1" x14ac:dyDescent="0.25">
      <c r="A124" s="14" t="s">
        <v>194</v>
      </c>
      <c r="B124" s="89" t="s">
        <v>351</v>
      </c>
      <c r="C124" s="427">
        <f t="shared" si="4"/>
        <v>0</v>
      </c>
      <c r="D124" s="145"/>
      <c r="E124" s="145"/>
      <c r="F124" s="324"/>
      <c r="H124" s="842">
        <f>'1.2.sz.mell. '!C124+'1.3.sz.mell.'!C124+'1.4.sz.mell. '!C124</f>
        <v>0</v>
      </c>
      <c r="I124" s="843">
        <f t="shared" si="3"/>
        <v>0</v>
      </c>
    </row>
    <row r="125" spans="1:9" ht="12" customHeight="1" x14ac:dyDescent="0.25">
      <c r="A125" s="14" t="s">
        <v>344</v>
      </c>
      <c r="B125" s="89" t="s">
        <v>339</v>
      </c>
      <c r="C125" s="427">
        <f>SUM(D125:F125)+5000</f>
        <v>5000</v>
      </c>
      <c r="D125" s="145"/>
      <c r="E125" s="145"/>
      <c r="F125" s="324"/>
      <c r="H125" s="842">
        <f>'1.2.sz.mell. '!C125+'1.3.sz.mell.'!C125+'1.4.sz.mell. '!C125</f>
        <v>5000</v>
      </c>
      <c r="I125" s="843">
        <f t="shared" si="3"/>
        <v>0</v>
      </c>
    </row>
    <row r="126" spans="1:9" ht="12" customHeight="1" x14ac:dyDescent="0.25">
      <c r="A126" s="14" t="s">
        <v>345</v>
      </c>
      <c r="B126" s="89" t="s">
        <v>350</v>
      </c>
      <c r="C126" s="427">
        <f t="shared" si="4"/>
        <v>0</v>
      </c>
      <c r="D126" s="145"/>
      <c r="E126" s="145"/>
      <c r="F126" s="324"/>
      <c r="H126" s="842">
        <f>'1.2.sz.mell. '!C126+'1.3.sz.mell.'!C126+'1.4.sz.mell. '!C126</f>
        <v>0</v>
      </c>
      <c r="I126" s="843">
        <f t="shared" si="3"/>
        <v>0</v>
      </c>
    </row>
    <row r="127" spans="1:9" ht="16.5" thickBot="1" x14ac:dyDescent="0.3">
      <c r="A127" s="12" t="s">
        <v>346</v>
      </c>
      <c r="B127" s="89" t="s">
        <v>349</v>
      </c>
      <c r="C127" s="807">
        <f>SUM(D127:F127)+2400000+1348000+600000+1000000</f>
        <v>48499500</v>
      </c>
      <c r="D127" s="328">
        <f>42072000+1079500</f>
        <v>43151500</v>
      </c>
      <c r="E127" s="328"/>
      <c r="F127" s="328"/>
      <c r="H127" s="844">
        <f>'1.2.sz.mell. '!C127+'1.3.sz.mell.'!C127+'1.4.sz.mell. '!C127</f>
        <v>48499500</v>
      </c>
      <c r="I127" s="845">
        <f t="shared" si="3"/>
        <v>0</v>
      </c>
    </row>
    <row r="128" spans="1:9" ht="12" customHeight="1" thickBot="1" x14ac:dyDescent="0.3">
      <c r="A128" s="19" t="s">
        <v>47</v>
      </c>
      <c r="B128" s="84" t="s">
        <v>551</v>
      </c>
      <c r="C128" s="421">
        <f>C114+C93</f>
        <v>3323664577</v>
      </c>
      <c r="D128" s="351">
        <f>+D93+D114</f>
        <v>521058948</v>
      </c>
      <c r="E128" s="158">
        <f>+E93+E114</f>
        <v>225723850</v>
      </c>
      <c r="F128" s="158">
        <f>+F93+F114</f>
        <v>1397286981</v>
      </c>
      <c r="H128" s="846">
        <f>'1.2.sz.mell. '!C128+'1.3.sz.mell.'!C128+'1.4.sz.mell. '!C128</f>
        <v>3323664577</v>
      </c>
      <c r="I128" s="846">
        <f t="shared" si="3"/>
        <v>0</v>
      </c>
    </row>
    <row r="129" spans="1:9" ht="12" customHeight="1" thickBot="1" x14ac:dyDescent="0.3">
      <c r="A129" s="19" t="s">
        <v>48</v>
      </c>
      <c r="B129" s="84" t="s">
        <v>552</v>
      </c>
      <c r="C129" s="421">
        <f>SUM(C130:C132)</f>
        <v>103161000</v>
      </c>
      <c r="D129" s="351">
        <f>+D130+D131+D132</f>
        <v>103161000</v>
      </c>
      <c r="E129" s="158">
        <f>+E130+E131+E132</f>
        <v>0</v>
      </c>
      <c r="F129" s="158">
        <f>+F130+F131+F132</f>
        <v>0</v>
      </c>
      <c r="H129" s="846">
        <f>'1.2.sz.mell. '!C129+'1.3.sz.mell.'!C129+'1.4.sz.mell. '!C129</f>
        <v>103161000</v>
      </c>
      <c r="I129" s="846">
        <f t="shared" si="3"/>
        <v>0</v>
      </c>
    </row>
    <row r="130" spans="1:9" ht="12" customHeight="1" x14ac:dyDescent="0.25">
      <c r="A130" s="14" t="s">
        <v>244</v>
      </c>
      <c r="B130" s="11" t="s">
        <v>553</v>
      </c>
      <c r="C130" s="423">
        <f>SUM(D130:F130)</f>
        <v>3161000</v>
      </c>
      <c r="D130" s="324">
        <v>3161000</v>
      </c>
      <c r="E130" s="324"/>
      <c r="F130" s="324"/>
      <c r="H130" s="840">
        <f>'1.2.sz.mell. '!C130+'1.3.sz.mell.'!C130+'1.4.sz.mell. '!C130</f>
        <v>3161000</v>
      </c>
      <c r="I130" s="841">
        <f t="shared" si="3"/>
        <v>0</v>
      </c>
    </row>
    <row r="131" spans="1:9" ht="12" customHeight="1" x14ac:dyDescent="0.25">
      <c r="A131" s="14" t="s">
        <v>247</v>
      </c>
      <c r="B131" s="11" t="s">
        <v>554</v>
      </c>
      <c r="C131" s="422">
        <f>SUM(D131:F131)</f>
        <v>100000000</v>
      </c>
      <c r="D131" s="145">
        <v>100000000</v>
      </c>
      <c r="E131" s="145"/>
      <c r="F131" s="145"/>
      <c r="H131" s="842">
        <f>'1.2.sz.mell. '!C131+'1.3.sz.mell.'!C131+'1.4.sz.mell. '!C131</f>
        <v>100000000</v>
      </c>
      <c r="I131" s="843">
        <f t="shared" si="3"/>
        <v>0</v>
      </c>
    </row>
    <row r="132" spans="1:9" ht="12" customHeight="1" thickBot="1" x14ac:dyDescent="0.3">
      <c r="A132" s="12" t="s">
        <v>248</v>
      </c>
      <c r="B132" s="11" t="s">
        <v>555</v>
      </c>
      <c r="C132" s="424">
        <f>SUM(D132:F132)</f>
        <v>0</v>
      </c>
      <c r="D132" s="145"/>
      <c r="E132" s="145"/>
      <c r="F132" s="145"/>
      <c r="H132" s="844">
        <f>'1.2.sz.mell. '!C132+'1.3.sz.mell.'!C132+'1.4.sz.mell. '!C132</f>
        <v>0</v>
      </c>
      <c r="I132" s="845">
        <f t="shared" si="3"/>
        <v>0</v>
      </c>
    </row>
    <row r="133" spans="1:9" ht="12" customHeight="1" thickBot="1" x14ac:dyDescent="0.3">
      <c r="A133" s="19" t="s">
        <v>49</v>
      </c>
      <c r="B133" s="84" t="s">
        <v>556</v>
      </c>
      <c r="C133" s="425">
        <f>SUM(C134:C139)</f>
        <v>0</v>
      </c>
      <c r="D133" s="351">
        <f>+D134+D135+D136+D137+D138+D139</f>
        <v>0</v>
      </c>
      <c r="E133" s="158">
        <f>+E134+E135+E136+E137+E138+E139</f>
        <v>0</v>
      </c>
      <c r="F133" s="158">
        <f>SUM(F134:F139)</f>
        <v>0</v>
      </c>
      <c r="H133" s="846">
        <f>'1.2.sz.mell. '!C133+'1.3.sz.mell.'!C133+'1.4.sz.mell. '!C133</f>
        <v>0</v>
      </c>
      <c r="I133" s="846">
        <f t="shared" si="3"/>
        <v>0</v>
      </c>
    </row>
    <row r="134" spans="1:9" ht="12" customHeight="1" x14ac:dyDescent="0.25">
      <c r="A134" s="14" t="s">
        <v>114</v>
      </c>
      <c r="B134" s="8" t="s">
        <v>557</v>
      </c>
      <c r="C134" s="423">
        <f t="shared" ref="C134:C139" si="5">SUM(D134:F134)</f>
        <v>0</v>
      </c>
      <c r="D134" s="145"/>
      <c r="E134" s="145"/>
      <c r="F134" s="145"/>
      <c r="H134" s="840">
        <f>'1.2.sz.mell. '!C134+'1.3.sz.mell.'!C134+'1.4.sz.mell. '!C134</f>
        <v>0</v>
      </c>
      <c r="I134" s="841">
        <f t="shared" si="3"/>
        <v>0</v>
      </c>
    </row>
    <row r="135" spans="1:9" ht="12" customHeight="1" x14ac:dyDescent="0.25">
      <c r="A135" s="14" t="s">
        <v>115</v>
      </c>
      <c r="B135" s="8" t="s">
        <v>558</v>
      </c>
      <c r="C135" s="422">
        <f t="shared" si="5"/>
        <v>0</v>
      </c>
      <c r="D135" s="145"/>
      <c r="E135" s="145"/>
      <c r="F135" s="145"/>
      <c r="H135" s="842">
        <f>'1.2.sz.mell. '!C135+'1.3.sz.mell.'!C135+'1.4.sz.mell. '!C135</f>
        <v>0</v>
      </c>
      <c r="I135" s="843">
        <f t="shared" si="3"/>
        <v>0</v>
      </c>
    </row>
    <row r="136" spans="1:9" ht="12" customHeight="1" x14ac:dyDescent="0.25">
      <c r="A136" s="14" t="s">
        <v>116</v>
      </c>
      <c r="B136" s="8" t="s">
        <v>559</v>
      </c>
      <c r="C136" s="422">
        <f t="shared" si="5"/>
        <v>0</v>
      </c>
      <c r="D136" s="145"/>
      <c r="E136" s="145"/>
      <c r="F136" s="145"/>
      <c r="H136" s="842">
        <f>'1.2.sz.mell. '!C136+'1.3.sz.mell.'!C136+'1.4.sz.mell. '!C136</f>
        <v>0</v>
      </c>
      <c r="I136" s="843">
        <f t="shared" si="3"/>
        <v>0</v>
      </c>
    </row>
    <row r="137" spans="1:9" ht="12" customHeight="1" x14ac:dyDescent="0.25">
      <c r="A137" s="14" t="s">
        <v>179</v>
      </c>
      <c r="B137" s="8" t="s">
        <v>560</v>
      </c>
      <c r="C137" s="422">
        <f t="shared" si="5"/>
        <v>0</v>
      </c>
      <c r="D137" s="145"/>
      <c r="E137" s="145"/>
      <c r="F137" s="145"/>
      <c r="H137" s="842">
        <f>'1.2.sz.mell. '!C137+'1.3.sz.mell.'!C137+'1.4.sz.mell. '!C137</f>
        <v>0</v>
      </c>
      <c r="I137" s="843">
        <f t="shared" si="3"/>
        <v>0</v>
      </c>
    </row>
    <row r="138" spans="1:9" ht="12" customHeight="1" x14ac:dyDescent="0.25">
      <c r="A138" s="14" t="s">
        <v>180</v>
      </c>
      <c r="B138" s="8" t="s">
        <v>561</v>
      </c>
      <c r="C138" s="422">
        <f t="shared" si="5"/>
        <v>0</v>
      </c>
      <c r="D138" s="145"/>
      <c r="E138" s="145"/>
      <c r="F138" s="145"/>
      <c r="H138" s="842">
        <f>'1.2.sz.mell. '!C138+'1.3.sz.mell.'!C138+'1.4.sz.mell. '!C138</f>
        <v>0</v>
      </c>
      <c r="I138" s="843">
        <f t="shared" si="3"/>
        <v>0</v>
      </c>
    </row>
    <row r="139" spans="1:9" ht="12" customHeight="1" thickBot="1" x14ac:dyDescent="0.3">
      <c r="A139" s="12" t="s">
        <v>181</v>
      </c>
      <c r="B139" s="8" t="s">
        <v>562</v>
      </c>
      <c r="C139" s="424">
        <f t="shared" si="5"/>
        <v>0</v>
      </c>
      <c r="D139" s="145"/>
      <c r="E139" s="145"/>
      <c r="F139" s="145"/>
      <c r="H139" s="844">
        <f>'1.2.sz.mell. '!C139+'1.3.sz.mell.'!C139+'1.4.sz.mell. '!C139</f>
        <v>0</v>
      </c>
      <c r="I139" s="845">
        <f t="shared" si="3"/>
        <v>0</v>
      </c>
    </row>
    <row r="140" spans="1:9" ht="12" customHeight="1" thickBot="1" x14ac:dyDescent="0.3">
      <c r="A140" s="19" t="s">
        <v>50</v>
      </c>
      <c r="B140" s="84" t="s">
        <v>563</v>
      </c>
      <c r="C140" s="421">
        <f>SUM(C141:C144)</f>
        <v>35164932</v>
      </c>
      <c r="D140" s="355">
        <f>+D141+D142+D143+D144</f>
        <v>35164932</v>
      </c>
      <c r="E140" s="163">
        <f>+E141+E142+E143+E144</f>
        <v>0</v>
      </c>
      <c r="F140" s="163">
        <f>+F141+F142+F143+F144</f>
        <v>0</v>
      </c>
      <c r="H140" s="846">
        <f>'1.2.sz.mell. '!C140+'1.3.sz.mell.'!C140+'1.4.sz.mell. '!C140</f>
        <v>35164932</v>
      </c>
      <c r="I140" s="846">
        <f t="shared" si="3"/>
        <v>0</v>
      </c>
    </row>
    <row r="141" spans="1:9" ht="12" customHeight="1" x14ac:dyDescent="0.25">
      <c r="A141" s="14" t="s">
        <v>117</v>
      </c>
      <c r="B141" s="8" t="s">
        <v>354</v>
      </c>
      <c r="C141" s="423">
        <f>SUM(D141:F141)</f>
        <v>0</v>
      </c>
      <c r="D141" s="145"/>
      <c r="E141" s="145"/>
      <c r="F141" s="145"/>
      <c r="H141" s="840">
        <f>'1.2.sz.mell. '!C141+'1.3.sz.mell.'!C141+'1.4.sz.mell. '!C141</f>
        <v>0</v>
      </c>
      <c r="I141" s="841">
        <f t="shared" si="3"/>
        <v>0</v>
      </c>
    </row>
    <row r="142" spans="1:9" ht="12" customHeight="1" x14ac:dyDescent="0.25">
      <c r="A142" s="14" t="s">
        <v>118</v>
      </c>
      <c r="B142" s="8" t="s">
        <v>355</v>
      </c>
      <c r="C142" s="422">
        <f>SUM(D142:F142)</f>
        <v>35164932</v>
      </c>
      <c r="D142" s="145">
        <f>35164932</f>
        <v>35164932</v>
      </c>
      <c r="E142" s="145"/>
      <c r="F142" s="145"/>
      <c r="H142" s="842">
        <f>'1.2.sz.mell. '!C142+'1.3.sz.mell.'!C142+'1.4.sz.mell. '!C142</f>
        <v>35164932</v>
      </c>
      <c r="I142" s="843">
        <f t="shared" si="3"/>
        <v>0</v>
      </c>
    </row>
    <row r="143" spans="1:9" ht="12" customHeight="1" x14ac:dyDescent="0.25">
      <c r="A143" s="14" t="s">
        <v>268</v>
      </c>
      <c r="B143" s="8" t="s">
        <v>564</v>
      </c>
      <c r="C143" s="422">
        <f>SUM(D143:F143)</f>
        <v>0</v>
      </c>
      <c r="D143" s="145"/>
      <c r="E143" s="145"/>
      <c r="F143" s="145"/>
      <c r="H143" s="842">
        <f>'1.2.sz.mell. '!C143+'1.3.sz.mell.'!C143+'1.4.sz.mell. '!C143</f>
        <v>0</v>
      </c>
      <c r="I143" s="843">
        <f t="shared" si="3"/>
        <v>0</v>
      </c>
    </row>
    <row r="144" spans="1:9" ht="12" customHeight="1" thickBot="1" x14ac:dyDescent="0.3">
      <c r="A144" s="12" t="s">
        <v>269</v>
      </c>
      <c r="B144" s="6" t="s">
        <v>373</v>
      </c>
      <c r="C144" s="424">
        <f>SUM(D144:F144)</f>
        <v>0</v>
      </c>
      <c r="D144" s="145"/>
      <c r="E144" s="145"/>
      <c r="F144" s="145"/>
      <c r="H144" s="844">
        <f>'1.2.sz.mell. '!C144+'1.3.sz.mell.'!C144+'1.4.sz.mell. '!C144</f>
        <v>0</v>
      </c>
      <c r="I144" s="845">
        <f t="shared" si="3"/>
        <v>0</v>
      </c>
    </row>
    <row r="145" spans="1:9" ht="12" customHeight="1" thickBot="1" x14ac:dyDescent="0.3">
      <c r="A145" s="19" t="s">
        <v>51</v>
      </c>
      <c r="B145" s="84" t="s">
        <v>565</v>
      </c>
      <c r="C145" s="425">
        <f>SUM(C146:C150)</f>
        <v>0</v>
      </c>
      <c r="D145" s="366">
        <f>+D146+D147+D148+D149+D150</f>
        <v>0</v>
      </c>
      <c r="E145" s="166">
        <f>+E146+E147+E148+E149+E150</f>
        <v>0</v>
      </c>
      <c r="F145" s="166">
        <f>SUM(F146:F150)</f>
        <v>0</v>
      </c>
      <c r="H145" s="846">
        <f>'1.2.sz.mell. '!C145+'1.3.sz.mell.'!C145+'1.4.sz.mell. '!C145</f>
        <v>0</v>
      </c>
      <c r="I145" s="846">
        <f t="shared" si="3"/>
        <v>0</v>
      </c>
    </row>
    <row r="146" spans="1:9" ht="12" customHeight="1" x14ac:dyDescent="0.25">
      <c r="A146" s="14" t="s">
        <v>119</v>
      </c>
      <c r="B146" s="8" t="s">
        <v>566</v>
      </c>
      <c r="C146" s="423">
        <f t="shared" ref="C146:C152" si="6">SUM(D146:F146)</f>
        <v>0</v>
      </c>
      <c r="D146" s="145"/>
      <c r="E146" s="145"/>
      <c r="F146" s="145"/>
      <c r="H146" s="840">
        <f>'1.2.sz.mell. '!C146+'1.3.sz.mell.'!C146+'1.4.sz.mell. '!C146</f>
        <v>0</v>
      </c>
      <c r="I146" s="841">
        <f t="shared" si="3"/>
        <v>0</v>
      </c>
    </row>
    <row r="147" spans="1:9" ht="12" customHeight="1" x14ac:dyDescent="0.25">
      <c r="A147" s="14" t="s">
        <v>120</v>
      </c>
      <c r="B147" s="8" t="s">
        <v>567</v>
      </c>
      <c r="C147" s="422">
        <f t="shared" si="6"/>
        <v>0</v>
      </c>
      <c r="D147" s="145"/>
      <c r="E147" s="145"/>
      <c r="F147" s="145"/>
      <c r="H147" s="842">
        <f>'1.2.sz.mell. '!C147+'1.3.sz.mell.'!C147+'1.4.sz.mell. '!C147</f>
        <v>0</v>
      </c>
      <c r="I147" s="843">
        <f t="shared" si="3"/>
        <v>0</v>
      </c>
    </row>
    <row r="148" spans="1:9" ht="12" customHeight="1" x14ac:dyDescent="0.25">
      <c r="A148" s="14" t="s">
        <v>280</v>
      </c>
      <c r="B148" s="8" t="s">
        <v>568</v>
      </c>
      <c r="C148" s="422">
        <f t="shared" si="6"/>
        <v>0</v>
      </c>
      <c r="D148" s="145"/>
      <c r="E148" s="145"/>
      <c r="F148" s="145"/>
      <c r="H148" s="842">
        <f>'1.2.sz.mell. '!C148+'1.3.sz.mell.'!C148+'1.4.sz.mell. '!C148</f>
        <v>0</v>
      </c>
      <c r="I148" s="843">
        <f t="shared" si="3"/>
        <v>0</v>
      </c>
    </row>
    <row r="149" spans="1:9" ht="12" customHeight="1" x14ac:dyDescent="0.25">
      <c r="A149" s="14" t="s">
        <v>281</v>
      </c>
      <c r="B149" s="8" t="s">
        <v>569</v>
      </c>
      <c r="C149" s="422">
        <f t="shared" si="6"/>
        <v>0</v>
      </c>
      <c r="D149" s="145"/>
      <c r="E149" s="145"/>
      <c r="F149" s="145"/>
      <c r="H149" s="842">
        <f>'1.2.sz.mell. '!C149+'1.3.sz.mell.'!C149+'1.4.sz.mell. '!C149</f>
        <v>0</v>
      </c>
      <c r="I149" s="843">
        <f t="shared" si="3"/>
        <v>0</v>
      </c>
    </row>
    <row r="150" spans="1:9" ht="12" customHeight="1" thickBot="1" x14ac:dyDescent="0.3">
      <c r="A150" s="14" t="s">
        <v>570</v>
      </c>
      <c r="B150" s="8" t="s">
        <v>571</v>
      </c>
      <c r="C150" s="424">
        <f t="shared" si="6"/>
        <v>0</v>
      </c>
      <c r="D150" s="146"/>
      <c r="E150" s="146"/>
      <c r="F150" s="145"/>
      <c r="H150" s="844">
        <f>'1.2.sz.mell. '!C150+'1.3.sz.mell.'!C150+'1.4.sz.mell. '!C150</f>
        <v>0</v>
      </c>
      <c r="I150" s="845">
        <f t="shared" si="3"/>
        <v>0</v>
      </c>
    </row>
    <row r="151" spans="1:9" ht="12" customHeight="1" thickBot="1" x14ac:dyDescent="0.3">
      <c r="A151" s="19" t="s">
        <v>52</v>
      </c>
      <c r="B151" s="84" t="s">
        <v>572</v>
      </c>
      <c r="C151" s="425">
        <f t="shared" si="6"/>
        <v>0</v>
      </c>
      <c r="D151" s="366"/>
      <c r="E151" s="166"/>
      <c r="F151" s="314"/>
      <c r="H151" s="846">
        <f>'1.2.sz.mell. '!C151+'1.3.sz.mell.'!C151+'1.4.sz.mell. '!C151</f>
        <v>0</v>
      </c>
      <c r="I151" s="846">
        <f t="shared" si="3"/>
        <v>0</v>
      </c>
    </row>
    <row r="152" spans="1:9" ht="12" customHeight="1" thickBot="1" x14ac:dyDescent="0.3">
      <c r="A152" s="19" t="s">
        <v>53</v>
      </c>
      <c r="B152" s="84" t="s">
        <v>573</v>
      </c>
      <c r="C152" s="425">
        <f t="shared" si="6"/>
        <v>0</v>
      </c>
      <c r="D152" s="366"/>
      <c r="E152" s="166"/>
      <c r="F152" s="314"/>
      <c r="H152" s="846">
        <f>'1.2.sz.mell. '!C152+'1.3.sz.mell.'!C152+'1.4.sz.mell. '!C152</f>
        <v>0</v>
      </c>
      <c r="I152" s="846">
        <f t="shared" si="3"/>
        <v>0</v>
      </c>
    </row>
    <row r="153" spans="1:9" ht="15" customHeight="1" thickBot="1" x14ac:dyDescent="0.3">
      <c r="A153" s="19" t="s">
        <v>54</v>
      </c>
      <c r="B153" s="84" t="s">
        <v>574</v>
      </c>
      <c r="C153" s="421">
        <f>C152+C151+C145+C140+C133+C129</f>
        <v>138325932</v>
      </c>
      <c r="D153" s="369">
        <f>+D129+D133+D140+D145+D151+D152</f>
        <v>138325932</v>
      </c>
      <c r="E153" s="256">
        <f>+E129+E133+E140+E145+E151+E152</f>
        <v>0</v>
      </c>
      <c r="F153" s="256">
        <f>+F129+F133+F140+F145+F151+F152</f>
        <v>0</v>
      </c>
      <c r="G153" s="257"/>
      <c r="H153" s="846">
        <f>'1.2.sz.mell. '!C153+'1.3.sz.mell.'!C153+'1.4.sz.mell. '!C153</f>
        <v>138325932</v>
      </c>
      <c r="I153" s="846">
        <f t="shared" si="3"/>
        <v>0</v>
      </c>
    </row>
    <row r="154" spans="1:9" s="245" customFormat="1" ht="12.95" customHeight="1" thickBot="1" x14ac:dyDescent="0.25">
      <c r="A154" s="156" t="s">
        <v>55</v>
      </c>
      <c r="B154" s="231" t="s">
        <v>575</v>
      </c>
      <c r="C154" s="421">
        <f>C153+C128</f>
        <v>3461990509</v>
      </c>
      <c r="D154" s="369">
        <f>+D128+D153</f>
        <v>659384880</v>
      </c>
      <c r="E154" s="256">
        <f>+E128+E153</f>
        <v>225723850</v>
      </c>
      <c r="F154" s="256">
        <f>+F128+F153</f>
        <v>1397286981</v>
      </c>
      <c r="H154" s="846">
        <f>'1.2.sz.mell. '!C154+'1.3.sz.mell.'!C154+'1.4.sz.mell. '!C154</f>
        <v>3461990509</v>
      </c>
      <c r="I154" s="846">
        <f t="shared" si="3"/>
        <v>0</v>
      </c>
    </row>
    <row r="155" spans="1:9" ht="7.5" customHeight="1" x14ac:dyDescent="0.25"/>
    <row r="156" spans="1:9" x14ac:dyDescent="0.25">
      <c r="A156" s="956" t="s">
        <v>356</v>
      </c>
      <c r="B156" s="956"/>
      <c r="C156" s="956"/>
    </row>
    <row r="157" spans="1:9" ht="15" customHeight="1" thickBot="1" x14ac:dyDescent="0.3">
      <c r="A157" s="953" t="s">
        <v>169</v>
      </c>
      <c r="B157" s="953"/>
      <c r="C157" s="167" t="s">
        <v>676</v>
      </c>
    </row>
    <row r="158" spans="1:9" ht="13.5" customHeight="1" thickBot="1" x14ac:dyDescent="0.3">
      <c r="A158" s="19">
        <v>1</v>
      </c>
      <c r="B158" s="24" t="s">
        <v>576</v>
      </c>
      <c r="C158" s="158">
        <f>+C62-C128</f>
        <v>-342173483</v>
      </c>
    </row>
    <row r="159" spans="1:9" ht="27.75" customHeight="1" thickBot="1" x14ac:dyDescent="0.3">
      <c r="A159" s="19" t="s">
        <v>46</v>
      </c>
      <c r="B159" s="24" t="s">
        <v>577</v>
      </c>
      <c r="C159" s="158">
        <f>+C86-C153</f>
        <v>342173483</v>
      </c>
      <c r="H159" s="838">
        <f>C154-H154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2017. ÉVI KÖLTSÉGVETÉSÉNEK ÖSSZEVONT MÉRLEGE&amp;10
&amp;R&amp;"Times New Roman CE,Félkövér dőlt"&amp;11 1. melléklet a 30/2017.(XI.30.)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D3" sqref="D3"/>
    </sheetView>
  </sheetViews>
  <sheetFormatPr defaultRowHeight="12.75" x14ac:dyDescent="0.2"/>
  <cols>
    <col min="1" max="1" width="19.5" style="432" customWidth="1"/>
    <col min="2" max="2" width="72" style="433" customWidth="1"/>
    <col min="3" max="3" width="25" style="434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118"/>
      <c r="B1" s="120"/>
      <c r="C1" s="143"/>
    </row>
    <row r="2" spans="1:3" s="62" customFormat="1" ht="21" customHeight="1" x14ac:dyDescent="0.2">
      <c r="A2" s="236" t="s">
        <v>90</v>
      </c>
      <c r="B2" s="209" t="s">
        <v>204</v>
      </c>
      <c r="C2" s="211" t="s">
        <v>81</v>
      </c>
    </row>
    <row r="3" spans="1:3" s="62" customFormat="1" ht="16.5" thickBot="1" x14ac:dyDescent="0.25">
      <c r="A3" s="121" t="s">
        <v>200</v>
      </c>
      <c r="B3" s="210" t="s">
        <v>411</v>
      </c>
      <c r="C3" s="317" t="s">
        <v>88</v>
      </c>
    </row>
    <row r="4" spans="1:3" s="63" customFormat="1" ht="15.95" customHeight="1" thickBot="1" x14ac:dyDescent="0.3">
      <c r="A4" s="122"/>
      <c r="B4" s="122"/>
      <c r="C4" s="123" t="s">
        <v>677</v>
      </c>
    </row>
    <row r="5" spans="1:3" ht="13.5" thickBot="1" x14ac:dyDescent="0.25">
      <c r="A5" s="237" t="s">
        <v>202</v>
      </c>
      <c r="B5" s="124" t="s">
        <v>82</v>
      </c>
      <c r="C5" s="212" t="s">
        <v>83</v>
      </c>
    </row>
    <row r="6" spans="1:3" s="48" customFormat="1" ht="12.95" customHeight="1" thickBot="1" x14ac:dyDescent="0.25">
      <c r="A6" s="96" t="s">
        <v>524</v>
      </c>
      <c r="B6" s="97" t="s">
        <v>525</v>
      </c>
      <c r="C6" s="98" t="s">
        <v>526</v>
      </c>
    </row>
    <row r="7" spans="1:3" s="48" customFormat="1" ht="15.95" customHeight="1" thickBot="1" x14ac:dyDescent="0.25">
      <c r="A7" s="126"/>
      <c r="B7" s="127" t="s">
        <v>84</v>
      </c>
      <c r="C7" s="213"/>
    </row>
    <row r="8" spans="1:3" s="48" customFormat="1" ht="12" customHeight="1" thickBot="1" x14ac:dyDescent="0.25">
      <c r="A8" s="31" t="s">
        <v>45</v>
      </c>
      <c r="B8" s="20" t="s">
        <v>228</v>
      </c>
      <c r="C8" s="158">
        <f>+C9+C10+C11+C12+C13+C14</f>
        <v>1074943262</v>
      </c>
    </row>
    <row r="9" spans="1:3" s="64" customFormat="1" ht="12" customHeight="1" x14ac:dyDescent="0.2">
      <c r="A9" s="260" t="s">
        <v>121</v>
      </c>
      <c r="B9" s="246" t="s">
        <v>229</v>
      </c>
      <c r="C9" s="284">
        <f>227512539+905743</f>
        <v>228418282</v>
      </c>
    </row>
    <row r="10" spans="1:3" s="65" customFormat="1" ht="12" customHeight="1" x14ac:dyDescent="0.2">
      <c r="A10" s="261" t="s">
        <v>122</v>
      </c>
      <c r="B10" s="247" t="s">
        <v>230</v>
      </c>
      <c r="C10" s="162">
        <f>218107294+10461768-4721982-4278000</f>
        <v>219569080</v>
      </c>
    </row>
    <row r="11" spans="1:3" s="65" customFormat="1" ht="12" customHeight="1" x14ac:dyDescent="0.2">
      <c r="A11" s="261" t="s">
        <v>123</v>
      </c>
      <c r="B11" s="247" t="s">
        <v>231</v>
      </c>
      <c r="C11" s="889">
        <f>121200000+67844165+177597260+4526280+11511000+24250000-35761000-1673270+31350000</f>
        <v>400844435</v>
      </c>
    </row>
    <row r="12" spans="1:3" s="65" customFormat="1" ht="12" customHeight="1" x14ac:dyDescent="0.2">
      <c r="A12" s="261" t="s">
        <v>124</v>
      </c>
      <c r="B12" s="247" t="s">
        <v>232</v>
      </c>
      <c r="C12" s="162">
        <f>4412740+15262320+10629000-4412740+4412740+1038248</f>
        <v>31342308</v>
      </c>
    </row>
    <row r="13" spans="1:3" s="65" customFormat="1" ht="12" customHeight="1" x14ac:dyDescent="0.2">
      <c r="A13" s="261" t="s">
        <v>164</v>
      </c>
      <c r="B13" s="247" t="s">
        <v>588</v>
      </c>
      <c r="C13" s="889">
        <f>1060845+3551000+168707597+58000+128000+13957152+413944+49094027+4501192-4412740-15000000+306000-21350000-6245860</f>
        <v>194769157</v>
      </c>
    </row>
    <row r="14" spans="1:3" s="64" customFormat="1" ht="12" customHeight="1" thickBot="1" x14ac:dyDescent="0.25">
      <c r="A14" s="262" t="s">
        <v>125</v>
      </c>
      <c r="B14" s="248" t="s">
        <v>528</v>
      </c>
      <c r="C14" s="162"/>
    </row>
    <row r="15" spans="1:3" s="64" customFormat="1" ht="12" customHeight="1" thickBot="1" x14ac:dyDescent="0.25">
      <c r="A15" s="31" t="s">
        <v>46</v>
      </c>
      <c r="B15" s="153" t="s">
        <v>233</v>
      </c>
      <c r="C15" s="158">
        <f>+C16+C17+C18+C19+C20</f>
        <v>176167657</v>
      </c>
    </row>
    <row r="16" spans="1:3" s="64" customFormat="1" ht="12" customHeight="1" x14ac:dyDescent="0.2">
      <c r="A16" s="260" t="s">
        <v>127</v>
      </c>
      <c r="B16" s="246" t="s">
        <v>234</v>
      </c>
      <c r="C16" s="160"/>
    </row>
    <row r="17" spans="1:3" s="64" customFormat="1" ht="12" customHeight="1" x14ac:dyDescent="0.2">
      <c r="A17" s="261" t="s">
        <v>128</v>
      </c>
      <c r="B17" s="247" t="s">
        <v>235</v>
      </c>
      <c r="C17" s="159"/>
    </row>
    <row r="18" spans="1:3" s="64" customFormat="1" ht="12" customHeight="1" x14ac:dyDescent="0.2">
      <c r="A18" s="261" t="s">
        <v>129</v>
      </c>
      <c r="B18" s="247" t="s">
        <v>404</v>
      </c>
      <c r="C18" s="162"/>
    </row>
    <row r="19" spans="1:3" s="64" customFormat="1" ht="12" customHeight="1" x14ac:dyDescent="0.2">
      <c r="A19" s="261" t="s">
        <v>130</v>
      </c>
      <c r="B19" s="247" t="s">
        <v>405</v>
      </c>
      <c r="C19" s="162"/>
    </row>
    <row r="20" spans="1:3" s="64" customFormat="1" ht="12" customHeight="1" x14ac:dyDescent="0.2">
      <c r="A20" s="261" t="s">
        <v>131</v>
      </c>
      <c r="B20" s="247" t="s">
        <v>236</v>
      </c>
      <c r="C20" s="162">
        <f>210000+65342000+25310845+9303887+291175856+362000+94906504+6840000+1770000+4682000-323735435</f>
        <v>176167657</v>
      </c>
    </row>
    <row r="21" spans="1:3" s="65" customFormat="1" ht="12" customHeight="1" thickBot="1" x14ac:dyDescent="0.25">
      <c r="A21" s="262" t="s">
        <v>140</v>
      </c>
      <c r="B21" s="248" t="s">
        <v>237</v>
      </c>
      <c r="C21" s="235"/>
    </row>
    <row r="22" spans="1:3" s="65" customFormat="1" ht="12" customHeight="1" thickBot="1" x14ac:dyDescent="0.25">
      <c r="A22" s="31" t="s">
        <v>47</v>
      </c>
      <c r="B22" s="20" t="s">
        <v>238</v>
      </c>
      <c r="C22" s="158">
        <f>+C23+C24+C25+C26+C27</f>
        <v>327321211</v>
      </c>
    </row>
    <row r="23" spans="1:3" s="65" customFormat="1" ht="12" customHeight="1" x14ac:dyDescent="0.2">
      <c r="A23" s="260" t="s">
        <v>110</v>
      </c>
      <c r="B23" s="246" t="s">
        <v>239</v>
      </c>
      <c r="C23" s="284">
        <v>15690532</v>
      </c>
    </row>
    <row r="24" spans="1:3" s="64" customFormat="1" ht="12" customHeight="1" x14ac:dyDescent="0.2">
      <c r="A24" s="261" t="s">
        <v>111</v>
      </c>
      <c r="B24" s="247" t="s">
        <v>240</v>
      </c>
      <c r="C24" s="162"/>
    </row>
    <row r="25" spans="1:3" s="65" customFormat="1" ht="12" customHeight="1" x14ac:dyDescent="0.2">
      <c r="A25" s="261" t="s">
        <v>112</v>
      </c>
      <c r="B25" s="247" t="s">
        <v>406</v>
      </c>
      <c r="C25" s="162"/>
    </row>
    <row r="26" spans="1:3" s="65" customFormat="1" ht="12" customHeight="1" x14ac:dyDescent="0.2">
      <c r="A26" s="261" t="s">
        <v>113</v>
      </c>
      <c r="B26" s="247" t="s">
        <v>407</v>
      </c>
      <c r="C26" s="162"/>
    </row>
    <row r="27" spans="1:3" s="65" customFormat="1" ht="12" customHeight="1" x14ac:dyDescent="0.2">
      <c r="A27" s="261" t="s">
        <v>175</v>
      </c>
      <c r="B27" s="247" t="s">
        <v>241</v>
      </c>
      <c r="C27" s="162">
        <f>3797300+15179276+2160000+75588869+15956160+214128350-15179276</f>
        <v>311630679</v>
      </c>
    </row>
    <row r="28" spans="1:3" s="65" customFormat="1" ht="12" customHeight="1" thickBot="1" x14ac:dyDescent="0.25">
      <c r="A28" s="262" t="s">
        <v>176</v>
      </c>
      <c r="B28" s="248" t="s">
        <v>242</v>
      </c>
      <c r="C28" s="235">
        <f>3797300+75588869+15956160+214128350</f>
        <v>309470679</v>
      </c>
    </row>
    <row r="29" spans="1:3" s="65" customFormat="1" ht="12" customHeight="1" thickBot="1" x14ac:dyDescent="0.25">
      <c r="A29" s="31" t="s">
        <v>177</v>
      </c>
      <c r="B29" s="20" t="s">
        <v>243</v>
      </c>
      <c r="C29" s="163">
        <f>+C30+C34+C35+C36</f>
        <v>356490000</v>
      </c>
    </row>
    <row r="30" spans="1:3" s="65" customFormat="1" ht="12" customHeight="1" x14ac:dyDescent="0.2">
      <c r="A30" s="260" t="s">
        <v>244</v>
      </c>
      <c r="B30" s="246" t="s">
        <v>589</v>
      </c>
      <c r="C30" s="241">
        <f>SUM(C31:C33)</f>
        <v>317830000</v>
      </c>
    </row>
    <row r="31" spans="1:3" s="65" customFormat="1" ht="12" customHeight="1" x14ac:dyDescent="0.2">
      <c r="A31" s="261" t="s">
        <v>245</v>
      </c>
      <c r="B31" s="247" t="s">
        <v>250</v>
      </c>
      <c r="C31" s="162">
        <f>8990000+70000000</f>
        <v>78990000</v>
      </c>
    </row>
    <row r="32" spans="1:3" s="65" customFormat="1" ht="12" customHeight="1" x14ac:dyDescent="0.2">
      <c r="A32" s="261" t="s">
        <v>246</v>
      </c>
      <c r="B32" s="247" t="s">
        <v>631</v>
      </c>
      <c r="C32" s="162">
        <f>203840000+35000000</f>
        <v>238840000</v>
      </c>
    </row>
    <row r="33" spans="1:3" s="65" customFormat="1" ht="12" customHeight="1" x14ac:dyDescent="0.2">
      <c r="A33" s="261" t="s">
        <v>530</v>
      </c>
      <c r="B33" s="247" t="s">
        <v>628</v>
      </c>
      <c r="C33" s="162"/>
    </row>
    <row r="34" spans="1:3" s="65" customFormat="1" ht="12" customHeight="1" x14ac:dyDescent="0.2">
      <c r="A34" s="261" t="s">
        <v>247</v>
      </c>
      <c r="B34" s="247" t="s">
        <v>252</v>
      </c>
      <c r="C34" s="162">
        <f>27000000</f>
        <v>27000000</v>
      </c>
    </row>
    <row r="35" spans="1:3" s="65" customFormat="1" ht="12" customHeight="1" x14ac:dyDescent="0.2">
      <c r="A35" s="261" t="s">
        <v>248</v>
      </c>
      <c r="B35" s="247" t="s">
        <v>253</v>
      </c>
      <c r="C35" s="162">
        <f>4060000-4000000</f>
        <v>60000</v>
      </c>
    </row>
    <row r="36" spans="1:3" s="65" customFormat="1" ht="12" customHeight="1" thickBot="1" x14ac:dyDescent="0.25">
      <c r="A36" s="262" t="s">
        <v>249</v>
      </c>
      <c r="B36" s="248" t="s">
        <v>254</v>
      </c>
      <c r="C36" s="235">
        <f>5500000+4000000+2100000</f>
        <v>11600000</v>
      </c>
    </row>
    <row r="37" spans="1:3" s="65" customFormat="1" ht="12" customHeight="1" thickBot="1" x14ac:dyDescent="0.25">
      <c r="A37" s="31" t="s">
        <v>49</v>
      </c>
      <c r="B37" s="20" t="s">
        <v>532</v>
      </c>
      <c r="C37" s="158">
        <f>SUM(C38:C48)</f>
        <v>51085863</v>
      </c>
    </row>
    <row r="38" spans="1:3" s="65" customFormat="1" ht="12" customHeight="1" x14ac:dyDescent="0.2">
      <c r="A38" s="260" t="s">
        <v>114</v>
      </c>
      <c r="B38" s="246" t="s">
        <v>257</v>
      </c>
      <c r="C38" s="284">
        <f>4000000+5000000-2941522</f>
        <v>6058478</v>
      </c>
    </row>
    <row r="39" spans="1:3" s="65" customFormat="1" ht="12" customHeight="1" x14ac:dyDescent="0.2">
      <c r="A39" s="261" t="s">
        <v>115</v>
      </c>
      <c r="B39" s="247" t="s">
        <v>258</v>
      </c>
      <c r="C39" s="162">
        <f>100000+12004000+555000+7128864</f>
        <v>19787864</v>
      </c>
    </row>
    <row r="40" spans="1:3" s="65" customFormat="1" ht="12" customHeight="1" x14ac:dyDescent="0.2">
      <c r="A40" s="261" t="s">
        <v>116</v>
      </c>
      <c r="B40" s="247" t="s">
        <v>259</v>
      </c>
      <c r="C40" s="889">
        <f>8458000+947000+918292-195228+206000+158027-4705000+240000+300000</f>
        <v>6327091</v>
      </c>
    </row>
    <row r="41" spans="1:3" s="65" customFormat="1" ht="12" customHeight="1" x14ac:dyDescent="0.2">
      <c r="A41" s="261" t="s">
        <v>179</v>
      </c>
      <c r="B41" s="247" t="s">
        <v>260</v>
      </c>
      <c r="C41" s="162">
        <f>430000</f>
        <v>430000</v>
      </c>
    </row>
    <row r="42" spans="1:3" s="65" customFormat="1" ht="12" customHeight="1" x14ac:dyDescent="0.2">
      <c r="A42" s="261" t="s">
        <v>180</v>
      </c>
      <c r="B42" s="247" t="s">
        <v>261</v>
      </c>
      <c r="C42" s="162"/>
    </row>
    <row r="43" spans="1:3" s="65" customFormat="1" ht="12" customHeight="1" x14ac:dyDescent="0.2">
      <c r="A43" s="261" t="s">
        <v>181</v>
      </c>
      <c r="B43" s="247" t="s">
        <v>262</v>
      </c>
      <c r="C43" s="889">
        <f>3242000+5853000+378000+600000+1350000+270000+682000+195228+206000+40410+27000-516228+1924793+81000</f>
        <v>14333203</v>
      </c>
    </row>
    <row r="44" spans="1:3" s="65" customFormat="1" ht="12" customHeight="1" x14ac:dyDescent="0.2">
      <c r="A44" s="261" t="s">
        <v>182</v>
      </c>
      <c r="B44" s="247" t="s">
        <v>263</v>
      </c>
      <c r="C44" s="162">
        <v>1924793</v>
      </c>
    </row>
    <row r="45" spans="1:3" s="65" customFormat="1" ht="12" customHeight="1" x14ac:dyDescent="0.2">
      <c r="A45" s="261" t="s">
        <v>183</v>
      </c>
      <c r="B45" s="247" t="s">
        <v>264</v>
      </c>
      <c r="C45" s="162"/>
    </row>
    <row r="46" spans="1:3" s="65" customFormat="1" ht="12" customHeight="1" x14ac:dyDescent="0.2">
      <c r="A46" s="261" t="s">
        <v>255</v>
      </c>
      <c r="B46" s="247" t="s">
        <v>265</v>
      </c>
      <c r="C46" s="162"/>
    </row>
    <row r="47" spans="1:3" s="65" customFormat="1" ht="12" customHeight="1" x14ac:dyDescent="0.2">
      <c r="A47" s="262" t="s">
        <v>256</v>
      </c>
      <c r="B47" s="248" t="s">
        <v>533</v>
      </c>
      <c r="C47" s="235">
        <f>500000</f>
        <v>500000</v>
      </c>
    </row>
    <row r="48" spans="1:3" s="65" customFormat="1" ht="12" customHeight="1" thickBot="1" x14ac:dyDescent="0.25">
      <c r="A48" s="262" t="s">
        <v>534</v>
      </c>
      <c r="B48" s="248" t="s">
        <v>266</v>
      </c>
      <c r="C48" s="847">
        <f>704000+1020434</f>
        <v>1724434</v>
      </c>
    </row>
    <row r="49" spans="1:3" s="65" customFormat="1" ht="12" customHeight="1" thickBot="1" x14ac:dyDescent="0.25">
      <c r="A49" s="31" t="s">
        <v>50</v>
      </c>
      <c r="B49" s="20" t="s">
        <v>267</v>
      </c>
      <c r="C49" s="158">
        <f>SUM(C50:C54)</f>
        <v>47179000</v>
      </c>
    </row>
    <row r="50" spans="1:3" s="65" customFormat="1" ht="12" customHeight="1" x14ac:dyDescent="0.2">
      <c r="A50" s="260" t="s">
        <v>117</v>
      </c>
      <c r="B50" s="246" t="s">
        <v>271</v>
      </c>
      <c r="C50" s="284"/>
    </row>
    <row r="51" spans="1:3" s="65" customFormat="1" ht="12" customHeight="1" x14ac:dyDescent="0.2">
      <c r="A51" s="261" t="s">
        <v>118</v>
      </c>
      <c r="B51" s="247" t="s">
        <v>272</v>
      </c>
      <c r="C51" s="162">
        <f>25179000+22000000</f>
        <v>47179000</v>
      </c>
    </row>
    <row r="52" spans="1:3" s="65" customFormat="1" ht="12" customHeight="1" x14ac:dyDescent="0.2">
      <c r="A52" s="261" t="s">
        <v>268</v>
      </c>
      <c r="B52" s="247" t="s">
        <v>273</v>
      </c>
      <c r="C52" s="162"/>
    </row>
    <row r="53" spans="1:3" s="65" customFormat="1" ht="12" customHeight="1" x14ac:dyDescent="0.2">
      <c r="A53" s="261" t="s">
        <v>269</v>
      </c>
      <c r="B53" s="247" t="s">
        <v>274</v>
      </c>
      <c r="C53" s="162"/>
    </row>
    <row r="54" spans="1:3" s="65" customFormat="1" ht="12" customHeight="1" thickBot="1" x14ac:dyDescent="0.25">
      <c r="A54" s="262" t="s">
        <v>270</v>
      </c>
      <c r="B54" s="248" t="s">
        <v>275</v>
      </c>
      <c r="C54" s="235"/>
    </row>
    <row r="55" spans="1:3" s="65" customFormat="1" ht="12" customHeight="1" thickBot="1" x14ac:dyDescent="0.25">
      <c r="A55" s="31" t="s">
        <v>184</v>
      </c>
      <c r="B55" s="20" t="s">
        <v>276</v>
      </c>
      <c r="C55" s="158">
        <f>SUM(C56:C58)</f>
        <v>22458000</v>
      </c>
    </row>
    <row r="56" spans="1:3" s="65" customFormat="1" ht="12" customHeight="1" x14ac:dyDescent="0.2">
      <c r="A56" s="260" t="s">
        <v>119</v>
      </c>
      <c r="B56" s="246" t="s">
        <v>277</v>
      </c>
      <c r="C56" s="160"/>
    </row>
    <row r="57" spans="1:3" s="65" customFormat="1" ht="12" customHeight="1" x14ac:dyDescent="0.2">
      <c r="A57" s="261" t="s">
        <v>120</v>
      </c>
      <c r="B57" s="247" t="s">
        <v>408</v>
      </c>
      <c r="C57" s="889">
        <f>383000+18000000</f>
        <v>18383000</v>
      </c>
    </row>
    <row r="58" spans="1:3" s="65" customFormat="1" ht="12" customHeight="1" x14ac:dyDescent="0.2">
      <c r="A58" s="261" t="s">
        <v>280</v>
      </c>
      <c r="B58" s="247" t="s">
        <v>278</v>
      </c>
      <c r="C58" s="162">
        <v>4075000</v>
      </c>
    </row>
    <row r="59" spans="1:3" s="65" customFormat="1" ht="12" customHeight="1" thickBot="1" x14ac:dyDescent="0.25">
      <c r="A59" s="262" t="s">
        <v>281</v>
      </c>
      <c r="B59" s="248" t="s">
        <v>279</v>
      </c>
      <c r="C59" s="161"/>
    </row>
    <row r="60" spans="1:3" s="65" customFormat="1" ht="12" customHeight="1" thickBot="1" x14ac:dyDescent="0.25">
      <c r="A60" s="31" t="s">
        <v>52</v>
      </c>
      <c r="B60" s="153" t="s">
        <v>282</v>
      </c>
      <c r="C60" s="158">
        <f>SUM(C61:C63)</f>
        <v>0</v>
      </c>
    </row>
    <row r="61" spans="1:3" s="65" customFormat="1" ht="12" customHeight="1" x14ac:dyDescent="0.2">
      <c r="A61" s="260" t="s">
        <v>185</v>
      </c>
      <c r="B61" s="246" t="s">
        <v>284</v>
      </c>
      <c r="C61" s="162"/>
    </row>
    <row r="62" spans="1:3" s="65" customFormat="1" ht="12" customHeight="1" x14ac:dyDescent="0.2">
      <c r="A62" s="261" t="s">
        <v>186</v>
      </c>
      <c r="B62" s="247" t="s">
        <v>409</v>
      </c>
      <c r="C62" s="162"/>
    </row>
    <row r="63" spans="1:3" s="65" customFormat="1" ht="12" customHeight="1" x14ac:dyDescent="0.2">
      <c r="A63" s="261" t="s">
        <v>208</v>
      </c>
      <c r="B63" s="247" t="s">
        <v>285</v>
      </c>
      <c r="C63" s="162"/>
    </row>
    <row r="64" spans="1:3" s="65" customFormat="1" ht="12" customHeight="1" thickBot="1" x14ac:dyDescent="0.25">
      <c r="A64" s="262" t="s">
        <v>283</v>
      </c>
      <c r="B64" s="248" t="s">
        <v>286</v>
      </c>
      <c r="C64" s="162"/>
    </row>
    <row r="65" spans="1:3" s="65" customFormat="1" ht="12" customHeight="1" thickBot="1" x14ac:dyDescent="0.25">
      <c r="A65" s="31" t="s">
        <v>53</v>
      </c>
      <c r="B65" s="20" t="s">
        <v>287</v>
      </c>
      <c r="C65" s="163">
        <f>+C8+C15+C22+C29+C37+C49+C55+C60</f>
        <v>2055644993</v>
      </c>
    </row>
    <row r="66" spans="1:3" s="65" customFormat="1" ht="12" customHeight="1" thickBot="1" x14ac:dyDescent="0.2">
      <c r="A66" s="263" t="s">
        <v>377</v>
      </c>
      <c r="B66" s="153" t="s">
        <v>289</v>
      </c>
      <c r="C66" s="158">
        <f>SUM(C67:C69)</f>
        <v>5500000</v>
      </c>
    </row>
    <row r="67" spans="1:3" s="65" customFormat="1" ht="12" customHeight="1" x14ac:dyDescent="0.2">
      <c r="A67" s="260" t="s">
        <v>320</v>
      </c>
      <c r="B67" s="246" t="s">
        <v>290</v>
      </c>
      <c r="C67" s="162">
        <v>5500000</v>
      </c>
    </row>
    <row r="68" spans="1:3" s="65" customFormat="1" ht="12" customHeight="1" x14ac:dyDescent="0.2">
      <c r="A68" s="261" t="s">
        <v>329</v>
      </c>
      <c r="B68" s="247" t="s">
        <v>291</v>
      </c>
      <c r="C68" s="162"/>
    </row>
    <row r="69" spans="1:3" s="65" customFormat="1" ht="12" customHeight="1" thickBot="1" x14ac:dyDescent="0.25">
      <c r="A69" s="262" t="s">
        <v>330</v>
      </c>
      <c r="B69" s="249" t="s">
        <v>292</v>
      </c>
      <c r="C69" s="162"/>
    </row>
    <row r="70" spans="1:3" s="65" customFormat="1" ht="12" customHeight="1" thickBot="1" x14ac:dyDescent="0.2">
      <c r="A70" s="263" t="s">
        <v>293</v>
      </c>
      <c r="B70" s="153" t="s">
        <v>294</v>
      </c>
      <c r="C70" s="158">
        <f>SUM(C71:C74)</f>
        <v>0</v>
      </c>
    </row>
    <row r="71" spans="1:3" s="65" customFormat="1" ht="12" customHeight="1" x14ac:dyDescent="0.2">
      <c r="A71" s="260" t="s">
        <v>165</v>
      </c>
      <c r="B71" s="246" t="s">
        <v>295</v>
      </c>
      <c r="C71" s="162"/>
    </row>
    <row r="72" spans="1:3" s="65" customFormat="1" ht="12" customHeight="1" x14ac:dyDescent="0.2">
      <c r="A72" s="261" t="s">
        <v>166</v>
      </c>
      <c r="B72" s="247" t="s">
        <v>296</v>
      </c>
      <c r="C72" s="162"/>
    </row>
    <row r="73" spans="1:3" s="65" customFormat="1" ht="12" customHeight="1" x14ac:dyDescent="0.2">
      <c r="A73" s="261" t="s">
        <v>321</v>
      </c>
      <c r="B73" s="247" t="s">
        <v>297</v>
      </c>
      <c r="C73" s="162"/>
    </row>
    <row r="74" spans="1:3" s="65" customFormat="1" ht="12" customHeight="1" thickBot="1" x14ac:dyDescent="0.25">
      <c r="A74" s="262" t="s">
        <v>322</v>
      </c>
      <c r="B74" s="248" t="s">
        <v>298</v>
      </c>
      <c r="C74" s="162"/>
    </row>
    <row r="75" spans="1:3" s="65" customFormat="1" ht="12" customHeight="1" thickBot="1" x14ac:dyDescent="0.2">
      <c r="A75" s="263" t="s">
        <v>299</v>
      </c>
      <c r="B75" s="153" t="s">
        <v>300</v>
      </c>
      <c r="C75" s="158">
        <f>SUM(C76:C77)</f>
        <v>289331423</v>
      </c>
    </row>
    <row r="76" spans="1:3" s="65" customFormat="1" ht="12" customHeight="1" x14ac:dyDescent="0.2">
      <c r="A76" s="260" t="s">
        <v>323</v>
      </c>
      <c r="B76" s="246" t="s">
        <v>301</v>
      </c>
      <c r="C76" s="162">
        <v>289331423</v>
      </c>
    </row>
    <row r="77" spans="1:3" s="65" customFormat="1" ht="12" customHeight="1" thickBot="1" x14ac:dyDescent="0.25">
      <c r="A77" s="262" t="s">
        <v>324</v>
      </c>
      <c r="B77" s="248" t="s">
        <v>302</v>
      </c>
      <c r="C77" s="162"/>
    </row>
    <row r="78" spans="1:3" s="64" customFormat="1" ht="12" customHeight="1" thickBot="1" x14ac:dyDescent="0.2">
      <c r="A78" s="263" t="s">
        <v>303</v>
      </c>
      <c r="B78" s="153" t="s">
        <v>304</v>
      </c>
      <c r="C78" s="158">
        <f>SUM(C79:C81)</f>
        <v>0</v>
      </c>
    </row>
    <row r="79" spans="1:3" s="65" customFormat="1" ht="12" customHeight="1" x14ac:dyDescent="0.2">
      <c r="A79" s="260" t="s">
        <v>325</v>
      </c>
      <c r="B79" s="246" t="s">
        <v>305</v>
      </c>
      <c r="C79" s="162"/>
    </row>
    <row r="80" spans="1:3" s="65" customFormat="1" ht="12" customHeight="1" x14ac:dyDescent="0.2">
      <c r="A80" s="261" t="s">
        <v>326</v>
      </c>
      <c r="B80" s="247" t="s">
        <v>306</v>
      </c>
      <c r="C80" s="162"/>
    </row>
    <row r="81" spans="1:6" s="65" customFormat="1" ht="12" customHeight="1" thickBot="1" x14ac:dyDescent="0.25">
      <c r="A81" s="262" t="s">
        <v>327</v>
      </c>
      <c r="B81" s="248" t="s">
        <v>307</v>
      </c>
      <c r="C81" s="162"/>
    </row>
    <row r="82" spans="1:6" s="65" customFormat="1" ht="12" customHeight="1" thickBot="1" x14ac:dyDescent="0.2">
      <c r="A82" s="263" t="s">
        <v>308</v>
      </c>
      <c r="B82" s="153" t="s">
        <v>328</v>
      </c>
      <c r="C82" s="158">
        <f>SUM(C83:C86)</f>
        <v>0</v>
      </c>
    </row>
    <row r="83" spans="1:6" s="65" customFormat="1" ht="12" customHeight="1" x14ac:dyDescent="0.2">
      <c r="A83" s="264" t="s">
        <v>309</v>
      </c>
      <c r="B83" s="246" t="s">
        <v>310</v>
      </c>
      <c r="C83" s="162"/>
    </row>
    <row r="84" spans="1:6" s="65" customFormat="1" ht="12" customHeight="1" x14ac:dyDescent="0.2">
      <c r="A84" s="265" t="s">
        <v>311</v>
      </c>
      <c r="B84" s="247" t="s">
        <v>312</v>
      </c>
      <c r="C84" s="162"/>
    </row>
    <row r="85" spans="1:6" s="65" customFormat="1" ht="12" customHeight="1" x14ac:dyDescent="0.2">
      <c r="A85" s="265" t="s">
        <v>313</v>
      </c>
      <c r="B85" s="247" t="s">
        <v>314</v>
      </c>
      <c r="C85" s="162"/>
    </row>
    <row r="86" spans="1:6" s="64" customFormat="1" ht="12" customHeight="1" thickBot="1" x14ac:dyDescent="0.25">
      <c r="A86" s="266" t="s">
        <v>315</v>
      </c>
      <c r="B86" s="248" t="s">
        <v>316</v>
      </c>
      <c r="C86" s="162"/>
    </row>
    <row r="87" spans="1:6" s="64" customFormat="1" ht="12" customHeight="1" thickBot="1" x14ac:dyDescent="0.2">
      <c r="A87" s="263" t="s">
        <v>317</v>
      </c>
      <c r="B87" s="153" t="s">
        <v>537</v>
      </c>
      <c r="C87" s="285"/>
    </row>
    <row r="88" spans="1:6" s="64" customFormat="1" ht="12" customHeight="1" thickBot="1" x14ac:dyDescent="0.2">
      <c r="A88" s="263" t="s">
        <v>590</v>
      </c>
      <c r="B88" s="153" t="s">
        <v>318</v>
      </c>
      <c r="C88" s="285"/>
    </row>
    <row r="89" spans="1:6" s="64" customFormat="1" ht="12" customHeight="1" thickBot="1" x14ac:dyDescent="0.2">
      <c r="A89" s="263" t="s">
        <v>591</v>
      </c>
      <c r="B89" s="253" t="s">
        <v>538</v>
      </c>
      <c r="C89" s="163">
        <f>+C66+C70+C75+C78+C82+C88+C87</f>
        <v>294831423</v>
      </c>
    </row>
    <row r="90" spans="1:6" s="64" customFormat="1" ht="12" customHeight="1" thickBot="1" x14ac:dyDescent="0.2">
      <c r="A90" s="267" t="s">
        <v>592</v>
      </c>
      <c r="B90" s="254" t="s">
        <v>593</v>
      </c>
      <c r="C90" s="163">
        <f>+C65+C89</f>
        <v>2350476416</v>
      </c>
      <c r="F90" s="49"/>
    </row>
    <row r="91" spans="1:6" s="65" customFormat="1" ht="15" customHeight="1" thickBot="1" x14ac:dyDescent="0.25">
      <c r="A91" s="132"/>
      <c r="B91" s="133"/>
      <c r="C91" s="218"/>
    </row>
    <row r="92" spans="1:6" s="48" customFormat="1" ht="16.5" customHeight="1" thickBot="1" x14ac:dyDescent="0.25">
      <c r="A92" s="136"/>
      <c r="B92" s="137" t="s">
        <v>85</v>
      </c>
      <c r="C92" s="220"/>
    </row>
    <row r="93" spans="1:6" s="66" customFormat="1" ht="12" customHeight="1" thickBot="1" x14ac:dyDescent="0.25">
      <c r="A93" s="238" t="s">
        <v>45</v>
      </c>
      <c r="B93" s="25" t="s">
        <v>604</v>
      </c>
      <c r="C93" s="157">
        <f>+C94+C95+C96+C97+C98+C111</f>
        <v>789173208</v>
      </c>
    </row>
    <row r="94" spans="1:6" ht="12" customHeight="1" x14ac:dyDescent="0.2">
      <c r="A94" s="268" t="s">
        <v>121</v>
      </c>
      <c r="B94" s="9" t="s">
        <v>76</v>
      </c>
      <c r="C94" s="333">
        <f>25364000+1932000+165142000+48000+105000+8381882+232903371+281000+326126+85501355+54000-231000-132000-1343902+2037000-279139483-198000-388424+1577323</f>
        <v>242220248</v>
      </c>
    </row>
    <row r="95" spans="1:6" ht="12" customHeight="1" x14ac:dyDescent="0.2">
      <c r="A95" s="261" t="s">
        <v>122</v>
      </c>
      <c r="B95" s="7" t="s">
        <v>187</v>
      </c>
      <c r="C95" s="162">
        <f>5239000+425000+14000+19299000+10000+23000+922005+25618911+31000+35874+9405149+12000-45738-26136-235888+448140-31590193-39204+388424+312310</f>
        <v>30246654</v>
      </c>
    </row>
    <row r="96" spans="1:6" ht="12" customHeight="1" x14ac:dyDescent="0.2">
      <c r="A96" s="261" t="s">
        <v>123</v>
      </c>
      <c r="B96" s="7" t="s">
        <v>157</v>
      </c>
      <c r="C96" s="847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+570939+706000+361225+6840000+918292+137360+433000+46000+8760131-2866987+1246500+68374+300000+214000-4705000+254000+381000+2749550+394000+326000+454000+2267725-558800+1524000+1905000-2694940-31916082+1924793+5080000+1565437+1430020+127000+521001+151130+7533000</f>
        <v>292517739</v>
      </c>
    </row>
    <row r="97" spans="1:3" ht="12" customHeight="1" x14ac:dyDescent="0.2">
      <c r="A97" s="261" t="s">
        <v>124</v>
      </c>
      <c r="B97" s="10" t="s">
        <v>188</v>
      </c>
      <c r="C97" s="847">
        <f>70980000+5000-6906260-5080000-4000000</f>
        <v>54998740</v>
      </c>
    </row>
    <row r="98" spans="1:3" ht="12" customHeight="1" x14ac:dyDescent="0.2">
      <c r="A98" s="261" t="s">
        <v>135</v>
      </c>
      <c r="B98" s="18" t="s">
        <v>189</v>
      </c>
      <c r="C98" s="235">
        <f>SUM(C99:C110)</f>
        <v>71420007</v>
      </c>
    </row>
    <row r="99" spans="1:3" ht="12" customHeight="1" x14ac:dyDescent="0.2">
      <c r="A99" s="261" t="s">
        <v>125</v>
      </c>
      <c r="B99" s="7" t="s">
        <v>594</v>
      </c>
      <c r="C99" s="235">
        <f>1500+6098534+1143510+114463</f>
        <v>7358007</v>
      </c>
    </row>
    <row r="100" spans="1:3" ht="12" customHeight="1" x14ac:dyDescent="0.2">
      <c r="A100" s="261" t="s">
        <v>126</v>
      </c>
      <c r="B100" s="88" t="s">
        <v>542</v>
      </c>
      <c r="C100" s="235"/>
    </row>
    <row r="101" spans="1:3" ht="12" customHeight="1" x14ac:dyDescent="0.2">
      <c r="A101" s="261" t="s">
        <v>136</v>
      </c>
      <c r="B101" s="88" t="s">
        <v>543</v>
      </c>
      <c r="C101" s="235"/>
    </row>
    <row r="102" spans="1:3" ht="12" customHeight="1" x14ac:dyDescent="0.2">
      <c r="A102" s="261" t="s">
        <v>137</v>
      </c>
      <c r="B102" s="88" t="s">
        <v>334</v>
      </c>
      <c r="C102" s="235"/>
    </row>
    <row r="103" spans="1:3" ht="12" customHeight="1" x14ac:dyDescent="0.2">
      <c r="A103" s="261" t="s">
        <v>138</v>
      </c>
      <c r="B103" s="89" t="s">
        <v>335</v>
      </c>
      <c r="C103" s="235"/>
    </row>
    <row r="104" spans="1:3" ht="12" customHeight="1" x14ac:dyDescent="0.2">
      <c r="A104" s="261" t="s">
        <v>139</v>
      </c>
      <c r="B104" s="89" t="s">
        <v>336</v>
      </c>
      <c r="C104" s="235"/>
    </row>
    <row r="105" spans="1:3" ht="12" customHeight="1" x14ac:dyDescent="0.2">
      <c r="A105" s="261" t="s">
        <v>141</v>
      </c>
      <c r="B105" s="88" t="s">
        <v>337</v>
      </c>
      <c r="C105" s="235">
        <f>60754-60754</f>
        <v>0</v>
      </c>
    </row>
    <row r="106" spans="1:3" ht="12" customHeight="1" x14ac:dyDescent="0.2">
      <c r="A106" s="261" t="s">
        <v>190</v>
      </c>
      <c r="B106" s="88" t="s">
        <v>338</v>
      </c>
      <c r="C106" s="235"/>
    </row>
    <row r="107" spans="1:3" ht="12" customHeight="1" x14ac:dyDescent="0.2">
      <c r="A107" s="261" t="s">
        <v>332</v>
      </c>
      <c r="B107" s="89" t="s">
        <v>339</v>
      </c>
      <c r="C107" s="235"/>
    </row>
    <row r="108" spans="1:3" ht="12" customHeight="1" x14ac:dyDescent="0.2">
      <c r="A108" s="269" t="s">
        <v>333</v>
      </c>
      <c r="B108" s="90" t="s">
        <v>340</v>
      </c>
      <c r="C108" s="235"/>
    </row>
    <row r="109" spans="1:3" ht="12" customHeight="1" x14ac:dyDescent="0.2">
      <c r="A109" s="261" t="s">
        <v>544</v>
      </c>
      <c r="B109" s="90" t="s">
        <v>341</v>
      </c>
      <c r="C109" s="235"/>
    </row>
    <row r="110" spans="1:3" ht="12" customHeight="1" x14ac:dyDescent="0.2">
      <c r="A110" s="261" t="s">
        <v>545</v>
      </c>
      <c r="B110" s="89" t="s">
        <v>342</v>
      </c>
      <c r="C110" s="162">
        <f>536000+1500000+500000+4000000+200000+189000+7562000+16678000+3500000+6600000+2000000+4000000+7351000+2875000+250000+3000000+60000+3261000</f>
        <v>64062000</v>
      </c>
    </row>
    <row r="111" spans="1:3" ht="12" customHeight="1" x14ac:dyDescent="0.2">
      <c r="A111" s="261" t="s">
        <v>546</v>
      </c>
      <c r="B111" s="10" t="s">
        <v>77</v>
      </c>
      <c r="C111" s="162">
        <f>SUM(C112:C113)</f>
        <v>97769820</v>
      </c>
    </row>
    <row r="112" spans="1:3" ht="12" customHeight="1" x14ac:dyDescent="0.2">
      <c r="A112" s="262" t="s">
        <v>547</v>
      </c>
      <c r="B112" s="7" t="s">
        <v>595</v>
      </c>
      <c r="C112" s="847">
        <f>20000000-9172313+8719388-4010722-1042502-1846399+5485909+1656508+8185627+3000000</f>
        <v>30975496</v>
      </c>
    </row>
    <row r="113" spans="1:6" ht="12" customHeight="1" thickBot="1" x14ac:dyDescent="0.25">
      <c r="A113" s="270" t="s">
        <v>549</v>
      </c>
      <c r="B113" s="91" t="s">
        <v>596</v>
      </c>
      <c r="C113" s="892">
        <f>111113300-8373330-1600000-8539600-6323156-7948000-7343244+31158286-32066515+411581-3261000-433998</f>
        <v>66794324</v>
      </c>
    </row>
    <row r="114" spans="1:6" ht="12" customHeight="1" thickBot="1" x14ac:dyDescent="0.25">
      <c r="A114" s="31" t="s">
        <v>46</v>
      </c>
      <c r="B114" s="24" t="s">
        <v>343</v>
      </c>
      <c r="C114" s="158">
        <f>+C115+C117+C119</f>
        <v>498219894</v>
      </c>
    </row>
    <row r="115" spans="1:6" ht="12" customHeight="1" x14ac:dyDescent="0.2">
      <c r="A115" s="260" t="s">
        <v>127</v>
      </c>
      <c r="B115" s="7" t="s">
        <v>207</v>
      </c>
      <c r="C115" s="890">
        <f>6621000+787402+10624171+3081125+529000+1654000+447000+2237000+6604000+204000+15179276+979170-1000000+2160000+4226991+71809476+15956160+214128350+180000-2768918+2707800+370002+349250-127000-254000-979170+5001260+2694940-14894286-1889633+2959448+359410+360045-6245860</f>
        <v>344051409</v>
      </c>
    </row>
    <row r="116" spans="1:6" ht="12" customHeight="1" x14ac:dyDescent="0.2">
      <c r="A116" s="260" t="s">
        <v>128</v>
      </c>
      <c r="B116" s="11" t="s">
        <v>347</v>
      </c>
      <c r="C116" s="890">
        <f>14492698-1000000+71809476+15956160+214128350+2959448</f>
        <v>318346132</v>
      </c>
    </row>
    <row r="117" spans="1:6" ht="12" customHeight="1" x14ac:dyDescent="0.2">
      <c r="A117" s="260" t="s">
        <v>129</v>
      </c>
      <c r="B117" s="11" t="s">
        <v>191</v>
      </c>
      <c r="C117" s="162">
        <f>53340000+1513000+2996000+809000+7509510+1000000+18459450+2866987+5566352+3795044+5929-203244-1286510+558800+9053657+200000+80010</f>
        <v>106263985</v>
      </c>
    </row>
    <row r="118" spans="1:6" ht="12" customHeight="1" x14ac:dyDescent="0.2">
      <c r="A118" s="260" t="s">
        <v>130</v>
      </c>
      <c r="B118" s="11" t="s">
        <v>348</v>
      </c>
      <c r="C118" s="324">
        <f>53340000+1000000+3795044-203244</f>
        <v>57931800</v>
      </c>
    </row>
    <row r="119" spans="1:6" ht="12" customHeight="1" x14ac:dyDescent="0.2">
      <c r="A119" s="260" t="s">
        <v>131</v>
      </c>
      <c r="B119" s="155" t="s">
        <v>209</v>
      </c>
      <c r="C119" s="235">
        <f>SUM(C120:C127)</f>
        <v>47904500</v>
      </c>
    </row>
    <row r="120" spans="1:6" ht="12" customHeight="1" x14ac:dyDescent="0.2">
      <c r="A120" s="260" t="s">
        <v>140</v>
      </c>
      <c r="B120" s="154" t="s">
        <v>410</v>
      </c>
      <c r="C120" s="324"/>
    </row>
    <row r="121" spans="1:6" ht="12" customHeight="1" x14ac:dyDescent="0.2">
      <c r="A121" s="260" t="s">
        <v>142</v>
      </c>
      <c r="B121" s="242" t="s">
        <v>353</v>
      </c>
      <c r="C121" s="324"/>
    </row>
    <row r="122" spans="1:6" ht="12" customHeight="1" x14ac:dyDescent="0.2">
      <c r="A122" s="260" t="s">
        <v>192</v>
      </c>
      <c r="B122" s="89" t="s">
        <v>336</v>
      </c>
      <c r="C122" s="324"/>
    </row>
    <row r="123" spans="1:6" ht="12" customHeight="1" x14ac:dyDescent="0.2">
      <c r="A123" s="260" t="s">
        <v>193</v>
      </c>
      <c r="B123" s="89" t="s">
        <v>352</v>
      </c>
      <c r="C123" s="324"/>
    </row>
    <row r="124" spans="1:6" ht="12" customHeight="1" x14ac:dyDescent="0.2">
      <c r="A124" s="260" t="s">
        <v>194</v>
      </c>
      <c r="B124" s="89" t="s">
        <v>351</v>
      </c>
      <c r="C124" s="324"/>
    </row>
    <row r="125" spans="1:6" ht="12" customHeight="1" x14ac:dyDescent="0.2">
      <c r="A125" s="260" t="s">
        <v>344</v>
      </c>
      <c r="B125" s="89" t="s">
        <v>339</v>
      </c>
      <c r="C125" s="324">
        <v>5000</v>
      </c>
    </row>
    <row r="126" spans="1:6" ht="12" customHeight="1" x14ac:dyDescent="0.2">
      <c r="A126" s="260" t="s">
        <v>345</v>
      </c>
      <c r="B126" s="89" t="s">
        <v>350</v>
      </c>
      <c r="C126" s="324"/>
    </row>
    <row r="127" spans="1:6" ht="12" customHeight="1" thickBot="1" x14ac:dyDescent="0.25">
      <c r="A127" s="269" t="s">
        <v>346</v>
      </c>
      <c r="B127" s="89" t="s">
        <v>349</v>
      </c>
      <c r="C127" s="893">
        <f>42072000+2400000+1348000+1079500+1000000</f>
        <v>47899500</v>
      </c>
    </row>
    <row r="128" spans="1:6" ht="12" customHeight="1" thickBot="1" x14ac:dyDescent="0.25">
      <c r="A128" s="31" t="s">
        <v>47</v>
      </c>
      <c r="B128" s="84" t="s">
        <v>551</v>
      </c>
      <c r="C128" s="158">
        <f>+C93+C114</f>
        <v>1287393102</v>
      </c>
      <c r="F128" s="332"/>
    </row>
    <row r="129" spans="1:11" ht="12" customHeight="1" thickBot="1" x14ac:dyDescent="0.25">
      <c r="A129" s="31" t="s">
        <v>48</v>
      </c>
      <c r="B129" s="84" t="s">
        <v>552</v>
      </c>
      <c r="C129" s="158">
        <f>+C130+C131+C132</f>
        <v>0</v>
      </c>
    </row>
    <row r="130" spans="1:11" s="66" customFormat="1" ht="12" customHeight="1" x14ac:dyDescent="0.2">
      <c r="A130" s="260" t="s">
        <v>244</v>
      </c>
      <c r="B130" s="8" t="s">
        <v>597</v>
      </c>
      <c r="C130" s="324"/>
    </row>
    <row r="131" spans="1:11" ht="12" customHeight="1" x14ac:dyDescent="0.2">
      <c r="A131" s="260" t="s">
        <v>247</v>
      </c>
      <c r="B131" s="8" t="s">
        <v>554</v>
      </c>
      <c r="C131" s="145"/>
    </row>
    <row r="132" spans="1:11" ht="12" customHeight="1" thickBot="1" x14ac:dyDescent="0.25">
      <c r="A132" s="269" t="s">
        <v>248</v>
      </c>
      <c r="B132" s="6" t="s">
        <v>598</v>
      </c>
      <c r="C132" s="145"/>
    </row>
    <row r="133" spans="1:11" ht="12" customHeight="1" thickBot="1" x14ac:dyDescent="0.25">
      <c r="A133" s="31" t="s">
        <v>49</v>
      </c>
      <c r="B133" s="84" t="s">
        <v>556</v>
      </c>
      <c r="C133" s="158">
        <f>+C134+C135+C136+C137+C138+C139</f>
        <v>0</v>
      </c>
    </row>
    <row r="134" spans="1:11" ht="12" customHeight="1" x14ac:dyDescent="0.2">
      <c r="A134" s="260" t="s">
        <v>114</v>
      </c>
      <c r="B134" s="8" t="s">
        <v>557</v>
      </c>
      <c r="C134" s="145"/>
    </row>
    <row r="135" spans="1:11" ht="12" customHeight="1" x14ac:dyDescent="0.2">
      <c r="A135" s="260" t="s">
        <v>115</v>
      </c>
      <c r="B135" s="8" t="s">
        <v>558</v>
      </c>
      <c r="C135" s="145"/>
    </row>
    <row r="136" spans="1:11" ht="12" customHeight="1" x14ac:dyDescent="0.2">
      <c r="A136" s="260" t="s">
        <v>116</v>
      </c>
      <c r="B136" s="8" t="s">
        <v>559</v>
      </c>
      <c r="C136" s="145"/>
    </row>
    <row r="137" spans="1:11" ht="12" customHeight="1" x14ac:dyDescent="0.2">
      <c r="A137" s="260" t="s">
        <v>179</v>
      </c>
      <c r="B137" s="8" t="s">
        <v>599</v>
      </c>
      <c r="C137" s="145"/>
    </row>
    <row r="138" spans="1:11" ht="12" customHeight="1" x14ac:dyDescent="0.2">
      <c r="A138" s="260" t="s">
        <v>180</v>
      </c>
      <c r="B138" s="8" t="s">
        <v>561</v>
      </c>
      <c r="C138" s="145"/>
    </row>
    <row r="139" spans="1:11" s="66" customFormat="1" ht="12" customHeight="1" thickBot="1" x14ac:dyDescent="0.25">
      <c r="A139" s="269" t="s">
        <v>181</v>
      </c>
      <c r="B139" s="6" t="s">
        <v>562</v>
      </c>
      <c r="C139" s="145"/>
    </row>
    <row r="140" spans="1:11" ht="12" customHeight="1" thickBot="1" x14ac:dyDescent="0.25">
      <c r="A140" s="31" t="s">
        <v>50</v>
      </c>
      <c r="B140" s="84" t="s">
        <v>600</v>
      </c>
      <c r="C140" s="163">
        <f>+C141+C142+C144+C145+C143</f>
        <v>35164932</v>
      </c>
      <c r="K140" s="144"/>
    </row>
    <row r="141" spans="1:11" x14ac:dyDescent="0.2">
      <c r="A141" s="260" t="s">
        <v>117</v>
      </c>
      <c r="B141" s="8" t="s">
        <v>354</v>
      </c>
      <c r="C141" s="145"/>
    </row>
    <row r="142" spans="1:11" ht="12" customHeight="1" x14ac:dyDescent="0.2">
      <c r="A142" s="260" t="s">
        <v>118</v>
      </c>
      <c r="B142" s="8" t="s">
        <v>355</v>
      </c>
      <c r="C142" s="145">
        <v>35164932</v>
      </c>
    </row>
    <row r="143" spans="1:11" s="66" customFormat="1" ht="12" customHeight="1" x14ac:dyDescent="0.2">
      <c r="A143" s="260" t="s">
        <v>268</v>
      </c>
      <c r="B143" s="8" t="s">
        <v>601</v>
      </c>
      <c r="C143" s="145"/>
    </row>
    <row r="144" spans="1:11" s="66" customFormat="1" ht="12" customHeight="1" x14ac:dyDescent="0.2">
      <c r="A144" s="260" t="s">
        <v>269</v>
      </c>
      <c r="B144" s="8" t="s">
        <v>564</v>
      </c>
      <c r="C144" s="145"/>
    </row>
    <row r="145" spans="1:6" s="66" customFormat="1" ht="12" customHeight="1" thickBot="1" x14ac:dyDescent="0.25">
      <c r="A145" s="269" t="s">
        <v>270</v>
      </c>
      <c r="B145" s="6" t="s">
        <v>373</v>
      </c>
      <c r="C145" s="145"/>
    </row>
    <row r="146" spans="1:6" s="66" customFormat="1" ht="12" customHeight="1" thickBot="1" x14ac:dyDescent="0.25">
      <c r="A146" s="31" t="s">
        <v>51</v>
      </c>
      <c r="B146" s="84" t="s">
        <v>565</v>
      </c>
      <c r="C146" s="166">
        <f>+C147+C148+C149+C150+C151</f>
        <v>0</v>
      </c>
    </row>
    <row r="147" spans="1:6" s="66" customFormat="1" ht="12" customHeight="1" x14ac:dyDescent="0.2">
      <c r="A147" s="260" t="s">
        <v>119</v>
      </c>
      <c r="B147" s="8" t="s">
        <v>566</v>
      </c>
      <c r="C147" s="145"/>
    </row>
    <row r="148" spans="1:6" s="66" customFormat="1" ht="12" customHeight="1" x14ac:dyDescent="0.2">
      <c r="A148" s="260" t="s">
        <v>120</v>
      </c>
      <c r="B148" s="8" t="s">
        <v>567</v>
      </c>
      <c r="C148" s="145"/>
    </row>
    <row r="149" spans="1:6" s="66" customFormat="1" ht="12" customHeight="1" x14ac:dyDescent="0.2">
      <c r="A149" s="260" t="s">
        <v>280</v>
      </c>
      <c r="B149" s="8" t="s">
        <v>568</v>
      </c>
      <c r="C149" s="145"/>
    </row>
    <row r="150" spans="1:6" ht="12.75" customHeight="1" x14ac:dyDescent="0.2">
      <c r="A150" s="260" t="s">
        <v>281</v>
      </c>
      <c r="B150" s="8" t="s">
        <v>602</v>
      </c>
      <c r="C150" s="145"/>
    </row>
    <row r="151" spans="1:6" ht="12.75" customHeight="1" thickBot="1" x14ac:dyDescent="0.25">
      <c r="A151" s="269" t="s">
        <v>570</v>
      </c>
      <c r="B151" s="6" t="s">
        <v>571</v>
      </c>
      <c r="C151" s="146"/>
    </row>
    <row r="152" spans="1:6" ht="12.75" customHeight="1" thickBot="1" x14ac:dyDescent="0.25">
      <c r="A152" s="318" t="s">
        <v>52</v>
      </c>
      <c r="B152" s="84" t="s">
        <v>572</v>
      </c>
      <c r="C152" s="166"/>
    </row>
    <row r="153" spans="1:6" ht="12" customHeight="1" thickBot="1" x14ac:dyDescent="0.25">
      <c r="A153" s="318" t="s">
        <v>53</v>
      </c>
      <c r="B153" s="84" t="s">
        <v>573</v>
      </c>
      <c r="C153" s="166"/>
    </row>
    <row r="154" spans="1:6" ht="15" customHeight="1" thickBot="1" x14ac:dyDescent="0.25">
      <c r="A154" s="31" t="s">
        <v>54</v>
      </c>
      <c r="B154" s="84" t="s">
        <v>574</v>
      </c>
      <c r="C154" s="256">
        <f>+C129+C133+C140+C146+C152+C153</f>
        <v>35164932</v>
      </c>
    </row>
    <row r="155" spans="1:6" ht="13.5" thickBot="1" x14ac:dyDescent="0.25">
      <c r="A155" s="271" t="s">
        <v>55</v>
      </c>
      <c r="B155" s="231" t="s">
        <v>575</v>
      </c>
      <c r="C155" s="256">
        <f>+C128+C154</f>
        <v>1322558034</v>
      </c>
      <c r="F155" s="36"/>
    </row>
    <row r="156" spans="1:6" ht="15" customHeight="1" thickBot="1" x14ac:dyDescent="0.25"/>
    <row r="157" spans="1:6" ht="14.25" customHeight="1" thickBot="1" x14ac:dyDescent="0.25">
      <c r="A157" s="141" t="s">
        <v>603</v>
      </c>
      <c r="B157" s="142"/>
      <c r="C157" s="83">
        <v>6</v>
      </c>
    </row>
    <row r="158" spans="1:6" ht="13.5" thickBot="1" x14ac:dyDescent="0.25">
      <c r="A158" s="141" t="s">
        <v>203</v>
      </c>
      <c r="B158" s="142"/>
      <c r="C158" s="8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10. melléklet a 30/2017.(XI.30.) önkormányzati rendelethez</oddHeader>
  </headerFooter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432" customWidth="1"/>
    <col min="2" max="2" width="72" style="433" customWidth="1"/>
    <col min="3" max="3" width="25" style="434" customWidth="1"/>
    <col min="4" max="16384" width="9.33203125" style="2"/>
  </cols>
  <sheetData>
    <row r="1" spans="1:3" s="1" customFormat="1" ht="16.5" customHeight="1" thickBot="1" x14ac:dyDescent="0.25">
      <c r="A1" s="118"/>
      <c r="B1" s="120"/>
      <c r="C1" s="143"/>
    </row>
    <row r="2" spans="1:3" s="62" customFormat="1" ht="21" customHeight="1" x14ac:dyDescent="0.2">
      <c r="A2" s="236" t="s">
        <v>90</v>
      </c>
      <c r="B2" s="209" t="s">
        <v>204</v>
      </c>
      <c r="C2" s="211" t="s">
        <v>81</v>
      </c>
    </row>
    <row r="3" spans="1:3" s="62" customFormat="1" ht="16.5" thickBot="1" x14ac:dyDescent="0.25">
      <c r="A3" s="121" t="s">
        <v>200</v>
      </c>
      <c r="B3" s="210" t="s">
        <v>412</v>
      </c>
      <c r="C3" s="317" t="s">
        <v>89</v>
      </c>
    </row>
    <row r="4" spans="1:3" s="63" customFormat="1" ht="15.95" customHeight="1" thickBot="1" x14ac:dyDescent="0.3">
      <c r="A4" s="122"/>
      <c r="B4" s="122"/>
      <c r="C4" s="123" t="s">
        <v>677</v>
      </c>
    </row>
    <row r="5" spans="1:3" ht="13.5" thickBot="1" x14ac:dyDescent="0.25">
      <c r="A5" s="237" t="s">
        <v>202</v>
      </c>
      <c r="B5" s="124" t="s">
        <v>82</v>
      </c>
      <c r="C5" s="212" t="s">
        <v>83</v>
      </c>
    </row>
    <row r="6" spans="1:3" s="48" customFormat="1" ht="12.95" customHeight="1" thickBot="1" x14ac:dyDescent="0.25">
      <c r="A6" s="96" t="s">
        <v>524</v>
      </c>
      <c r="B6" s="97" t="s">
        <v>525</v>
      </c>
      <c r="C6" s="98" t="s">
        <v>526</v>
      </c>
    </row>
    <row r="7" spans="1:3" s="48" customFormat="1" ht="15.95" customHeight="1" thickBot="1" x14ac:dyDescent="0.25">
      <c r="A7" s="126"/>
      <c r="B7" s="127" t="s">
        <v>84</v>
      </c>
      <c r="C7" s="213"/>
    </row>
    <row r="8" spans="1:3" s="48" customFormat="1" ht="12" customHeight="1" thickBot="1" x14ac:dyDescent="0.25">
      <c r="A8" s="31" t="s">
        <v>45</v>
      </c>
      <c r="B8" s="20" t="s">
        <v>228</v>
      </c>
      <c r="C8" s="158">
        <f>+C9+C10+C11+C12+C13+C14</f>
        <v>139623633</v>
      </c>
    </row>
    <row r="9" spans="1:3" s="64" customFormat="1" ht="12" customHeight="1" x14ac:dyDescent="0.2">
      <c r="A9" s="260" t="s">
        <v>121</v>
      </c>
      <c r="B9" s="246" t="s">
        <v>229</v>
      </c>
      <c r="C9" s="160"/>
    </row>
    <row r="10" spans="1:3" s="65" customFormat="1" ht="12" customHeight="1" x14ac:dyDescent="0.2">
      <c r="A10" s="261" t="s">
        <v>122</v>
      </c>
      <c r="B10" s="247" t="s">
        <v>230</v>
      </c>
      <c r="C10" s="162"/>
    </row>
    <row r="11" spans="1:3" s="65" customFormat="1" ht="12" customHeight="1" x14ac:dyDescent="0.2">
      <c r="A11" s="261" t="s">
        <v>123</v>
      </c>
      <c r="B11" s="247" t="s">
        <v>231</v>
      </c>
      <c r="C11" s="162">
        <f>118423160+15562200-247960</f>
        <v>133737400</v>
      </c>
    </row>
    <row r="12" spans="1:3" s="65" customFormat="1" ht="12" customHeight="1" x14ac:dyDescent="0.2">
      <c r="A12" s="261" t="s">
        <v>124</v>
      </c>
      <c r="B12" s="247" t="s">
        <v>232</v>
      </c>
      <c r="C12" s="162"/>
    </row>
    <row r="13" spans="1:3" s="65" customFormat="1" ht="12" customHeight="1" x14ac:dyDescent="0.2">
      <c r="A13" s="261" t="s">
        <v>164</v>
      </c>
      <c r="B13" s="247" t="s">
        <v>588</v>
      </c>
      <c r="C13" s="889">
        <f>9514709-3628476</f>
        <v>5886233</v>
      </c>
    </row>
    <row r="14" spans="1:3" s="64" customFormat="1" ht="12" customHeight="1" thickBot="1" x14ac:dyDescent="0.25">
      <c r="A14" s="262" t="s">
        <v>125</v>
      </c>
      <c r="B14" s="248" t="s">
        <v>528</v>
      </c>
      <c r="C14" s="162"/>
    </row>
    <row r="15" spans="1:3" s="64" customFormat="1" ht="12" customHeight="1" thickBot="1" x14ac:dyDescent="0.25">
      <c r="A15" s="31" t="s">
        <v>46</v>
      </c>
      <c r="B15" s="153" t="s">
        <v>233</v>
      </c>
      <c r="C15" s="158">
        <f>+C16+C17+C18+C19+C20</f>
        <v>131874488</v>
      </c>
    </row>
    <row r="16" spans="1:3" s="64" customFormat="1" ht="12" customHeight="1" x14ac:dyDescent="0.2">
      <c r="A16" s="260" t="s">
        <v>127</v>
      </c>
      <c r="B16" s="246" t="s">
        <v>234</v>
      </c>
      <c r="C16" s="160"/>
    </row>
    <row r="17" spans="1:3" s="64" customFormat="1" ht="12" customHeight="1" x14ac:dyDescent="0.2">
      <c r="A17" s="261" t="s">
        <v>128</v>
      </c>
      <c r="B17" s="247" t="s">
        <v>235</v>
      </c>
      <c r="C17" s="159"/>
    </row>
    <row r="18" spans="1:3" s="64" customFormat="1" ht="12" customHeight="1" x14ac:dyDescent="0.2">
      <c r="A18" s="261" t="s">
        <v>129</v>
      </c>
      <c r="B18" s="247" t="s">
        <v>404</v>
      </c>
      <c r="C18" s="159"/>
    </row>
    <row r="19" spans="1:3" s="64" customFormat="1" ht="12" customHeight="1" x14ac:dyDescent="0.2">
      <c r="A19" s="261" t="s">
        <v>130</v>
      </c>
      <c r="B19" s="247" t="s">
        <v>405</v>
      </c>
      <c r="C19" s="159"/>
    </row>
    <row r="20" spans="1:3" s="64" customFormat="1" ht="12" customHeight="1" x14ac:dyDescent="0.2">
      <c r="A20" s="261" t="s">
        <v>131</v>
      </c>
      <c r="B20" s="247" t="s">
        <v>236</v>
      </c>
      <c r="C20" s="889">
        <f>2285000+110446000+3111000+12549488+3483000</f>
        <v>131874488</v>
      </c>
    </row>
    <row r="21" spans="1:3" s="65" customFormat="1" ht="12" customHeight="1" thickBot="1" x14ac:dyDescent="0.25">
      <c r="A21" s="262" t="s">
        <v>140</v>
      </c>
      <c r="B21" s="248" t="s">
        <v>237</v>
      </c>
      <c r="C21" s="161"/>
    </row>
    <row r="22" spans="1:3" s="65" customFormat="1" ht="12" customHeight="1" thickBot="1" x14ac:dyDescent="0.25">
      <c r="A22" s="31" t="s">
        <v>47</v>
      </c>
      <c r="B22" s="20" t="s">
        <v>238</v>
      </c>
      <c r="C22" s="158">
        <f>+C23+C24+C25+C26+C27</f>
        <v>199720812</v>
      </c>
    </row>
    <row r="23" spans="1:3" s="65" customFormat="1" ht="12" customHeight="1" x14ac:dyDescent="0.2">
      <c r="A23" s="260" t="s">
        <v>110</v>
      </c>
      <c r="B23" s="246" t="s">
        <v>239</v>
      </c>
      <c r="C23" s="160"/>
    </row>
    <row r="24" spans="1:3" s="64" customFormat="1" ht="12" customHeight="1" x14ac:dyDescent="0.2">
      <c r="A24" s="261" t="s">
        <v>111</v>
      </c>
      <c r="B24" s="247" t="s">
        <v>240</v>
      </c>
      <c r="C24" s="159"/>
    </row>
    <row r="25" spans="1:3" s="65" customFormat="1" ht="12" customHeight="1" x14ac:dyDescent="0.2">
      <c r="A25" s="261" t="s">
        <v>112</v>
      </c>
      <c r="B25" s="247" t="s">
        <v>406</v>
      </c>
      <c r="C25" s="159"/>
    </row>
    <row r="26" spans="1:3" s="65" customFormat="1" ht="12" customHeight="1" x14ac:dyDescent="0.2">
      <c r="A26" s="261" t="s">
        <v>113</v>
      </c>
      <c r="B26" s="247" t="s">
        <v>407</v>
      </c>
      <c r="C26" s="159"/>
    </row>
    <row r="27" spans="1:3" s="65" customFormat="1" ht="12" customHeight="1" x14ac:dyDescent="0.2">
      <c r="A27" s="261" t="s">
        <v>175</v>
      </c>
      <c r="B27" s="247" t="s">
        <v>241</v>
      </c>
      <c r="C27" s="162">
        <v>199720812</v>
      </c>
    </row>
    <row r="28" spans="1:3" s="65" customFormat="1" ht="12" customHeight="1" thickBot="1" x14ac:dyDescent="0.25">
      <c r="A28" s="262" t="s">
        <v>176</v>
      </c>
      <c r="B28" s="248" t="s">
        <v>242</v>
      </c>
      <c r="C28" s="235">
        <v>199720812</v>
      </c>
    </row>
    <row r="29" spans="1:3" s="65" customFormat="1" ht="12" customHeight="1" thickBot="1" x14ac:dyDescent="0.25">
      <c r="A29" s="31" t="s">
        <v>177</v>
      </c>
      <c r="B29" s="20" t="s">
        <v>243</v>
      </c>
      <c r="C29" s="158">
        <f>+C30+C34+C35+C36</f>
        <v>0</v>
      </c>
    </row>
    <row r="30" spans="1:3" s="65" customFormat="1" ht="12" customHeight="1" x14ac:dyDescent="0.2">
      <c r="A30" s="260" t="s">
        <v>244</v>
      </c>
      <c r="B30" s="246" t="s">
        <v>589</v>
      </c>
      <c r="C30" s="241">
        <f>+C31+C32+C33</f>
        <v>0</v>
      </c>
    </row>
    <row r="31" spans="1:3" s="65" customFormat="1" ht="12" customHeight="1" x14ac:dyDescent="0.2">
      <c r="A31" s="261" t="s">
        <v>245</v>
      </c>
      <c r="B31" s="247" t="s">
        <v>250</v>
      </c>
      <c r="C31" s="159"/>
    </row>
    <row r="32" spans="1:3" s="65" customFormat="1" ht="12" customHeight="1" x14ac:dyDescent="0.2">
      <c r="A32" s="261" t="s">
        <v>246</v>
      </c>
      <c r="B32" s="247" t="s">
        <v>251</v>
      </c>
      <c r="C32" s="159"/>
    </row>
    <row r="33" spans="1:3" s="65" customFormat="1" ht="12" customHeight="1" x14ac:dyDescent="0.2">
      <c r="A33" s="261" t="s">
        <v>530</v>
      </c>
      <c r="B33" s="305" t="s">
        <v>531</v>
      </c>
      <c r="C33" s="159"/>
    </row>
    <row r="34" spans="1:3" s="65" customFormat="1" ht="12" customHeight="1" x14ac:dyDescent="0.2">
      <c r="A34" s="261" t="s">
        <v>247</v>
      </c>
      <c r="B34" s="247" t="s">
        <v>252</v>
      </c>
      <c r="C34" s="159"/>
    </row>
    <row r="35" spans="1:3" s="65" customFormat="1" ht="12" customHeight="1" x14ac:dyDescent="0.2">
      <c r="A35" s="261" t="s">
        <v>248</v>
      </c>
      <c r="B35" s="247" t="s">
        <v>253</v>
      </c>
      <c r="C35" s="159"/>
    </row>
    <row r="36" spans="1:3" s="65" customFormat="1" ht="12" customHeight="1" thickBot="1" x14ac:dyDescent="0.25">
      <c r="A36" s="262" t="s">
        <v>249</v>
      </c>
      <c r="B36" s="248" t="s">
        <v>254</v>
      </c>
      <c r="C36" s="161"/>
    </row>
    <row r="37" spans="1:3" s="65" customFormat="1" ht="12" customHeight="1" thickBot="1" x14ac:dyDescent="0.25">
      <c r="A37" s="31" t="s">
        <v>49</v>
      </c>
      <c r="B37" s="20" t="s">
        <v>532</v>
      </c>
      <c r="C37" s="158">
        <f>SUM(C38:C48)</f>
        <v>13640000</v>
      </c>
    </row>
    <row r="38" spans="1:3" s="65" customFormat="1" ht="12" customHeight="1" x14ac:dyDescent="0.2">
      <c r="A38" s="260" t="s">
        <v>114</v>
      </c>
      <c r="B38" s="246" t="s">
        <v>257</v>
      </c>
      <c r="C38" s="890">
        <f>3937000+5500000+3954000</f>
        <v>13391000</v>
      </c>
    </row>
    <row r="39" spans="1:3" s="65" customFormat="1" ht="12" customHeight="1" x14ac:dyDescent="0.2">
      <c r="A39" s="261" t="s">
        <v>115</v>
      </c>
      <c r="B39" s="247" t="s">
        <v>258</v>
      </c>
      <c r="C39" s="159">
        <f>160000</f>
        <v>160000</v>
      </c>
    </row>
    <row r="40" spans="1:3" s="65" customFormat="1" ht="12" customHeight="1" x14ac:dyDescent="0.2">
      <c r="A40" s="261" t="s">
        <v>116</v>
      </c>
      <c r="B40" s="247" t="s">
        <v>259</v>
      </c>
      <c r="C40" s="159"/>
    </row>
    <row r="41" spans="1:3" s="65" customFormat="1" ht="12" customHeight="1" x14ac:dyDescent="0.2">
      <c r="A41" s="261" t="s">
        <v>179</v>
      </c>
      <c r="B41" s="247" t="s">
        <v>260</v>
      </c>
      <c r="C41" s="159"/>
    </row>
    <row r="42" spans="1:3" s="65" customFormat="1" ht="12" customHeight="1" x14ac:dyDescent="0.2">
      <c r="A42" s="261" t="s">
        <v>180</v>
      </c>
      <c r="B42" s="247" t="s">
        <v>261</v>
      </c>
      <c r="C42" s="159"/>
    </row>
    <row r="43" spans="1:3" s="65" customFormat="1" ht="12" customHeight="1" x14ac:dyDescent="0.2">
      <c r="A43" s="261" t="s">
        <v>181</v>
      </c>
      <c r="B43" s="247" t="s">
        <v>262</v>
      </c>
      <c r="C43" s="159">
        <f>1063000+44000+1485000-2548000+3189</f>
        <v>47189</v>
      </c>
    </row>
    <row r="44" spans="1:3" s="65" customFormat="1" ht="12" customHeight="1" x14ac:dyDescent="0.2">
      <c r="A44" s="261" t="s">
        <v>182</v>
      </c>
      <c r="B44" s="247" t="s">
        <v>263</v>
      </c>
      <c r="C44" s="159"/>
    </row>
    <row r="45" spans="1:3" s="65" customFormat="1" ht="12" customHeight="1" x14ac:dyDescent="0.2">
      <c r="A45" s="261" t="s">
        <v>183</v>
      </c>
      <c r="B45" s="247" t="s">
        <v>264</v>
      </c>
      <c r="C45" s="159">
        <v>30000</v>
      </c>
    </row>
    <row r="46" spans="1:3" s="65" customFormat="1" ht="12" customHeight="1" x14ac:dyDescent="0.2">
      <c r="A46" s="261" t="s">
        <v>255</v>
      </c>
      <c r="B46" s="247" t="s">
        <v>265</v>
      </c>
      <c r="C46" s="159"/>
    </row>
    <row r="47" spans="1:3" s="65" customFormat="1" ht="12" customHeight="1" x14ac:dyDescent="0.2">
      <c r="A47" s="262" t="s">
        <v>256</v>
      </c>
      <c r="B47" s="248" t="s">
        <v>533</v>
      </c>
      <c r="C47" s="161"/>
    </row>
    <row r="48" spans="1:3" s="65" customFormat="1" ht="12" customHeight="1" thickBot="1" x14ac:dyDescent="0.25">
      <c r="A48" s="262" t="s">
        <v>534</v>
      </c>
      <c r="B48" s="248" t="s">
        <v>266</v>
      </c>
      <c r="C48" s="161">
        <f>11811</f>
        <v>11811</v>
      </c>
    </row>
    <row r="49" spans="1:3" s="65" customFormat="1" ht="12" customHeight="1" thickBot="1" x14ac:dyDescent="0.25">
      <c r="A49" s="31" t="s">
        <v>50</v>
      </c>
      <c r="B49" s="20" t="s">
        <v>267</v>
      </c>
      <c r="C49" s="158">
        <f>SUM(C50:C54)</f>
        <v>0</v>
      </c>
    </row>
    <row r="50" spans="1:3" s="65" customFormat="1" ht="12" customHeight="1" x14ac:dyDescent="0.2">
      <c r="A50" s="260" t="s">
        <v>117</v>
      </c>
      <c r="B50" s="246" t="s">
        <v>271</v>
      </c>
      <c r="C50" s="160"/>
    </row>
    <row r="51" spans="1:3" s="65" customFormat="1" ht="12" customHeight="1" x14ac:dyDescent="0.2">
      <c r="A51" s="261" t="s">
        <v>118</v>
      </c>
      <c r="B51" s="247" t="s">
        <v>272</v>
      </c>
      <c r="C51" s="159"/>
    </row>
    <row r="52" spans="1:3" s="65" customFormat="1" ht="12" customHeight="1" x14ac:dyDescent="0.2">
      <c r="A52" s="261" t="s">
        <v>268</v>
      </c>
      <c r="B52" s="247" t="s">
        <v>273</v>
      </c>
      <c r="C52" s="159"/>
    </row>
    <row r="53" spans="1:3" s="65" customFormat="1" ht="12" customHeight="1" x14ac:dyDescent="0.2">
      <c r="A53" s="261" t="s">
        <v>269</v>
      </c>
      <c r="B53" s="247" t="s">
        <v>274</v>
      </c>
      <c r="C53" s="159"/>
    </row>
    <row r="54" spans="1:3" s="65" customFormat="1" ht="12" customHeight="1" thickBot="1" x14ac:dyDescent="0.25">
      <c r="A54" s="262" t="s">
        <v>270</v>
      </c>
      <c r="B54" s="248" t="s">
        <v>275</v>
      </c>
      <c r="C54" s="161"/>
    </row>
    <row r="55" spans="1:3" s="65" customFormat="1" ht="12" customHeight="1" thickBot="1" x14ac:dyDescent="0.25">
      <c r="A55" s="31" t="s">
        <v>184</v>
      </c>
      <c r="B55" s="20" t="s">
        <v>276</v>
      </c>
      <c r="C55" s="158">
        <f>SUM(C56:C58)</f>
        <v>1566000</v>
      </c>
    </row>
    <row r="56" spans="1:3" s="65" customFormat="1" ht="12" customHeight="1" x14ac:dyDescent="0.2">
      <c r="A56" s="260" t="s">
        <v>119</v>
      </c>
      <c r="B56" s="246" t="s">
        <v>277</v>
      </c>
      <c r="C56" s="160"/>
    </row>
    <row r="57" spans="1:3" s="65" customFormat="1" ht="12" customHeight="1" x14ac:dyDescent="0.2">
      <c r="A57" s="261" t="s">
        <v>120</v>
      </c>
      <c r="B57" s="247" t="s">
        <v>408</v>
      </c>
      <c r="C57" s="159">
        <v>1566000</v>
      </c>
    </row>
    <row r="58" spans="1:3" s="65" customFormat="1" ht="12" customHeight="1" x14ac:dyDescent="0.2">
      <c r="A58" s="261" t="s">
        <v>280</v>
      </c>
      <c r="B58" s="247" t="s">
        <v>278</v>
      </c>
      <c r="C58" s="159"/>
    </row>
    <row r="59" spans="1:3" s="65" customFormat="1" ht="12" customHeight="1" thickBot="1" x14ac:dyDescent="0.25">
      <c r="A59" s="262" t="s">
        <v>281</v>
      </c>
      <c r="B59" s="248" t="s">
        <v>279</v>
      </c>
      <c r="C59" s="161"/>
    </row>
    <row r="60" spans="1:3" s="65" customFormat="1" ht="12" customHeight="1" thickBot="1" x14ac:dyDescent="0.25">
      <c r="A60" s="31" t="s">
        <v>52</v>
      </c>
      <c r="B60" s="153" t="s">
        <v>282</v>
      </c>
      <c r="C60" s="158">
        <f>SUM(C61:C63)</f>
        <v>0</v>
      </c>
    </row>
    <row r="61" spans="1:3" s="65" customFormat="1" ht="12" customHeight="1" x14ac:dyDescent="0.2">
      <c r="A61" s="260" t="s">
        <v>185</v>
      </c>
      <c r="B61" s="246" t="s">
        <v>284</v>
      </c>
      <c r="C61" s="159"/>
    </row>
    <row r="62" spans="1:3" s="65" customFormat="1" ht="12" customHeight="1" x14ac:dyDescent="0.2">
      <c r="A62" s="261" t="s">
        <v>186</v>
      </c>
      <c r="B62" s="247" t="s">
        <v>409</v>
      </c>
      <c r="C62" s="159"/>
    </row>
    <row r="63" spans="1:3" s="65" customFormat="1" ht="12" customHeight="1" x14ac:dyDescent="0.2">
      <c r="A63" s="261" t="s">
        <v>208</v>
      </c>
      <c r="B63" s="247" t="s">
        <v>285</v>
      </c>
      <c r="C63" s="159"/>
    </row>
    <row r="64" spans="1:3" s="65" customFormat="1" ht="12" customHeight="1" thickBot="1" x14ac:dyDescent="0.25">
      <c r="A64" s="262" t="s">
        <v>283</v>
      </c>
      <c r="B64" s="248" t="s">
        <v>286</v>
      </c>
      <c r="C64" s="159"/>
    </row>
    <row r="65" spans="1:3" s="65" customFormat="1" ht="12" customHeight="1" thickBot="1" x14ac:dyDescent="0.25">
      <c r="A65" s="31" t="s">
        <v>53</v>
      </c>
      <c r="B65" s="20" t="s">
        <v>287</v>
      </c>
      <c r="C65" s="158">
        <f>+C8+C15+C22+C29+C37+C49+C55+C60</f>
        <v>486424933</v>
      </c>
    </row>
    <row r="66" spans="1:3" s="65" customFormat="1" ht="12" customHeight="1" thickBot="1" x14ac:dyDescent="0.2">
      <c r="A66" s="263" t="s">
        <v>377</v>
      </c>
      <c r="B66" s="153" t="s">
        <v>289</v>
      </c>
      <c r="C66" s="158">
        <f>SUM(C67:C69)</f>
        <v>182000000</v>
      </c>
    </row>
    <row r="67" spans="1:3" s="65" customFormat="1" ht="12" customHeight="1" x14ac:dyDescent="0.2">
      <c r="A67" s="260" t="s">
        <v>320</v>
      </c>
      <c r="B67" s="246" t="s">
        <v>290</v>
      </c>
      <c r="C67" s="159">
        <f>44100000+37900000</f>
        <v>82000000</v>
      </c>
    </row>
    <row r="68" spans="1:3" s="65" customFormat="1" ht="12" customHeight="1" x14ac:dyDescent="0.2">
      <c r="A68" s="261" t="s">
        <v>329</v>
      </c>
      <c r="B68" s="247" t="s">
        <v>291</v>
      </c>
      <c r="C68" s="159">
        <v>100000000</v>
      </c>
    </row>
    <row r="69" spans="1:3" s="65" customFormat="1" ht="12" customHeight="1" thickBot="1" x14ac:dyDescent="0.25">
      <c r="A69" s="262" t="s">
        <v>330</v>
      </c>
      <c r="B69" s="249" t="s">
        <v>292</v>
      </c>
      <c r="C69" s="159"/>
    </row>
    <row r="70" spans="1:3" s="65" customFormat="1" ht="12" customHeight="1" thickBot="1" x14ac:dyDescent="0.2">
      <c r="A70" s="263" t="s">
        <v>293</v>
      </c>
      <c r="B70" s="153" t="s">
        <v>294</v>
      </c>
      <c r="C70" s="420">
        <f>SUM(C71:C74)</f>
        <v>0</v>
      </c>
    </row>
    <row r="71" spans="1:3" s="65" customFormat="1" ht="12" customHeight="1" x14ac:dyDescent="0.2">
      <c r="A71" s="260" t="s">
        <v>165</v>
      </c>
      <c r="B71" s="246" t="s">
        <v>295</v>
      </c>
      <c r="C71" s="159"/>
    </row>
    <row r="72" spans="1:3" s="65" customFormat="1" ht="12" customHeight="1" x14ac:dyDescent="0.2">
      <c r="A72" s="261" t="s">
        <v>166</v>
      </c>
      <c r="B72" s="247" t="s">
        <v>296</v>
      </c>
      <c r="C72" s="159"/>
    </row>
    <row r="73" spans="1:3" s="65" customFormat="1" ht="12" customHeight="1" x14ac:dyDescent="0.2">
      <c r="A73" s="261" t="s">
        <v>321</v>
      </c>
      <c r="B73" s="247" t="s">
        <v>297</v>
      </c>
      <c r="C73" s="159"/>
    </row>
    <row r="74" spans="1:3" s="65" customFormat="1" ht="12" customHeight="1" thickBot="1" x14ac:dyDescent="0.25">
      <c r="A74" s="262" t="s">
        <v>322</v>
      </c>
      <c r="B74" s="248" t="s">
        <v>298</v>
      </c>
      <c r="C74" s="159"/>
    </row>
    <row r="75" spans="1:3" s="65" customFormat="1" ht="12" customHeight="1" thickBot="1" x14ac:dyDescent="0.2">
      <c r="A75" s="263" t="s">
        <v>299</v>
      </c>
      <c r="B75" s="153" t="s">
        <v>300</v>
      </c>
      <c r="C75" s="420">
        <f>SUM(C76:C77)</f>
        <v>0</v>
      </c>
    </row>
    <row r="76" spans="1:3" s="65" customFormat="1" ht="12" customHeight="1" x14ac:dyDescent="0.2">
      <c r="A76" s="260" t="s">
        <v>323</v>
      </c>
      <c r="B76" s="246" t="s">
        <v>301</v>
      </c>
      <c r="C76" s="159"/>
    </row>
    <row r="77" spans="1:3" s="65" customFormat="1" ht="12" customHeight="1" thickBot="1" x14ac:dyDescent="0.25">
      <c r="A77" s="262" t="s">
        <v>324</v>
      </c>
      <c r="B77" s="248" t="s">
        <v>302</v>
      </c>
      <c r="C77" s="159"/>
    </row>
    <row r="78" spans="1:3" s="64" customFormat="1" ht="12" customHeight="1" thickBot="1" x14ac:dyDescent="0.2">
      <c r="A78" s="263" t="s">
        <v>303</v>
      </c>
      <c r="B78" s="153" t="s">
        <v>304</v>
      </c>
      <c r="C78" s="158">
        <f>SUM(C79:C81)</f>
        <v>0</v>
      </c>
    </row>
    <row r="79" spans="1:3" s="65" customFormat="1" ht="12" customHeight="1" x14ac:dyDescent="0.2">
      <c r="A79" s="260" t="s">
        <v>325</v>
      </c>
      <c r="B79" s="246" t="s">
        <v>305</v>
      </c>
      <c r="C79" s="159"/>
    </row>
    <row r="80" spans="1:3" s="65" customFormat="1" ht="12" customHeight="1" x14ac:dyDescent="0.2">
      <c r="A80" s="261" t="s">
        <v>326</v>
      </c>
      <c r="B80" s="247" t="s">
        <v>306</v>
      </c>
      <c r="C80" s="159"/>
    </row>
    <row r="81" spans="1:3" s="65" customFormat="1" ht="12" customHeight="1" thickBot="1" x14ac:dyDescent="0.25">
      <c r="A81" s="262" t="s">
        <v>327</v>
      </c>
      <c r="B81" s="248" t="s">
        <v>307</v>
      </c>
      <c r="C81" s="159"/>
    </row>
    <row r="82" spans="1:3" s="65" customFormat="1" ht="12" customHeight="1" thickBot="1" x14ac:dyDescent="0.2">
      <c r="A82" s="263" t="s">
        <v>308</v>
      </c>
      <c r="B82" s="153" t="s">
        <v>328</v>
      </c>
      <c r="C82" s="158">
        <f>SUM(C83:C86)</f>
        <v>0</v>
      </c>
    </row>
    <row r="83" spans="1:3" s="65" customFormat="1" ht="12" customHeight="1" x14ac:dyDescent="0.2">
      <c r="A83" s="264" t="s">
        <v>309</v>
      </c>
      <c r="B83" s="246" t="s">
        <v>310</v>
      </c>
      <c r="C83" s="159"/>
    </row>
    <row r="84" spans="1:3" s="65" customFormat="1" ht="12" customHeight="1" x14ac:dyDescent="0.2">
      <c r="A84" s="265" t="s">
        <v>311</v>
      </c>
      <c r="B84" s="247" t="s">
        <v>312</v>
      </c>
      <c r="C84" s="159"/>
    </row>
    <row r="85" spans="1:3" s="65" customFormat="1" ht="12" customHeight="1" x14ac:dyDescent="0.2">
      <c r="A85" s="265" t="s">
        <v>313</v>
      </c>
      <c r="B85" s="247" t="s">
        <v>314</v>
      </c>
      <c r="C85" s="159"/>
    </row>
    <row r="86" spans="1:3" s="64" customFormat="1" ht="12" customHeight="1" thickBot="1" x14ac:dyDescent="0.25">
      <c r="A86" s="266" t="s">
        <v>315</v>
      </c>
      <c r="B86" s="248" t="s">
        <v>316</v>
      </c>
      <c r="C86" s="159"/>
    </row>
    <row r="87" spans="1:3" s="64" customFormat="1" ht="12" customHeight="1" thickBot="1" x14ac:dyDescent="0.2">
      <c r="A87" s="263" t="s">
        <v>317</v>
      </c>
      <c r="B87" s="153" t="s">
        <v>537</v>
      </c>
      <c r="C87" s="285"/>
    </row>
    <row r="88" spans="1:3" s="64" customFormat="1" ht="12" customHeight="1" thickBot="1" x14ac:dyDescent="0.2">
      <c r="A88" s="263" t="s">
        <v>590</v>
      </c>
      <c r="B88" s="153" t="s">
        <v>318</v>
      </c>
      <c r="C88" s="285"/>
    </row>
    <row r="89" spans="1:3" s="64" customFormat="1" ht="12" customHeight="1" thickBot="1" x14ac:dyDescent="0.2">
      <c r="A89" s="263" t="s">
        <v>591</v>
      </c>
      <c r="B89" s="253" t="s">
        <v>538</v>
      </c>
      <c r="C89" s="158">
        <f>+C66+C70+C75+C78+C82+C88+C87</f>
        <v>182000000</v>
      </c>
    </row>
    <row r="90" spans="1:3" s="64" customFormat="1" ht="12" customHeight="1" thickBot="1" x14ac:dyDescent="0.2">
      <c r="A90" s="267" t="s">
        <v>592</v>
      </c>
      <c r="B90" s="254" t="s">
        <v>593</v>
      </c>
      <c r="C90" s="158">
        <f>+C65+C89</f>
        <v>668424933</v>
      </c>
    </row>
    <row r="91" spans="1:3" s="65" customFormat="1" ht="15" customHeight="1" thickBot="1" x14ac:dyDescent="0.25">
      <c r="A91" s="132"/>
      <c r="B91" s="133"/>
      <c r="C91" s="218"/>
    </row>
    <row r="92" spans="1:3" s="48" customFormat="1" ht="16.5" customHeight="1" thickBot="1" x14ac:dyDescent="0.25">
      <c r="A92" s="136"/>
      <c r="B92" s="137" t="s">
        <v>85</v>
      </c>
      <c r="C92" s="220"/>
    </row>
    <row r="93" spans="1:3" s="66" customFormat="1" ht="12" customHeight="1" thickBot="1" x14ac:dyDescent="0.25">
      <c r="A93" s="238" t="s">
        <v>45</v>
      </c>
      <c r="B93" s="25" t="s">
        <v>604</v>
      </c>
      <c r="C93" s="157">
        <f>+C94+C95+C96+C97+C98+C111</f>
        <v>74985827</v>
      </c>
    </row>
    <row r="94" spans="1:3" ht="12" customHeight="1" x14ac:dyDescent="0.2">
      <c r="A94" s="268" t="s">
        <v>121</v>
      </c>
      <c r="B94" s="9" t="s">
        <v>76</v>
      </c>
      <c r="C94" s="891">
        <f>310000+175000+172000+24000+3882000+3749000-282000+589000+24000+76000+2550000+481496+3375000+4000+2921000+15800+15000</f>
        <v>18081296</v>
      </c>
    </row>
    <row r="95" spans="1:3" ht="12" customHeight="1" x14ac:dyDescent="0.2">
      <c r="A95" s="261" t="s">
        <v>122</v>
      </c>
      <c r="B95" s="7" t="s">
        <v>187</v>
      </c>
      <c r="C95" s="889">
        <f>62000+33000+48000+808000+1652000-63900+117000+10800+37984+561000+210221+911250+578359+6910+2970</f>
        <v>4975594</v>
      </c>
    </row>
    <row r="96" spans="1:3" ht="12" customHeight="1" x14ac:dyDescent="0.2">
      <c r="A96" s="261" t="s">
        <v>123</v>
      </c>
      <c r="B96" s="7" t="s">
        <v>157</v>
      </c>
      <c r="C96" s="847">
        <f>4801000+800001+376000+120000+386000+50000+18800+32000+22000+11212000+1682000+295900+401000+411000+1600000+26600000+7585000+80000-800001+143504+138750-19000000-4000+4266+1260524+3189</f>
        <v>38218933</v>
      </c>
    </row>
    <row r="97" spans="1:3" ht="12" customHeight="1" x14ac:dyDescent="0.2">
      <c r="A97" s="261" t="s">
        <v>124</v>
      </c>
      <c r="B97" s="10" t="s">
        <v>188</v>
      </c>
      <c r="C97" s="235"/>
    </row>
    <row r="98" spans="1:3" ht="12" customHeight="1" x14ac:dyDescent="0.2">
      <c r="A98" s="261" t="s">
        <v>135</v>
      </c>
      <c r="B98" s="18" t="s">
        <v>189</v>
      </c>
      <c r="C98" s="235">
        <f>SUM(C99:C110)</f>
        <v>13710004</v>
      </c>
    </row>
    <row r="99" spans="1:3" ht="12" customHeight="1" x14ac:dyDescent="0.2">
      <c r="A99" s="261" t="s">
        <v>125</v>
      </c>
      <c r="B99" s="7" t="s">
        <v>594</v>
      </c>
      <c r="C99" s="235">
        <f>2792500+6504</f>
        <v>2799004</v>
      </c>
    </row>
    <row r="100" spans="1:3" ht="12" customHeight="1" x14ac:dyDescent="0.2">
      <c r="A100" s="261" t="s">
        <v>126</v>
      </c>
      <c r="B100" s="88" t="s">
        <v>542</v>
      </c>
      <c r="C100" s="235"/>
    </row>
    <row r="101" spans="1:3" ht="12" customHeight="1" x14ac:dyDescent="0.2">
      <c r="A101" s="261" t="s">
        <v>136</v>
      </c>
      <c r="B101" s="88" t="s">
        <v>543</v>
      </c>
      <c r="C101" s="235"/>
    </row>
    <row r="102" spans="1:3" ht="12" customHeight="1" x14ac:dyDescent="0.2">
      <c r="A102" s="261" t="s">
        <v>137</v>
      </c>
      <c r="B102" s="88" t="s">
        <v>334</v>
      </c>
      <c r="C102" s="235"/>
    </row>
    <row r="103" spans="1:3" ht="12" customHeight="1" x14ac:dyDescent="0.2">
      <c r="A103" s="261" t="s">
        <v>138</v>
      </c>
      <c r="B103" s="89" t="s">
        <v>335</v>
      </c>
      <c r="C103" s="235"/>
    </row>
    <row r="104" spans="1:3" ht="12" customHeight="1" x14ac:dyDescent="0.2">
      <c r="A104" s="261" t="s">
        <v>139</v>
      </c>
      <c r="B104" s="89" t="s">
        <v>336</v>
      </c>
      <c r="C104" s="235"/>
    </row>
    <row r="105" spans="1:3" ht="12" customHeight="1" x14ac:dyDescent="0.2">
      <c r="A105" s="261" t="s">
        <v>141</v>
      </c>
      <c r="B105" s="88" t="s">
        <v>337</v>
      </c>
      <c r="C105" s="235"/>
    </row>
    <row r="106" spans="1:3" ht="12" customHeight="1" x14ac:dyDescent="0.2">
      <c r="A106" s="261" t="s">
        <v>190</v>
      </c>
      <c r="B106" s="88" t="s">
        <v>338</v>
      </c>
      <c r="C106" s="235"/>
    </row>
    <row r="107" spans="1:3" ht="12" customHeight="1" x14ac:dyDescent="0.2">
      <c r="A107" s="261" t="s">
        <v>332</v>
      </c>
      <c r="B107" s="89" t="s">
        <v>339</v>
      </c>
      <c r="C107" s="235"/>
    </row>
    <row r="108" spans="1:3" ht="12" customHeight="1" x14ac:dyDescent="0.2">
      <c r="A108" s="269" t="s">
        <v>333</v>
      </c>
      <c r="B108" s="90" t="s">
        <v>340</v>
      </c>
      <c r="C108" s="235"/>
    </row>
    <row r="109" spans="1:3" ht="12" customHeight="1" x14ac:dyDescent="0.2">
      <c r="A109" s="261" t="s">
        <v>544</v>
      </c>
      <c r="B109" s="90" t="s">
        <v>341</v>
      </c>
      <c r="C109" s="235"/>
    </row>
    <row r="110" spans="1:3" ht="12" customHeight="1" x14ac:dyDescent="0.2">
      <c r="A110" s="261" t="s">
        <v>545</v>
      </c>
      <c r="B110" s="89" t="s">
        <v>342</v>
      </c>
      <c r="C110" s="889">
        <f>5000000+800000+150000+50000+163000+4568000+100000+80000+3000000-3000000</f>
        <v>10911000</v>
      </c>
    </row>
    <row r="111" spans="1:3" ht="12" customHeight="1" x14ac:dyDescent="0.2">
      <c r="A111" s="261" t="s">
        <v>546</v>
      </c>
      <c r="B111" s="10" t="s">
        <v>77</v>
      </c>
      <c r="C111" s="162"/>
    </row>
    <row r="112" spans="1:3" ht="12" customHeight="1" x14ac:dyDescent="0.2">
      <c r="A112" s="262" t="s">
        <v>547</v>
      </c>
      <c r="B112" s="7" t="s">
        <v>595</v>
      </c>
      <c r="C112" s="161"/>
    </row>
    <row r="113" spans="1:3" ht="12" customHeight="1" thickBot="1" x14ac:dyDescent="0.25">
      <c r="A113" s="270" t="s">
        <v>549</v>
      </c>
      <c r="B113" s="91" t="s">
        <v>596</v>
      </c>
      <c r="C113" s="165"/>
    </row>
    <row r="114" spans="1:3" ht="12" customHeight="1" thickBot="1" x14ac:dyDescent="0.25">
      <c r="A114" s="31" t="s">
        <v>46</v>
      </c>
      <c r="B114" s="24" t="s">
        <v>343</v>
      </c>
      <c r="C114" s="158">
        <f>+C115+C117+C119</f>
        <v>230463535</v>
      </c>
    </row>
    <row r="115" spans="1:3" ht="12" customHeight="1" x14ac:dyDescent="0.2">
      <c r="A115" s="260" t="s">
        <v>127</v>
      </c>
      <c r="B115" s="7" t="s">
        <v>207</v>
      </c>
      <c r="C115" s="284">
        <f>2963001+300001+90200+301000-300001-2921000</f>
        <v>433201</v>
      </c>
    </row>
    <row r="116" spans="1:3" ht="12" customHeight="1" x14ac:dyDescent="0.2">
      <c r="A116" s="260" t="s">
        <v>128</v>
      </c>
      <c r="B116" s="11" t="s">
        <v>347</v>
      </c>
      <c r="C116" s="284"/>
    </row>
    <row r="117" spans="1:3" ht="12" customHeight="1" x14ac:dyDescent="0.2">
      <c r="A117" s="260" t="s">
        <v>129</v>
      </c>
      <c r="B117" s="11" t="s">
        <v>191</v>
      </c>
      <c r="C117" s="162">
        <f>21000000+300001+18700651+189429682</f>
        <v>229430334</v>
      </c>
    </row>
    <row r="118" spans="1:3" ht="12" customHeight="1" x14ac:dyDescent="0.2">
      <c r="A118" s="260" t="s">
        <v>130</v>
      </c>
      <c r="B118" s="11" t="s">
        <v>348</v>
      </c>
      <c r="C118" s="324">
        <v>189429682</v>
      </c>
    </row>
    <row r="119" spans="1:3" ht="12" customHeight="1" x14ac:dyDescent="0.2">
      <c r="A119" s="260" t="s">
        <v>131</v>
      </c>
      <c r="B119" s="155" t="s">
        <v>209</v>
      </c>
      <c r="C119" s="324">
        <f>SUM(C120:C127)</f>
        <v>600000</v>
      </c>
    </row>
    <row r="120" spans="1:3" ht="12" customHeight="1" x14ac:dyDescent="0.2">
      <c r="A120" s="260" t="s">
        <v>140</v>
      </c>
      <c r="B120" s="154" t="s">
        <v>410</v>
      </c>
      <c r="C120" s="324"/>
    </row>
    <row r="121" spans="1:3" ht="12" customHeight="1" x14ac:dyDescent="0.2">
      <c r="A121" s="260" t="s">
        <v>142</v>
      </c>
      <c r="B121" s="242" t="s">
        <v>353</v>
      </c>
      <c r="C121" s="324"/>
    </row>
    <row r="122" spans="1:3" ht="12" customHeight="1" x14ac:dyDescent="0.2">
      <c r="A122" s="260" t="s">
        <v>192</v>
      </c>
      <c r="B122" s="89" t="s">
        <v>336</v>
      </c>
      <c r="C122" s="329"/>
    </row>
    <row r="123" spans="1:3" ht="12" customHeight="1" x14ac:dyDescent="0.2">
      <c r="A123" s="260" t="s">
        <v>193</v>
      </c>
      <c r="B123" s="89" t="s">
        <v>352</v>
      </c>
      <c r="C123" s="329"/>
    </row>
    <row r="124" spans="1:3" ht="12" customHeight="1" x14ac:dyDescent="0.2">
      <c r="A124" s="260" t="s">
        <v>194</v>
      </c>
      <c r="B124" s="89" t="s">
        <v>351</v>
      </c>
      <c r="C124" s="329"/>
    </row>
    <row r="125" spans="1:3" ht="12" customHeight="1" x14ac:dyDescent="0.2">
      <c r="A125" s="260" t="s">
        <v>344</v>
      </c>
      <c r="B125" s="89" t="s">
        <v>339</v>
      </c>
      <c r="C125" s="329"/>
    </row>
    <row r="126" spans="1:3" ht="12" customHeight="1" x14ac:dyDescent="0.2">
      <c r="A126" s="260" t="s">
        <v>345</v>
      </c>
      <c r="B126" s="89" t="s">
        <v>350</v>
      </c>
      <c r="C126" s="329"/>
    </row>
    <row r="127" spans="1:3" ht="12" customHeight="1" thickBot="1" x14ac:dyDescent="0.25">
      <c r="A127" s="269" t="s">
        <v>346</v>
      </c>
      <c r="B127" s="89" t="s">
        <v>349</v>
      </c>
      <c r="C127" s="328">
        <v>600000</v>
      </c>
    </row>
    <row r="128" spans="1:3" ht="12" customHeight="1" thickBot="1" x14ac:dyDescent="0.25">
      <c r="A128" s="31" t="s">
        <v>47</v>
      </c>
      <c r="B128" s="84" t="s">
        <v>551</v>
      </c>
      <c r="C128" s="158">
        <f>+C93+C114</f>
        <v>305449362</v>
      </c>
    </row>
    <row r="129" spans="1:11" ht="12" customHeight="1" thickBot="1" x14ac:dyDescent="0.25">
      <c r="A129" s="31" t="s">
        <v>48</v>
      </c>
      <c r="B129" s="84" t="s">
        <v>552</v>
      </c>
      <c r="C129" s="158">
        <f>+C130+C131+C132</f>
        <v>103161000</v>
      </c>
    </row>
    <row r="130" spans="1:11" s="66" customFormat="1" ht="12" customHeight="1" x14ac:dyDescent="0.2">
      <c r="A130" s="260" t="s">
        <v>244</v>
      </c>
      <c r="B130" s="8" t="s">
        <v>597</v>
      </c>
      <c r="C130" s="324">
        <v>3161000</v>
      </c>
    </row>
    <row r="131" spans="1:11" ht="12" customHeight="1" x14ac:dyDescent="0.2">
      <c r="A131" s="260" t="s">
        <v>247</v>
      </c>
      <c r="B131" s="8" t="s">
        <v>554</v>
      </c>
      <c r="C131" s="145">
        <v>100000000</v>
      </c>
    </row>
    <row r="132" spans="1:11" ht="12" customHeight="1" thickBot="1" x14ac:dyDescent="0.25">
      <c r="A132" s="269" t="s">
        <v>248</v>
      </c>
      <c r="B132" s="6" t="s">
        <v>598</v>
      </c>
      <c r="C132" s="145"/>
    </row>
    <row r="133" spans="1:11" ht="12" customHeight="1" thickBot="1" x14ac:dyDescent="0.25">
      <c r="A133" s="31" t="s">
        <v>49</v>
      </c>
      <c r="B133" s="84" t="s">
        <v>556</v>
      </c>
      <c r="C133" s="158">
        <f>+C134+C135+C136+C137+C138+C139</f>
        <v>0</v>
      </c>
    </row>
    <row r="134" spans="1:11" ht="12" customHeight="1" x14ac:dyDescent="0.2">
      <c r="A134" s="260" t="s">
        <v>114</v>
      </c>
      <c r="B134" s="8" t="s">
        <v>557</v>
      </c>
      <c r="C134" s="145"/>
    </row>
    <row r="135" spans="1:11" ht="12" customHeight="1" x14ac:dyDescent="0.2">
      <c r="A135" s="260" t="s">
        <v>115</v>
      </c>
      <c r="B135" s="8" t="s">
        <v>558</v>
      </c>
      <c r="C135" s="145"/>
    </row>
    <row r="136" spans="1:11" ht="12" customHeight="1" x14ac:dyDescent="0.2">
      <c r="A136" s="260" t="s">
        <v>116</v>
      </c>
      <c r="B136" s="8" t="s">
        <v>559</v>
      </c>
      <c r="C136" s="145"/>
    </row>
    <row r="137" spans="1:11" ht="12" customHeight="1" x14ac:dyDescent="0.2">
      <c r="A137" s="260" t="s">
        <v>179</v>
      </c>
      <c r="B137" s="8" t="s">
        <v>599</v>
      </c>
      <c r="C137" s="145"/>
    </row>
    <row r="138" spans="1:11" ht="12" customHeight="1" x14ac:dyDescent="0.2">
      <c r="A138" s="260" t="s">
        <v>180</v>
      </c>
      <c r="B138" s="8" t="s">
        <v>561</v>
      </c>
      <c r="C138" s="145"/>
    </row>
    <row r="139" spans="1:11" s="66" customFormat="1" ht="12" customHeight="1" thickBot="1" x14ac:dyDescent="0.25">
      <c r="A139" s="269" t="s">
        <v>181</v>
      </c>
      <c r="B139" s="6" t="s">
        <v>562</v>
      </c>
      <c r="C139" s="145"/>
    </row>
    <row r="140" spans="1:11" ht="12" customHeight="1" thickBot="1" x14ac:dyDescent="0.25">
      <c r="A140" s="31" t="s">
        <v>50</v>
      </c>
      <c r="B140" s="84" t="s">
        <v>600</v>
      </c>
      <c r="C140" s="163">
        <f>+C141+C142+C144+C145+C143</f>
        <v>0</v>
      </c>
      <c r="K140" s="144"/>
    </row>
    <row r="141" spans="1:11" x14ac:dyDescent="0.2">
      <c r="A141" s="260" t="s">
        <v>117</v>
      </c>
      <c r="B141" s="8" t="s">
        <v>354</v>
      </c>
      <c r="C141" s="145"/>
    </row>
    <row r="142" spans="1:11" ht="12" customHeight="1" x14ac:dyDescent="0.2">
      <c r="A142" s="260" t="s">
        <v>118</v>
      </c>
      <c r="B142" s="8" t="s">
        <v>355</v>
      </c>
      <c r="C142" s="145"/>
    </row>
    <row r="143" spans="1:11" s="66" customFormat="1" ht="12" customHeight="1" x14ac:dyDescent="0.2">
      <c r="A143" s="260" t="s">
        <v>268</v>
      </c>
      <c r="B143" s="8" t="s">
        <v>601</v>
      </c>
      <c r="C143" s="145"/>
    </row>
    <row r="144" spans="1:11" s="66" customFormat="1" ht="12" customHeight="1" x14ac:dyDescent="0.2">
      <c r="A144" s="260" t="s">
        <v>269</v>
      </c>
      <c r="B144" s="8" t="s">
        <v>564</v>
      </c>
      <c r="C144" s="145"/>
    </row>
    <row r="145" spans="1:3" s="66" customFormat="1" ht="12" customHeight="1" thickBot="1" x14ac:dyDescent="0.25">
      <c r="A145" s="269" t="s">
        <v>270</v>
      </c>
      <c r="B145" s="6" t="s">
        <v>373</v>
      </c>
      <c r="C145" s="145"/>
    </row>
    <row r="146" spans="1:3" s="66" customFormat="1" ht="12" customHeight="1" thickBot="1" x14ac:dyDescent="0.25">
      <c r="A146" s="31" t="s">
        <v>51</v>
      </c>
      <c r="B146" s="84" t="s">
        <v>565</v>
      </c>
      <c r="C146" s="166">
        <f>+C147+C148+C149+C150+C151</f>
        <v>0</v>
      </c>
    </row>
    <row r="147" spans="1:3" s="66" customFormat="1" ht="12" customHeight="1" x14ac:dyDescent="0.2">
      <c r="A147" s="260" t="s">
        <v>119</v>
      </c>
      <c r="B147" s="8" t="s">
        <v>566</v>
      </c>
      <c r="C147" s="145"/>
    </row>
    <row r="148" spans="1:3" s="66" customFormat="1" ht="12" customHeight="1" x14ac:dyDescent="0.2">
      <c r="A148" s="260" t="s">
        <v>120</v>
      </c>
      <c r="B148" s="8" t="s">
        <v>567</v>
      </c>
      <c r="C148" s="145"/>
    </row>
    <row r="149" spans="1:3" s="66" customFormat="1" ht="12" customHeight="1" x14ac:dyDescent="0.2">
      <c r="A149" s="260" t="s">
        <v>280</v>
      </c>
      <c r="B149" s="8" t="s">
        <v>568</v>
      </c>
      <c r="C149" s="145"/>
    </row>
    <row r="150" spans="1:3" ht="12.75" customHeight="1" x14ac:dyDescent="0.2">
      <c r="A150" s="260" t="s">
        <v>281</v>
      </c>
      <c r="B150" s="8" t="s">
        <v>602</v>
      </c>
      <c r="C150" s="145"/>
    </row>
    <row r="151" spans="1:3" ht="12.75" customHeight="1" thickBot="1" x14ac:dyDescent="0.25">
      <c r="A151" s="269" t="s">
        <v>570</v>
      </c>
      <c r="B151" s="6" t="s">
        <v>571</v>
      </c>
      <c r="C151" s="146"/>
    </row>
    <row r="152" spans="1:3" ht="12.75" customHeight="1" thickBot="1" x14ac:dyDescent="0.25">
      <c r="A152" s="318" t="s">
        <v>52</v>
      </c>
      <c r="B152" s="84" t="s">
        <v>572</v>
      </c>
      <c r="C152" s="166"/>
    </row>
    <row r="153" spans="1:3" ht="12" customHeight="1" thickBot="1" x14ac:dyDescent="0.25">
      <c r="A153" s="318" t="s">
        <v>53</v>
      </c>
      <c r="B153" s="84" t="s">
        <v>573</v>
      </c>
      <c r="C153" s="166"/>
    </row>
    <row r="154" spans="1:3" ht="15" customHeight="1" thickBot="1" x14ac:dyDescent="0.25">
      <c r="A154" s="31" t="s">
        <v>54</v>
      </c>
      <c r="B154" s="84" t="s">
        <v>574</v>
      </c>
      <c r="C154" s="256">
        <f>+C129+C133+C140+C146+C152+C153</f>
        <v>103161000</v>
      </c>
    </row>
    <row r="155" spans="1:3" ht="13.5" thickBot="1" x14ac:dyDescent="0.25">
      <c r="A155" s="271" t="s">
        <v>55</v>
      </c>
      <c r="B155" s="231" t="s">
        <v>575</v>
      </c>
      <c r="C155" s="256">
        <f>+C128+C154</f>
        <v>408610362</v>
      </c>
    </row>
    <row r="156" spans="1:3" ht="15" customHeight="1" thickBot="1" x14ac:dyDescent="0.25"/>
    <row r="157" spans="1:3" ht="14.25" customHeight="1" thickBot="1" x14ac:dyDescent="0.25">
      <c r="A157" s="141" t="s">
        <v>603</v>
      </c>
      <c r="B157" s="142"/>
      <c r="C157" s="83"/>
    </row>
    <row r="158" spans="1:3" ht="13.5" thickBot="1" x14ac:dyDescent="0.25">
      <c r="A158" s="141" t="s">
        <v>203</v>
      </c>
      <c r="B158" s="142"/>
      <c r="C158" s="8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11. melléklet a 30/2017.(XI.30.) önkormányzati rendelethez</oddHeader>
  </headerFooter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1"/>
  <sheetViews>
    <sheetView view="pageLayout" zoomScaleNormal="115" workbookViewId="0">
      <selection activeCell="K6" sqref="K6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619" customWidth="1"/>
    <col min="4" max="4" width="0" style="140" hidden="1" customWidth="1"/>
    <col min="5" max="5" width="13.33203125" style="140" hidden="1" customWidth="1"/>
    <col min="6" max="6" width="12.1640625" style="140" hidden="1" customWidth="1"/>
    <col min="7" max="7" width="14" style="832" hidden="1" customWidth="1"/>
    <col min="8" max="8" width="0" style="832" hidden="1" customWidth="1"/>
    <col min="9" max="16384" width="9.33203125" style="140"/>
  </cols>
  <sheetData>
    <row r="1" spans="1:8" s="119" customFormat="1" ht="21" customHeight="1" thickBot="1" x14ac:dyDescent="0.25">
      <c r="A1" s="118"/>
      <c r="B1" s="120"/>
      <c r="C1" s="278"/>
      <c r="G1" s="832"/>
      <c r="H1" s="832"/>
    </row>
    <row r="2" spans="1:8" s="279" customFormat="1" ht="36" customHeight="1" x14ac:dyDescent="0.2">
      <c r="A2" s="236" t="s">
        <v>201</v>
      </c>
      <c r="B2" s="209" t="s">
        <v>521</v>
      </c>
      <c r="C2" s="223" t="s">
        <v>88</v>
      </c>
      <c r="G2" s="833"/>
      <c r="H2" s="833"/>
    </row>
    <row r="3" spans="1:8" s="279" customFormat="1" ht="24.75" thickBot="1" x14ac:dyDescent="0.25">
      <c r="A3" s="272" t="s">
        <v>200</v>
      </c>
      <c r="B3" s="210" t="s">
        <v>381</v>
      </c>
      <c r="C3" s="224" t="s">
        <v>81</v>
      </c>
      <c r="G3" s="833"/>
      <c r="H3" s="833"/>
    </row>
    <row r="4" spans="1:8" s="280" customFormat="1" ht="15.95" customHeight="1" thickBot="1" x14ac:dyDescent="0.3">
      <c r="A4" s="122"/>
      <c r="B4" s="122"/>
      <c r="C4" s="123" t="s">
        <v>677</v>
      </c>
      <c r="G4" s="833"/>
      <c r="H4" s="833"/>
    </row>
    <row r="5" spans="1:8" ht="13.5" thickBot="1" x14ac:dyDescent="0.25">
      <c r="A5" s="237" t="s">
        <v>202</v>
      </c>
      <c r="B5" s="124" t="s">
        <v>82</v>
      </c>
      <c r="C5" s="125" t="s">
        <v>83</v>
      </c>
    </row>
    <row r="6" spans="1:8" s="281" customFormat="1" ht="12.95" customHeight="1" thickBot="1" x14ac:dyDescent="0.25">
      <c r="A6" s="96" t="s">
        <v>524</v>
      </c>
      <c r="B6" s="97" t="s">
        <v>525</v>
      </c>
      <c r="C6" s="98" t="s">
        <v>526</v>
      </c>
      <c r="G6" s="834"/>
      <c r="H6" s="834"/>
    </row>
    <row r="7" spans="1:8" s="281" customFormat="1" ht="15.95" customHeight="1" thickBot="1" x14ac:dyDescent="0.25">
      <c r="A7" s="126"/>
      <c r="B7" s="127" t="s">
        <v>84</v>
      </c>
      <c r="C7" s="128"/>
      <c r="G7" s="834"/>
      <c r="H7" s="834"/>
    </row>
    <row r="8" spans="1:8" s="225" customFormat="1" ht="12" customHeight="1" thickBot="1" x14ac:dyDescent="0.25">
      <c r="A8" s="96" t="s">
        <v>45</v>
      </c>
      <c r="B8" s="129" t="s">
        <v>606</v>
      </c>
      <c r="C8" s="174">
        <f>SUM(C9:C19)</f>
        <v>10334792</v>
      </c>
      <c r="E8" s="225" t="e">
        <v>#REF!</v>
      </c>
      <c r="F8" s="716" t="e">
        <f>C8-E8</f>
        <v>#REF!</v>
      </c>
      <c r="G8" s="836" t="e">
        <f>#REF!+#REF!+'9.2.3. sz. mell.'!C8</f>
        <v>#REF!</v>
      </c>
      <c r="H8" s="836" t="e">
        <f>C8-G8</f>
        <v>#REF!</v>
      </c>
    </row>
    <row r="9" spans="1:8" s="225" customFormat="1" ht="12" customHeight="1" x14ac:dyDescent="0.2">
      <c r="A9" s="273" t="s">
        <v>121</v>
      </c>
      <c r="B9" s="9" t="s">
        <v>257</v>
      </c>
      <c r="C9" s="214"/>
      <c r="E9" s="225" t="e">
        <v>#REF!</v>
      </c>
      <c r="F9" s="716" t="e">
        <f t="shared" ref="F9:F61" si="0">C9-E9</f>
        <v>#REF!</v>
      </c>
      <c r="G9" s="836" t="e">
        <f>#REF!+#REF!+'9.2.3. sz. mell.'!C9</f>
        <v>#REF!</v>
      </c>
      <c r="H9" s="836" t="e">
        <f t="shared" ref="H9:H42" si="1">C9-G9</f>
        <v>#REF!</v>
      </c>
    </row>
    <row r="10" spans="1:8" s="225" customFormat="1" ht="12" customHeight="1" x14ac:dyDescent="0.2">
      <c r="A10" s="274" t="s">
        <v>122</v>
      </c>
      <c r="B10" s="7" t="s">
        <v>258</v>
      </c>
      <c r="C10" s="52">
        <f>635000+2304000+444500+4150000+723064-719500</f>
        <v>7537064</v>
      </c>
      <c r="E10" s="225" t="e">
        <v>#REF!</v>
      </c>
      <c r="F10" s="716" t="e">
        <f t="shared" si="0"/>
        <v>#REF!</v>
      </c>
      <c r="G10" s="836" t="e">
        <f>#REF!+#REF!+'9.2.3. sz. mell.'!C10</f>
        <v>#REF!</v>
      </c>
      <c r="H10" s="836" t="e">
        <f t="shared" si="1"/>
        <v>#REF!</v>
      </c>
    </row>
    <row r="11" spans="1:8" s="225" customFormat="1" ht="12" customHeight="1" x14ac:dyDescent="0.2">
      <c r="A11" s="274" t="s">
        <v>123</v>
      </c>
      <c r="B11" s="7" t="s">
        <v>259</v>
      </c>
      <c r="C11" s="52">
        <f>500000</f>
        <v>500000</v>
      </c>
      <c r="E11" s="225" t="e">
        <v>#REF!</v>
      </c>
      <c r="F11" s="716" t="e">
        <f t="shared" si="0"/>
        <v>#REF!</v>
      </c>
      <c r="G11" s="836" t="e">
        <f>#REF!+#REF!+'9.2.3. sz. mell.'!C11</f>
        <v>#REF!</v>
      </c>
      <c r="H11" s="836" t="e">
        <f t="shared" si="1"/>
        <v>#REF!</v>
      </c>
    </row>
    <row r="12" spans="1:8" s="225" customFormat="1" ht="12" customHeight="1" x14ac:dyDescent="0.2">
      <c r="A12" s="274" t="s">
        <v>124</v>
      </c>
      <c r="B12" s="7" t="s">
        <v>260</v>
      </c>
      <c r="C12" s="52"/>
      <c r="E12" s="225" t="e">
        <v>#REF!</v>
      </c>
      <c r="F12" s="716" t="e">
        <f t="shared" si="0"/>
        <v>#REF!</v>
      </c>
      <c r="G12" s="836" t="e">
        <f>#REF!+#REF!+'9.2.3. sz. mell.'!C12</f>
        <v>#REF!</v>
      </c>
      <c r="H12" s="836" t="e">
        <f t="shared" si="1"/>
        <v>#REF!</v>
      </c>
    </row>
    <row r="13" spans="1:8" s="225" customFormat="1" ht="12" customHeight="1" x14ac:dyDescent="0.2">
      <c r="A13" s="274" t="s">
        <v>164</v>
      </c>
      <c r="B13" s="7" t="s">
        <v>261</v>
      </c>
      <c r="C13" s="52"/>
      <c r="E13" s="225" t="e">
        <v>#REF!</v>
      </c>
      <c r="F13" s="716" t="e">
        <f t="shared" si="0"/>
        <v>#REF!</v>
      </c>
      <c r="G13" s="836" t="e">
        <f>#REF!+#REF!+'9.2.3. sz. mell.'!C13</f>
        <v>#REF!</v>
      </c>
      <c r="H13" s="836" t="e">
        <f t="shared" si="1"/>
        <v>#REF!</v>
      </c>
    </row>
    <row r="14" spans="1:8" s="225" customFormat="1" ht="12" customHeight="1" x14ac:dyDescent="0.2">
      <c r="A14" s="274" t="s">
        <v>125</v>
      </c>
      <c r="B14" s="7" t="s">
        <v>382</v>
      </c>
      <c r="C14" s="52">
        <f>1283000+195228+719500</f>
        <v>2197728</v>
      </c>
      <c r="E14" s="225" t="e">
        <v>#REF!</v>
      </c>
      <c r="F14" s="716" t="e">
        <f t="shared" si="0"/>
        <v>#REF!</v>
      </c>
      <c r="G14" s="836" t="e">
        <f>#REF!+#REF!+'9.2.3. sz. mell.'!C14</f>
        <v>#REF!</v>
      </c>
      <c r="H14" s="836" t="e">
        <f t="shared" si="1"/>
        <v>#REF!</v>
      </c>
    </row>
    <row r="15" spans="1:8" s="225" customFormat="1" ht="12" customHeight="1" x14ac:dyDescent="0.2">
      <c r="A15" s="274" t="s">
        <v>126</v>
      </c>
      <c r="B15" s="6" t="s">
        <v>383</v>
      </c>
      <c r="C15" s="52"/>
      <c r="E15" s="225" t="e">
        <v>#REF!</v>
      </c>
      <c r="F15" s="716" t="e">
        <f t="shared" si="0"/>
        <v>#REF!</v>
      </c>
      <c r="G15" s="836" t="e">
        <f>#REF!+#REF!+'9.2.3. sz. mell.'!C15</f>
        <v>#REF!</v>
      </c>
      <c r="H15" s="836" t="e">
        <f t="shared" si="1"/>
        <v>#REF!</v>
      </c>
    </row>
    <row r="16" spans="1:8" s="225" customFormat="1" ht="12" customHeight="1" x14ac:dyDescent="0.2">
      <c r="A16" s="274" t="s">
        <v>136</v>
      </c>
      <c r="B16" s="7" t="s">
        <v>264</v>
      </c>
      <c r="C16" s="175"/>
      <c r="E16" s="225" t="e">
        <v>#REF!</v>
      </c>
      <c r="F16" s="716" t="e">
        <f t="shared" si="0"/>
        <v>#REF!</v>
      </c>
      <c r="G16" s="836" t="e">
        <f>#REF!+#REF!+'9.2.3. sz. mell.'!C16</f>
        <v>#REF!</v>
      </c>
      <c r="H16" s="836" t="e">
        <f t="shared" si="1"/>
        <v>#REF!</v>
      </c>
    </row>
    <row r="17" spans="1:8" s="282" customFormat="1" ht="12" customHeight="1" x14ac:dyDescent="0.2">
      <c r="A17" s="274" t="s">
        <v>137</v>
      </c>
      <c r="B17" s="7" t="s">
        <v>265</v>
      </c>
      <c r="C17" s="172"/>
      <c r="E17" s="225" t="e">
        <v>#REF!</v>
      </c>
      <c r="F17" s="716" t="e">
        <f t="shared" si="0"/>
        <v>#REF!</v>
      </c>
      <c r="G17" s="836" t="e">
        <f>#REF!+#REF!+'9.2.3. sz. mell.'!C17</f>
        <v>#REF!</v>
      </c>
      <c r="H17" s="836" t="e">
        <f t="shared" si="1"/>
        <v>#REF!</v>
      </c>
    </row>
    <row r="18" spans="1:8" s="282" customFormat="1" ht="12" customHeight="1" x14ac:dyDescent="0.2">
      <c r="A18" s="274" t="s">
        <v>138</v>
      </c>
      <c r="B18" s="7" t="s">
        <v>533</v>
      </c>
      <c r="C18" s="173"/>
      <c r="E18" s="225" t="e">
        <v>#REF!</v>
      </c>
      <c r="F18" s="716" t="e">
        <f t="shared" si="0"/>
        <v>#REF!</v>
      </c>
      <c r="G18" s="836" t="e">
        <f>#REF!+#REF!+'9.2.3. sz. mell.'!C18</f>
        <v>#REF!</v>
      </c>
      <c r="H18" s="836" t="e">
        <f t="shared" si="1"/>
        <v>#REF!</v>
      </c>
    </row>
    <row r="19" spans="1:8" s="282" customFormat="1" ht="12" customHeight="1" thickBot="1" x14ac:dyDescent="0.25">
      <c r="A19" s="274" t="s">
        <v>139</v>
      </c>
      <c r="B19" s="6" t="s">
        <v>266</v>
      </c>
      <c r="C19" s="173">
        <f>100000</f>
        <v>100000</v>
      </c>
      <c r="E19" s="225" t="e">
        <v>#REF!</v>
      </c>
      <c r="F19" s="716" t="e">
        <f t="shared" si="0"/>
        <v>#REF!</v>
      </c>
      <c r="G19" s="836" t="e">
        <f>#REF!+#REF!+'9.2.3. sz. mell.'!C19</f>
        <v>#REF!</v>
      </c>
      <c r="H19" s="836" t="e">
        <f t="shared" si="1"/>
        <v>#REF!</v>
      </c>
    </row>
    <row r="20" spans="1:8" s="225" customFormat="1" ht="12" customHeight="1" thickBot="1" x14ac:dyDescent="0.25">
      <c r="A20" s="96" t="s">
        <v>46</v>
      </c>
      <c r="B20" s="129" t="s">
        <v>384</v>
      </c>
      <c r="C20" s="174">
        <f>SUM(C21:C23)</f>
        <v>0</v>
      </c>
      <c r="E20" s="225" t="e">
        <v>#REF!</v>
      </c>
      <c r="F20" s="716" t="e">
        <f t="shared" si="0"/>
        <v>#REF!</v>
      </c>
      <c r="G20" s="836" t="e">
        <f>#REF!+#REF!+'9.2.3. sz. mell.'!C20</f>
        <v>#REF!</v>
      </c>
      <c r="H20" s="836" t="e">
        <f t="shared" si="1"/>
        <v>#REF!</v>
      </c>
    </row>
    <row r="21" spans="1:8" s="282" customFormat="1" ht="12" customHeight="1" x14ac:dyDescent="0.2">
      <c r="A21" s="274" t="s">
        <v>127</v>
      </c>
      <c r="B21" s="8" t="s">
        <v>234</v>
      </c>
      <c r="C21" s="172"/>
      <c r="E21" s="225" t="e">
        <v>#REF!</v>
      </c>
      <c r="F21" s="716" t="e">
        <f t="shared" si="0"/>
        <v>#REF!</v>
      </c>
      <c r="G21" s="836" t="e">
        <f>#REF!+#REF!+'9.2.3. sz. mell.'!C21</f>
        <v>#REF!</v>
      </c>
      <c r="H21" s="836" t="e">
        <f t="shared" si="1"/>
        <v>#REF!</v>
      </c>
    </row>
    <row r="22" spans="1:8" s="282" customFormat="1" ht="12" customHeight="1" x14ac:dyDescent="0.2">
      <c r="A22" s="274" t="s">
        <v>128</v>
      </c>
      <c r="B22" s="7" t="s">
        <v>385</v>
      </c>
      <c r="C22" s="172"/>
      <c r="E22" s="225" t="e">
        <v>#REF!</v>
      </c>
      <c r="F22" s="716" t="e">
        <f t="shared" si="0"/>
        <v>#REF!</v>
      </c>
      <c r="G22" s="836" t="e">
        <f>#REF!+#REF!+'9.2.3. sz. mell.'!C22</f>
        <v>#REF!</v>
      </c>
      <c r="H22" s="836" t="e">
        <f t="shared" si="1"/>
        <v>#REF!</v>
      </c>
    </row>
    <row r="23" spans="1:8" s="282" customFormat="1" ht="12" customHeight="1" x14ac:dyDescent="0.2">
      <c r="A23" s="274" t="s">
        <v>129</v>
      </c>
      <c r="B23" s="7" t="s">
        <v>386</v>
      </c>
      <c r="C23" s="52"/>
      <c r="E23" s="225" t="e">
        <v>#REF!</v>
      </c>
      <c r="F23" s="716" t="e">
        <f t="shared" si="0"/>
        <v>#REF!</v>
      </c>
      <c r="G23" s="836" t="e">
        <f>#REF!+#REF!+'9.2.3. sz. mell.'!C23</f>
        <v>#REF!</v>
      </c>
      <c r="H23" s="836" t="e">
        <f t="shared" si="1"/>
        <v>#REF!</v>
      </c>
    </row>
    <row r="24" spans="1:8" s="282" customFormat="1" ht="12" customHeight="1" thickBot="1" x14ac:dyDescent="0.25">
      <c r="A24" s="274" t="s">
        <v>130</v>
      </c>
      <c r="B24" s="7" t="s">
        <v>607</v>
      </c>
      <c r="C24" s="172"/>
      <c r="E24" s="225" t="e">
        <v>#REF!</v>
      </c>
      <c r="F24" s="716" t="e">
        <f t="shared" si="0"/>
        <v>#REF!</v>
      </c>
      <c r="G24" s="836" t="e">
        <f>#REF!+#REF!+'9.2.3. sz. mell.'!C24</f>
        <v>#REF!</v>
      </c>
      <c r="H24" s="836" t="e">
        <f t="shared" si="1"/>
        <v>#REF!</v>
      </c>
    </row>
    <row r="25" spans="1:8" s="282" customFormat="1" ht="12" customHeight="1" thickBot="1" x14ac:dyDescent="0.25">
      <c r="A25" s="99" t="s">
        <v>47</v>
      </c>
      <c r="B25" s="84" t="s">
        <v>178</v>
      </c>
      <c r="C25" s="199"/>
      <c r="E25" s="225" t="e">
        <v>#REF!</v>
      </c>
      <c r="F25" s="716" t="e">
        <f t="shared" si="0"/>
        <v>#REF!</v>
      </c>
      <c r="G25" s="836" t="e">
        <f>#REF!+#REF!+'9.2.3. sz. mell.'!C25</f>
        <v>#REF!</v>
      </c>
      <c r="H25" s="836" t="e">
        <f t="shared" si="1"/>
        <v>#REF!</v>
      </c>
    </row>
    <row r="26" spans="1:8" s="282" customFormat="1" ht="12" customHeight="1" thickBot="1" x14ac:dyDescent="0.25">
      <c r="A26" s="99" t="s">
        <v>48</v>
      </c>
      <c r="B26" s="84" t="s">
        <v>608</v>
      </c>
      <c r="C26" s="174">
        <f>+C27+C28+C29</f>
        <v>0</v>
      </c>
      <c r="E26" s="225" t="e">
        <v>#REF!</v>
      </c>
      <c r="F26" s="716" t="e">
        <f t="shared" si="0"/>
        <v>#REF!</v>
      </c>
      <c r="G26" s="836" t="e">
        <f>#REF!+#REF!+'9.2.3. sz. mell.'!C26</f>
        <v>#REF!</v>
      </c>
      <c r="H26" s="836" t="e">
        <f t="shared" si="1"/>
        <v>#REF!</v>
      </c>
    </row>
    <row r="27" spans="1:8" s="282" customFormat="1" ht="12" customHeight="1" x14ac:dyDescent="0.2">
      <c r="A27" s="275" t="s">
        <v>244</v>
      </c>
      <c r="B27" s="276" t="s">
        <v>239</v>
      </c>
      <c r="C27" s="50"/>
      <c r="E27" s="225" t="e">
        <v>#REF!</v>
      </c>
      <c r="F27" s="716" t="e">
        <f t="shared" si="0"/>
        <v>#REF!</v>
      </c>
      <c r="G27" s="836" t="e">
        <f>#REF!+#REF!+'9.2.3. sz. mell.'!C27</f>
        <v>#REF!</v>
      </c>
      <c r="H27" s="836" t="e">
        <f t="shared" si="1"/>
        <v>#REF!</v>
      </c>
    </row>
    <row r="28" spans="1:8" s="282" customFormat="1" ht="12" customHeight="1" x14ac:dyDescent="0.2">
      <c r="A28" s="275" t="s">
        <v>247</v>
      </c>
      <c r="B28" s="276" t="s">
        <v>385</v>
      </c>
      <c r="C28" s="172"/>
      <c r="E28" s="225" t="e">
        <v>#REF!</v>
      </c>
      <c r="F28" s="716" t="e">
        <f t="shared" si="0"/>
        <v>#REF!</v>
      </c>
      <c r="G28" s="836" t="e">
        <f>#REF!+#REF!+'9.2.3. sz. mell.'!C28</f>
        <v>#REF!</v>
      </c>
      <c r="H28" s="836" t="e">
        <f t="shared" si="1"/>
        <v>#REF!</v>
      </c>
    </row>
    <row r="29" spans="1:8" s="282" customFormat="1" ht="12" customHeight="1" x14ac:dyDescent="0.2">
      <c r="A29" s="275" t="s">
        <v>248</v>
      </c>
      <c r="B29" s="277" t="s">
        <v>387</v>
      </c>
      <c r="C29" s="172"/>
      <c r="E29" s="225" t="e">
        <v>#REF!</v>
      </c>
      <c r="F29" s="716" t="e">
        <f t="shared" si="0"/>
        <v>#REF!</v>
      </c>
      <c r="G29" s="836" t="e">
        <f>#REF!+#REF!+'9.2.3. sz. mell.'!C29</f>
        <v>#REF!</v>
      </c>
      <c r="H29" s="836" t="e">
        <f t="shared" si="1"/>
        <v>#REF!</v>
      </c>
    </row>
    <row r="30" spans="1:8" s="282" customFormat="1" ht="12" customHeight="1" thickBot="1" x14ac:dyDescent="0.25">
      <c r="A30" s="274" t="s">
        <v>249</v>
      </c>
      <c r="B30" s="87" t="s">
        <v>609</v>
      </c>
      <c r="C30" s="53"/>
      <c r="E30" s="225" t="e">
        <v>#REF!</v>
      </c>
      <c r="F30" s="716" t="e">
        <f t="shared" si="0"/>
        <v>#REF!</v>
      </c>
      <c r="G30" s="836" t="e">
        <f>#REF!+#REF!+'9.2.3. sz. mell.'!C30</f>
        <v>#REF!</v>
      </c>
      <c r="H30" s="836" t="e">
        <f t="shared" si="1"/>
        <v>#REF!</v>
      </c>
    </row>
    <row r="31" spans="1:8" s="282" customFormat="1" ht="12" customHeight="1" thickBot="1" x14ac:dyDescent="0.25">
      <c r="A31" s="99" t="s">
        <v>49</v>
      </c>
      <c r="B31" s="84" t="s">
        <v>388</v>
      </c>
      <c r="C31" s="174">
        <f>+C32+C33+C34</f>
        <v>0</v>
      </c>
      <c r="E31" s="225" t="e">
        <v>#REF!</v>
      </c>
      <c r="F31" s="716" t="e">
        <f t="shared" si="0"/>
        <v>#REF!</v>
      </c>
      <c r="G31" s="836" t="e">
        <f>#REF!+#REF!+'9.2.3. sz. mell.'!C31</f>
        <v>#REF!</v>
      </c>
      <c r="H31" s="836" t="e">
        <f t="shared" si="1"/>
        <v>#REF!</v>
      </c>
    </row>
    <row r="32" spans="1:8" s="282" customFormat="1" ht="12" customHeight="1" x14ac:dyDescent="0.2">
      <c r="A32" s="275" t="s">
        <v>114</v>
      </c>
      <c r="B32" s="276" t="s">
        <v>271</v>
      </c>
      <c r="C32" s="50"/>
      <c r="E32" s="225" t="e">
        <v>#REF!</v>
      </c>
      <c r="F32" s="716" t="e">
        <f t="shared" si="0"/>
        <v>#REF!</v>
      </c>
      <c r="G32" s="836" t="e">
        <f>#REF!+#REF!+'9.2.3. sz. mell.'!C32</f>
        <v>#REF!</v>
      </c>
      <c r="H32" s="836" t="e">
        <f t="shared" si="1"/>
        <v>#REF!</v>
      </c>
    </row>
    <row r="33" spans="1:8" s="282" customFormat="1" ht="12" customHeight="1" x14ac:dyDescent="0.2">
      <c r="A33" s="275" t="s">
        <v>115</v>
      </c>
      <c r="B33" s="277" t="s">
        <v>272</v>
      </c>
      <c r="C33" s="175"/>
      <c r="E33" s="225" t="e">
        <v>#REF!</v>
      </c>
      <c r="F33" s="716" t="e">
        <f t="shared" si="0"/>
        <v>#REF!</v>
      </c>
      <c r="G33" s="836" t="e">
        <f>#REF!+#REF!+'9.2.3. sz. mell.'!C33</f>
        <v>#REF!</v>
      </c>
      <c r="H33" s="836" t="e">
        <f t="shared" si="1"/>
        <v>#REF!</v>
      </c>
    </row>
    <row r="34" spans="1:8" s="282" customFormat="1" ht="12" customHeight="1" thickBot="1" x14ac:dyDescent="0.25">
      <c r="A34" s="274" t="s">
        <v>116</v>
      </c>
      <c r="B34" s="87" t="s">
        <v>273</v>
      </c>
      <c r="C34" s="53"/>
      <c r="E34" s="225" t="e">
        <v>#REF!</v>
      </c>
      <c r="F34" s="716" t="e">
        <f t="shared" si="0"/>
        <v>#REF!</v>
      </c>
      <c r="G34" s="836" t="e">
        <f>#REF!+#REF!+'9.2.3. sz. mell.'!C34</f>
        <v>#REF!</v>
      </c>
      <c r="H34" s="836" t="e">
        <f t="shared" si="1"/>
        <v>#REF!</v>
      </c>
    </row>
    <row r="35" spans="1:8" s="225" customFormat="1" ht="12" customHeight="1" thickBot="1" x14ac:dyDescent="0.25">
      <c r="A35" s="99" t="s">
        <v>50</v>
      </c>
      <c r="B35" s="84" t="s">
        <v>359</v>
      </c>
      <c r="C35" s="199"/>
      <c r="E35" s="225" t="e">
        <v>#REF!</v>
      </c>
      <c r="F35" s="716" t="e">
        <f t="shared" si="0"/>
        <v>#REF!</v>
      </c>
      <c r="G35" s="836" t="e">
        <f>#REF!+#REF!+'9.2.3. sz. mell.'!C35</f>
        <v>#REF!</v>
      </c>
      <c r="H35" s="836" t="e">
        <f t="shared" si="1"/>
        <v>#REF!</v>
      </c>
    </row>
    <row r="36" spans="1:8" s="225" customFormat="1" ht="12" customHeight="1" thickBot="1" x14ac:dyDescent="0.25">
      <c r="A36" s="99" t="s">
        <v>51</v>
      </c>
      <c r="B36" s="84" t="s">
        <v>389</v>
      </c>
      <c r="C36" s="216"/>
      <c r="E36" s="225" t="e">
        <v>#REF!</v>
      </c>
      <c r="F36" s="716" t="e">
        <f t="shared" si="0"/>
        <v>#REF!</v>
      </c>
      <c r="G36" s="836" t="e">
        <f>#REF!+#REF!+'9.2.3. sz. mell.'!C36</f>
        <v>#REF!</v>
      </c>
      <c r="H36" s="836" t="e">
        <f t="shared" si="1"/>
        <v>#REF!</v>
      </c>
    </row>
    <row r="37" spans="1:8" s="225" customFormat="1" ht="12" customHeight="1" thickBot="1" x14ac:dyDescent="0.25">
      <c r="A37" s="96" t="s">
        <v>52</v>
      </c>
      <c r="B37" s="84" t="s">
        <v>390</v>
      </c>
      <c r="C37" s="217">
        <f>+C8+C20+C25+C26+C31+C35+C36</f>
        <v>10334792</v>
      </c>
      <c r="E37" s="225" t="e">
        <v>#REF!</v>
      </c>
      <c r="F37" s="716" t="e">
        <f t="shared" si="0"/>
        <v>#REF!</v>
      </c>
      <c r="G37" s="836" t="e">
        <f>#REF!+#REF!+'9.2.3. sz. mell.'!C37</f>
        <v>#REF!</v>
      </c>
      <c r="H37" s="836" t="e">
        <f t="shared" si="1"/>
        <v>#REF!</v>
      </c>
    </row>
    <row r="38" spans="1:8" s="225" customFormat="1" ht="12" customHeight="1" thickBot="1" x14ac:dyDescent="0.25">
      <c r="A38" s="130" t="s">
        <v>53</v>
      </c>
      <c r="B38" s="84" t="s">
        <v>391</v>
      </c>
      <c r="C38" s="217">
        <f>+C39+C40+C41</f>
        <v>221514642</v>
      </c>
      <c r="E38" s="225" t="e">
        <v>#REF!</v>
      </c>
      <c r="F38" s="716" t="e">
        <f t="shared" si="0"/>
        <v>#REF!</v>
      </c>
      <c r="G38" s="836" t="e">
        <f>#REF!+#REF!+'9.2.3. sz. mell.'!C38</f>
        <v>#REF!</v>
      </c>
      <c r="H38" s="836" t="e">
        <f t="shared" si="1"/>
        <v>#REF!</v>
      </c>
    </row>
    <row r="39" spans="1:8" s="225" customFormat="1" ht="12" customHeight="1" x14ac:dyDescent="0.2">
      <c r="A39" s="275" t="s">
        <v>392</v>
      </c>
      <c r="B39" s="276" t="s">
        <v>216</v>
      </c>
      <c r="C39" s="50">
        <v>447404</v>
      </c>
      <c r="E39" s="225" t="e">
        <v>#REF!</v>
      </c>
      <c r="F39" s="716" t="e">
        <f t="shared" si="0"/>
        <v>#REF!</v>
      </c>
      <c r="G39" s="836" t="e">
        <f>#REF!+#REF!+'9.2.3. sz. mell.'!C39</f>
        <v>#REF!</v>
      </c>
      <c r="H39" s="836" t="e">
        <f t="shared" si="1"/>
        <v>#REF!</v>
      </c>
    </row>
    <row r="40" spans="1:8" s="225" customFormat="1" ht="12" customHeight="1" x14ac:dyDescent="0.2">
      <c r="A40" s="275" t="s">
        <v>393</v>
      </c>
      <c r="B40" s="277" t="s">
        <v>35</v>
      </c>
      <c r="C40" s="175"/>
      <c r="E40" s="225" t="e">
        <v>#REF!</v>
      </c>
      <c r="F40" s="716" t="e">
        <f t="shared" si="0"/>
        <v>#REF!</v>
      </c>
      <c r="G40" s="836" t="e">
        <f>#REF!+#REF!+'9.2.3. sz. mell.'!C40</f>
        <v>#REF!</v>
      </c>
      <c r="H40" s="836" t="e">
        <f t="shared" si="1"/>
        <v>#REF!</v>
      </c>
    </row>
    <row r="41" spans="1:8" s="282" customFormat="1" ht="12" customHeight="1" thickBot="1" x14ac:dyDescent="0.25">
      <c r="A41" s="274" t="s">
        <v>394</v>
      </c>
      <c r="B41" s="87" t="s">
        <v>395</v>
      </c>
      <c r="C41" s="897">
        <f>220167476+899000+762</f>
        <v>221067238</v>
      </c>
      <c r="E41" s="225" t="e">
        <v>#REF!</v>
      </c>
      <c r="F41" s="716" t="e">
        <f t="shared" si="0"/>
        <v>#REF!</v>
      </c>
      <c r="G41" s="836" t="e">
        <f>#REF!+#REF!+'9.2.3. sz. mell.'!C41</f>
        <v>#REF!</v>
      </c>
      <c r="H41" s="836" t="e">
        <f t="shared" si="1"/>
        <v>#REF!</v>
      </c>
    </row>
    <row r="42" spans="1:8" s="282" customFormat="1" ht="15" customHeight="1" thickBot="1" x14ac:dyDescent="0.25">
      <c r="A42" s="130" t="s">
        <v>54</v>
      </c>
      <c r="B42" s="131" t="s">
        <v>396</v>
      </c>
      <c r="C42" s="220">
        <f>+C37+C38</f>
        <v>231849434</v>
      </c>
      <c r="E42" s="225" t="e">
        <v>#REF!</v>
      </c>
      <c r="F42" s="716" t="e">
        <f t="shared" si="0"/>
        <v>#REF!</v>
      </c>
      <c r="G42" s="836" t="e">
        <f>#REF!+#REF!+'9.2.3. sz. mell.'!C42</f>
        <v>#REF!</v>
      </c>
      <c r="H42" s="836" t="e">
        <f t="shared" si="1"/>
        <v>#REF!</v>
      </c>
    </row>
    <row r="43" spans="1:8" s="282" customFormat="1" ht="15" customHeight="1" x14ac:dyDescent="0.2">
      <c r="A43" s="132"/>
      <c r="B43" s="133"/>
      <c r="C43" s="218"/>
      <c r="E43" s="225" t="e">
        <v>#REF!</v>
      </c>
      <c r="F43" s="716" t="e">
        <f t="shared" si="0"/>
        <v>#REF!</v>
      </c>
      <c r="G43" s="832"/>
      <c r="H43" s="832"/>
    </row>
    <row r="44" spans="1:8" ht="15.75" thickBot="1" x14ac:dyDescent="0.25">
      <c r="A44" s="134"/>
      <c r="B44" s="135"/>
      <c r="C44" s="219"/>
      <c r="E44" s="225" t="e">
        <v>#REF!</v>
      </c>
      <c r="F44" s="716" t="e">
        <f t="shared" si="0"/>
        <v>#REF!</v>
      </c>
    </row>
    <row r="45" spans="1:8" s="281" customFormat="1" ht="16.5" customHeight="1" thickBot="1" x14ac:dyDescent="0.25">
      <c r="A45" s="136"/>
      <c r="B45" s="137" t="s">
        <v>85</v>
      </c>
      <c r="C45" s="220"/>
      <c r="E45" s="225" t="e">
        <v>#REF!</v>
      </c>
      <c r="F45" s="716" t="e">
        <f t="shared" si="0"/>
        <v>#REF!</v>
      </c>
      <c r="G45" s="834"/>
      <c r="H45" s="834"/>
    </row>
    <row r="46" spans="1:8" s="283" customFormat="1" ht="12" customHeight="1" thickBot="1" x14ac:dyDescent="0.25">
      <c r="A46" s="99" t="s">
        <v>45</v>
      </c>
      <c r="B46" s="84" t="s">
        <v>397</v>
      </c>
      <c r="C46" s="174">
        <f>SUM(C47:C51)</f>
        <v>229478534</v>
      </c>
      <c r="E46" s="225" t="e">
        <v>#REF!</v>
      </c>
      <c r="F46" s="716" t="e">
        <f t="shared" si="0"/>
        <v>#REF!</v>
      </c>
      <c r="G46" s="836" t="e">
        <f>#REF!+#REF!+'9.2.3. sz. mell.'!C46</f>
        <v>#REF!</v>
      </c>
      <c r="H46" s="836" t="e">
        <f t="shared" ref="H46:H61" si="2">C46-G46</f>
        <v>#REF!</v>
      </c>
    </row>
    <row r="47" spans="1:8" ht="12" customHeight="1" x14ac:dyDescent="0.2">
      <c r="A47" s="274" t="s">
        <v>121</v>
      </c>
      <c r="B47" s="8" t="s">
        <v>76</v>
      </c>
      <c r="C47" s="50">
        <f>525000+118633000+54000-24000+813600+45000-250000+250000+50000+250820+515000+2500000+750000</f>
        <v>124112420</v>
      </c>
      <c r="E47" s="225" t="e">
        <v>#REF!</v>
      </c>
      <c r="F47" s="716" t="e">
        <f t="shared" si="0"/>
        <v>#REF!</v>
      </c>
      <c r="G47" s="836" t="e">
        <f>#REF!+#REF!+'9.2.3. sz. mell.'!C47</f>
        <v>#REF!</v>
      </c>
      <c r="H47" s="836" t="e">
        <f t="shared" si="2"/>
        <v>#REF!</v>
      </c>
    </row>
    <row r="48" spans="1:8" ht="12" customHeight="1" x14ac:dyDescent="0.2">
      <c r="A48" s="274" t="s">
        <v>122</v>
      </c>
      <c r="B48" s="7" t="s">
        <v>187</v>
      </c>
      <c r="C48" s="52">
        <f>134000+28092500+97000-10800+178992+10000+21830+55180+102000+550000+149000</f>
        <v>29379702</v>
      </c>
      <c r="E48" s="225" t="e">
        <v>#REF!</v>
      </c>
      <c r="F48" s="716" t="e">
        <f t="shared" si="0"/>
        <v>#REF!</v>
      </c>
      <c r="G48" s="836" t="e">
        <f>#REF!+#REF!+'9.2.3. sz. mell.'!C48</f>
        <v>#REF!</v>
      </c>
      <c r="H48" s="836" t="e">
        <f t="shared" si="2"/>
        <v>#REF!</v>
      </c>
    </row>
    <row r="49" spans="1:8" ht="12" customHeight="1" x14ac:dyDescent="0.2">
      <c r="A49" s="274" t="s">
        <v>123</v>
      </c>
      <c r="B49" s="7" t="s">
        <v>157</v>
      </c>
      <c r="C49" s="812">
        <f>4419000+490000+327500+46477000+323850-171000+59000+5000-5000+13500+209000+108500-50800-469900+762</f>
        <v>51736412</v>
      </c>
      <c r="E49" s="225" t="e">
        <v>#REF!</v>
      </c>
      <c r="F49" s="716" t="e">
        <f t="shared" si="0"/>
        <v>#REF!</v>
      </c>
      <c r="G49" s="836" t="e">
        <f>#REF!+#REF!+'9.2.3. sz. mell.'!C49</f>
        <v>#REF!</v>
      </c>
      <c r="H49" s="836" t="e">
        <f t="shared" si="2"/>
        <v>#REF!</v>
      </c>
    </row>
    <row r="50" spans="1:8" ht="12" customHeight="1" x14ac:dyDescent="0.2">
      <c r="A50" s="274" t="s">
        <v>124</v>
      </c>
      <c r="B50" s="7" t="s">
        <v>188</v>
      </c>
      <c r="C50" s="52">
        <f>24250000</f>
        <v>24250000</v>
      </c>
      <c r="E50" s="225" t="e">
        <v>#REF!</v>
      </c>
      <c r="F50" s="716" t="e">
        <f t="shared" si="0"/>
        <v>#REF!</v>
      </c>
      <c r="G50" s="836" t="e">
        <f>#REF!+#REF!+'9.2.3. sz. mell.'!C50</f>
        <v>#REF!</v>
      </c>
      <c r="H50" s="836" t="e">
        <f t="shared" si="2"/>
        <v>#REF!</v>
      </c>
    </row>
    <row r="51" spans="1:8" ht="12" customHeight="1" thickBot="1" x14ac:dyDescent="0.25">
      <c r="A51" s="274" t="s">
        <v>164</v>
      </c>
      <c r="B51" s="7" t="s">
        <v>189</v>
      </c>
      <c r="C51" s="52"/>
      <c r="E51" s="225" t="e">
        <v>#REF!</v>
      </c>
      <c r="F51" s="716" t="e">
        <f t="shared" si="0"/>
        <v>#REF!</v>
      </c>
      <c r="G51" s="836" t="e">
        <f>#REF!+#REF!+'9.2.3. sz. mell.'!C51</f>
        <v>#REF!</v>
      </c>
      <c r="H51" s="836" t="e">
        <f t="shared" si="2"/>
        <v>#REF!</v>
      </c>
    </row>
    <row r="52" spans="1:8" ht="12" customHeight="1" thickBot="1" x14ac:dyDescent="0.25">
      <c r="A52" s="99" t="s">
        <v>46</v>
      </c>
      <c r="B52" s="84" t="s">
        <v>398</v>
      </c>
      <c r="C52" s="174">
        <f>SUM(C53:C55)</f>
        <v>2370900</v>
      </c>
      <c r="E52" s="225" t="e">
        <v>#REF!</v>
      </c>
      <c r="F52" s="716" t="e">
        <f t="shared" si="0"/>
        <v>#REF!</v>
      </c>
      <c r="G52" s="836" t="e">
        <f>#REF!+#REF!+'9.2.3. sz. mell.'!C52</f>
        <v>#REF!</v>
      </c>
      <c r="H52" s="836" t="e">
        <f t="shared" si="2"/>
        <v>#REF!</v>
      </c>
    </row>
    <row r="53" spans="1:8" s="283" customFormat="1" ht="12" customHeight="1" x14ac:dyDescent="0.2">
      <c r="A53" s="274" t="s">
        <v>127</v>
      </c>
      <c r="B53" s="8" t="s">
        <v>207</v>
      </c>
      <c r="C53" s="50">
        <f>1901000+457200+12700</f>
        <v>2370900</v>
      </c>
      <c r="E53" s="225" t="e">
        <v>#REF!</v>
      </c>
      <c r="F53" s="716" t="e">
        <f t="shared" si="0"/>
        <v>#REF!</v>
      </c>
      <c r="G53" s="836" t="e">
        <f>#REF!+#REF!+'9.2.3. sz. mell.'!C53</f>
        <v>#REF!</v>
      </c>
      <c r="H53" s="836" t="e">
        <f t="shared" si="2"/>
        <v>#REF!</v>
      </c>
    </row>
    <row r="54" spans="1:8" ht="12" customHeight="1" x14ac:dyDescent="0.2">
      <c r="A54" s="274" t="s">
        <v>128</v>
      </c>
      <c r="B54" s="7" t="s">
        <v>191</v>
      </c>
      <c r="C54" s="52"/>
      <c r="E54" s="225" t="e">
        <v>#REF!</v>
      </c>
      <c r="F54" s="716" t="e">
        <f t="shared" si="0"/>
        <v>#REF!</v>
      </c>
      <c r="G54" s="836" t="e">
        <f>#REF!+#REF!+'9.2.3. sz. mell.'!C54</f>
        <v>#REF!</v>
      </c>
      <c r="H54" s="836" t="e">
        <f t="shared" si="2"/>
        <v>#REF!</v>
      </c>
    </row>
    <row r="55" spans="1:8" ht="12" customHeight="1" x14ac:dyDescent="0.2">
      <c r="A55" s="274" t="s">
        <v>129</v>
      </c>
      <c r="B55" s="7" t="s">
        <v>86</v>
      </c>
      <c r="C55" s="52"/>
      <c r="E55" s="225" t="e">
        <v>#REF!</v>
      </c>
      <c r="F55" s="716" t="e">
        <f t="shared" si="0"/>
        <v>#REF!</v>
      </c>
      <c r="G55" s="836" t="e">
        <f>#REF!+#REF!+'9.2.3. sz. mell.'!C55</f>
        <v>#REF!</v>
      </c>
      <c r="H55" s="836" t="e">
        <f t="shared" si="2"/>
        <v>#REF!</v>
      </c>
    </row>
    <row r="56" spans="1:8" ht="12" customHeight="1" thickBot="1" x14ac:dyDescent="0.25">
      <c r="A56" s="274" t="s">
        <v>130</v>
      </c>
      <c r="B56" s="7" t="s">
        <v>610</v>
      </c>
      <c r="C56" s="52"/>
      <c r="E56" s="225" t="e">
        <v>#REF!</v>
      </c>
      <c r="F56" s="716" t="e">
        <f t="shared" si="0"/>
        <v>#REF!</v>
      </c>
      <c r="G56" s="836" t="e">
        <f>#REF!+#REF!+'9.2.3. sz. mell.'!C56</f>
        <v>#REF!</v>
      </c>
      <c r="H56" s="836" t="e">
        <f t="shared" si="2"/>
        <v>#REF!</v>
      </c>
    </row>
    <row r="57" spans="1:8" ht="12" customHeight="1" thickBot="1" x14ac:dyDescent="0.25">
      <c r="A57" s="99" t="s">
        <v>47</v>
      </c>
      <c r="B57" s="84" t="s">
        <v>39</v>
      </c>
      <c r="C57" s="199"/>
      <c r="E57" s="225" t="e">
        <v>#REF!</v>
      </c>
      <c r="F57" s="716" t="e">
        <f t="shared" si="0"/>
        <v>#REF!</v>
      </c>
      <c r="G57" s="836" t="e">
        <f>#REF!+#REF!+'9.2.3. sz. mell.'!C57</f>
        <v>#REF!</v>
      </c>
      <c r="H57" s="836" t="e">
        <f t="shared" si="2"/>
        <v>#REF!</v>
      </c>
    </row>
    <row r="58" spans="1:8" ht="15" customHeight="1" thickBot="1" x14ac:dyDescent="0.25">
      <c r="A58" s="99" t="s">
        <v>48</v>
      </c>
      <c r="B58" s="138" t="s">
        <v>611</v>
      </c>
      <c r="C58" s="221">
        <f>+C46+C52+C57</f>
        <v>231849434</v>
      </c>
      <c r="E58" s="225" t="e">
        <v>#REF!</v>
      </c>
      <c r="F58" s="716" t="e">
        <f t="shared" si="0"/>
        <v>#REF!</v>
      </c>
      <c r="G58" s="836" t="e">
        <f>#REF!+#REF!+'9.2.3. sz. mell.'!C58</f>
        <v>#REF!</v>
      </c>
      <c r="H58" s="836" t="e">
        <f t="shared" si="2"/>
        <v>#REF!</v>
      </c>
    </row>
    <row r="59" spans="1:8" ht="15.75" thickBot="1" x14ac:dyDescent="0.25">
      <c r="C59" s="618"/>
      <c r="E59" s="225" t="e">
        <v>#REF!</v>
      </c>
      <c r="F59" s="716" t="e">
        <f t="shared" si="0"/>
        <v>#REF!</v>
      </c>
      <c r="G59" s="835"/>
      <c r="H59" s="835"/>
    </row>
    <row r="60" spans="1:8" ht="15" customHeight="1" thickBot="1" x14ac:dyDescent="0.25">
      <c r="A60" s="141" t="s">
        <v>603</v>
      </c>
      <c r="B60" s="142"/>
      <c r="C60" s="900">
        <v>46</v>
      </c>
      <c r="E60" s="225" t="e">
        <v>#REF!</v>
      </c>
      <c r="F60" s="716" t="e">
        <f t="shared" si="0"/>
        <v>#REF!</v>
      </c>
      <c r="G60" s="836" t="e">
        <f>#REF!+#REF!+'9.2.3. sz. mell.'!C60</f>
        <v>#REF!</v>
      </c>
      <c r="H60" s="836" t="e">
        <f t="shared" si="2"/>
        <v>#REF!</v>
      </c>
    </row>
    <row r="61" spans="1:8" ht="14.25" customHeight="1" thickBot="1" x14ac:dyDescent="0.25">
      <c r="A61" s="141" t="s">
        <v>203</v>
      </c>
      <c r="B61" s="142"/>
      <c r="C61" s="83">
        <v>0</v>
      </c>
      <c r="E61" s="225" t="e">
        <v>#REF!</v>
      </c>
      <c r="F61" s="716" t="e">
        <f t="shared" si="0"/>
        <v>#REF!</v>
      </c>
      <c r="G61" s="836" t="e">
        <f>#REF!+#REF!+'9.2.3. sz. mell.'!C61</f>
        <v>#REF!</v>
      </c>
      <c r="H61" s="836" t="e">
        <f t="shared" si="2"/>
        <v>#REF!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&amp;R12. melléklet a 30/2017.(XI.30.)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1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619" customWidth="1"/>
    <col min="4" max="16384" width="9.33203125" style="140"/>
  </cols>
  <sheetData>
    <row r="1" spans="1:3" s="119" customFormat="1" ht="21" customHeight="1" thickBot="1" x14ac:dyDescent="0.25">
      <c r="A1" s="118"/>
      <c r="B1" s="120"/>
      <c r="C1" s="278"/>
    </row>
    <row r="2" spans="1:3" s="279" customFormat="1" ht="33.75" customHeight="1" x14ac:dyDescent="0.2">
      <c r="A2" s="236" t="s">
        <v>201</v>
      </c>
      <c r="B2" s="209" t="s">
        <v>605</v>
      </c>
      <c r="C2" s="223" t="s">
        <v>88</v>
      </c>
    </row>
    <row r="3" spans="1:3" s="279" customFormat="1" ht="24.75" thickBot="1" x14ac:dyDescent="0.25">
      <c r="A3" s="272" t="s">
        <v>200</v>
      </c>
      <c r="B3" s="210" t="s">
        <v>612</v>
      </c>
      <c r="C3" s="224" t="s">
        <v>413</v>
      </c>
    </row>
    <row r="4" spans="1:3" s="280" customFormat="1" ht="15.95" customHeight="1" thickBot="1" x14ac:dyDescent="0.3">
      <c r="A4" s="122"/>
      <c r="B4" s="122"/>
      <c r="C4" s="123" t="s">
        <v>677</v>
      </c>
    </row>
    <row r="5" spans="1:3" ht="13.5" thickBot="1" x14ac:dyDescent="0.25">
      <c r="A5" s="237" t="s">
        <v>202</v>
      </c>
      <c r="B5" s="124" t="s">
        <v>82</v>
      </c>
      <c r="C5" s="125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98" t="s">
        <v>526</v>
      </c>
    </row>
    <row r="7" spans="1:3" s="281" customFormat="1" ht="15.95" customHeight="1" thickBot="1" x14ac:dyDescent="0.25">
      <c r="A7" s="126"/>
      <c r="B7" s="127" t="s">
        <v>84</v>
      </c>
      <c r="C7" s="128"/>
    </row>
    <row r="8" spans="1:3" s="225" customFormat="1" ht="12" customHeight="1" thickBot="1" x14ac:dyDescent="0.25">
      <c r="A8" s="96" t="s">
        <v>45</v>
      </c>
      <c r="B8" s="129" t="s">
        <v>606</v>
      </c>
      <c r="C8" s="174">
        <f>SUM(C9:C19)</f>
        <v>6951292</v>
      </c>
    </row>
    <row r="9" spans="1:3" s="225" customFormat="1" ht="12" customHeight="1" x14ac:dyDescent="0.2">
      <c r="A9" s="273" t="s">
        <v>121</v>
      </c>
      <c r="B9" s="9" t="s">
        <v>257</v>
      </c>
      <c r="C9" s="214"/>
    </row>
    <row r="10" spans="1:3" s="225" customFormat="1" ht="12" customHeight="1" x14ac:dyDescent="0.2">
      <c r="A10" s="274" t="s">
        <v>122</v>
      </c>
      <c r="B10" s="7" t="s">
        <v>258</v>
      </c>
      <c r="C10" s="52">
        <f>4150000+723064</f>
        <v>4873064</v>
      </c>
    </row>
    <row r="11" spans="1:3" s="225" customFormat="1" ht="12" customHeight="1" x14ac:dyDescent="0.2">
      <c r="A11" s="274" t="s">
        <v>123</v>
      </c>
      <c r="B11" s="7" t="s">
        <v>259</v>
      </c>
      <c r="C11" s="52">
        <v>500000</v>
      </c>
    </row>
    <row r="12" spans="1:3" s="225" customFormat="1" ht="12" customHeight="1" x14ac:dyDescent="0.2">
      <c r="A12" s="274" t="s">
        <v>124</v>
      </c>
      <c r="B12" s="7" t="s">
        <v>260</v>
      </c>
      <c r="C12" s="52"/>
    </row>
    <row r="13" spans="1:3" s="225" customFormat="1" ht="12" customHeight="1" x14ac:dyDescent="0.2">
      <c r="A13" s="274" t="s">
        <v>164</v>
      </c>
      <c r="B13" s="7" t="s">
        <v>261</v>
      </c>
      <c r="C13" s="52"/>
    </row>
    <row r="14" spans="1:3" s="225" customFormat="1" ht="12" customHeight="1" x14ac:dyDescent="0.2">
      <c r="A14" s="274" t="s">
        <v>125</v>
      </c>
      <c r="B14" s="7" t="s">
        <v>382</v>
      </c>
      <c r="C14" s="52">
        <f>1283000+195228</f>
        <v>1478228</v>
      </c>
    </row>
    <row r="15" spans="1:3" s="225" customFormat="1" ht="12" customHeight="1" x14ac:dyDescent="0.2">
      <c r="A15" s="274" t="s">
        <v>126</v>
      </c>
      <c r="B15" s="6" t="s">
        <v>383</v>
      </c>
      <c r="C15" s="52"/>
    </row>
    <row r="16" spans="1:3" s="225" customFormat="1" ht="12" customHeight="1" x14ac:dyDescent="0.2">
      <c r="A16" s="274" t="s">
        <v>136</v>
      </c>
      <c r="B16" s="7" t="s">
        <v>264</v>
      </c>
      <c r="C16" s="215"/>
    </row>
    <row r="17" spans="1:3" s="282" customFormat="1" ht="12" customHeight="1" x14ac:dyDescent="0.2">
      <c r="A17" s="274" t="s">
        <v>137</v>
      </c>
      <c r="B17" s="7" t="s">
        <v>265</v>
      </c>
      <c r="C17" s="172"/>
    </row>
    <row r="18" spans="1:3" s="282" customFormat="1" ht="12" customHeight="1" x14ac:dyDescent="0.2">
      <c r="A18" s="274" t="s">
        <v>138</v>
      </c>
      <c r="B18" s="7" t="s">
        <v>533</v>
      </c>
      <c r="C18" s="173"/>
    </row>
    <row r="19" spans="1:3" s="282" customFormat="1" ht="12" customHeight="1" thickBot="1" x14ac:dyDescent="0.25">
      <c r="A19" s="274" t="s">
        <v>139</v>
      </c>
      <c r="B19" s="6" t="s">
        <v>266</v>
      </c>
      <c r="C19" s="173">
        <v>100000</v>
      </c>
    </row>
    <row r="20" spans="1:3" s="225" customFormat="1" ht="12" customHeight="1" thickBot="1" x14ac:dyDescent="0.25">
      <c r="A20" s="96" t="s">
        <v>46</v>
      </c>
      <c r="B20" s="129" t="s">
        <v>384</v>
      </c>
      <c r="C20" s="17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172"/>
    </row>
    <row r="22" spans="1:3" s="282" customFormat="1" ht="12" customHeight="1" x14ac:dyDescent="0.2">
      <c r="A22" s="274" t="s">
        <v>128</v>
      </c>
      <c r="B22" s="7" t="s">
        <v>385</v>
      </c>
      <c r="C22" s="172"/>
    </row>
    <row r="23" spans="1:3" s="282" customFormat="1" ht="12" customHeight="1" x14ac:dyDescent="0.2">
      <c r="A23" s="274" t="s">
        <v>129</v>
      </c>
      <c r="B23" s="7" t="s">
        <v>386</v>
      </c>
      <c r="C23" s="172"/>
    </row>
    <row r="24" spans="1:3" s="282" customFormat="1" ht="12" customHeight="1" thickBot="1" x14ac:dyDescent="0.25">
      <c r="A24" s="274" t="s">
        <v>130</v>
      </c>
      <c r="B24" s="7" t="s">
        <v>607</v>
      </c>
      <c r="C24" s="172"/>
    </row>
    <row r="25" spans="1:3" s="282" customFormat="1" ht="12" customHeight="1" thickBot="1" x14ac:dyDescent="0.25">
      <c r="A25" s="99" t="s">
        <v>47</v>
      </c>
      <c r="B25" s="84" t="s">
        <v>178</v>
      </c>
      <c r="C25" s="199"/>
    </row>
    <row r="26" spans="1:3" s="282" customFormat="1" ht="12" customHeight="1" thickBot="1" x14ac:dyDescent="0.25">
      <c r="A26" s="99" t="s">
        <v>48</v>
      </c>
      <c r="B26" s="84" t="s">
        <v>608</v>
      </c>
      <c r="C26" s="174">
        <f>+C27+C28+C29</f>
        <v>0</v>
      </c>
    </row>
    <row r="27" spans="1:3" s="282" customFormat="1" ht="12" customHeight="1" x14ac:dyDescent="0.2">
      <c r="A27" s="275" t="s">
        <v>244</v>
      </c>
      <c r="B27" s="276" t="s">
        <v>239</v>
      </c>
      <c r="C27" s="50"/>
    </row>
    <row r="28" spans="1:3" s="282" customFormat="1" ht="12" customHeight="1" x14ac:dyDescent="0.2">
      <c r="A28" s="275" t="s">
        <v>247</v>
      </c>
      <c r="B28" s="276" t="s">
        <v>385</v>
      </c>
      <c r="C28" s="172"/>
    </row>
    <row r="29" spans="1:3" s="282" customFormat="1" ht="12" customHeight="1" x14ac:dyDescent="0.2">
      <c r="A29" s="275" t="s">
        <v>248</v>
      </c>
      <c r="B29" s="277" t="s">
        <v>387</v>
      </c>
      <c r="C29" s="172"/>
    </row>
    <row r="30" spans="1:3" s="282" customFormat="1" ht="12" customHeight="1" thickBot="1" x14ac:dyDescent="0.25">
      <c r="A30" s="274" t="s">
        <v>249</v>
      </c>
      <c r="B30" s="87" t="s">
        <v>609</v>
      </c>
      <c r="C30" s="53"/>
    </row>
    <row r="31" spans="1:3" s="282" customFormat="1" ht="12" customHeight="1" thickBot="1" x14ac:dyDescent="0.25">
      <c r="A31" s="99" t="s">
        <v>49</v>
      </c>
      <c r="B31" s="84" t="s">
        <v>388</v>
      </c>
      <c r="C31" s="174">
        <f>+C32+C33+C34</f>
        <v>0</v>
      </c>
    </row>
    <row r="32" spans="1:3" s="282" customFormat="1" ht="12" customHeight="1" x14ac:dyDescent="0.2">
      <c r="A32" s="275" t="s">
        <v>114</v>
      </c>
      <c r="B32" s="276" t="s">
        <v>271</v>
      </c>
      <c r="C32" s="50"/>
    </row>
    <row r="33" spans="1:4" s="282" customFormat="1" ht="12" customHeight="1" x14ac:dyDescent="0.2">
      <c r="A33" s="275" t="s">
        <v>115</v>
      </c>
      <c r="B33" s="277" t="s">
        <v>272</v>
      </c>
      <c r="C33" s="175"/>
    </row>
    <row r="34" spans="1:4" s="282" customFormat="1" ht="12" customHeight="1" thickBot="1" x14ac:dyDescent="0.25">
      <c r="A34" s="274" t="s">
        <v>116</v>
      </c>
      <c r="B34" s="87" t="s">
        <v>273</v>
      </c>
      <c r="C34" s="53"/>
    </row>
    <row r="35" spans="1:4" s="225" customFormat="1" ht="12" customHeight="1" thickBot="1" x14ac:dyDescent="0.25">
      <c r="A35" s="99" t="s">
        <v>50</v>
      </c>
      <c r="B35" s="84" t="s">
        <v>359</v>
      </c>
      <c r="C35" s="199"/>
    </row>
    <row r="36" spans="1:4" s="225" customFormat="1" ht="12" customHeight="1" thickBot="1" x14ac:dyDescent="0.25">
      <c r="A36" s="99" t="s">
        <v>51</v>
      </c>
      <c r="B36" s="84" t="s">
        <v>389</v>
      </c>
      <c r="C36" s="216"/>
    </row>
    <row r="37" spans="1:4" s="225" customFormat="1" ht="12" customHeight="1" thickBot="1" x14ac:dyDescent="0.25">
      <c r="A37" s="96" t="s">
        <v>52</v>
      </c>
      <c r="B37" s="84" t="s">
        <v>390</v>
      </c>
      <c r="C37" s="217">
        <f>+C8+C20+C25+C26+C31+C35+C36</f>
        <v>6951292</v>
      </c>
    </row>
    <row r="38" spans="1:4" s="225" customFormat="1" ht="12" customHeight="1" thickBot="1" x14ac:dyDescent="0.25">
      <c r="A38" s="130" t="s">
        <v>53</v>
      </c>
      <c r="B38" s="84" t="s">
        <v>391</v>
      </c>
      <c r="C38" s="217">
        <f>+C39+C40+C41</f>
        <v>192287262</v>
      </c>
    </row>
    <row r="39" spans="1:4" s="225" customFormat="1" ht="12" customHeight="1" x14ac:dyDescent="0.2">
      <c r="A39" s="275" t="s">
        <v>392</v>
      </c>
      <c r="B39" s="276" t="s">
        <v>216</v>
      </c>
      <c r="C39" s="50">
        <v>447404</v>
      </c>
      <c r="D39" s="335"/>
    </row>
    <row r="40" spans="1:4" s="225" customFormat="1" ht="12" customHeight="1" x14ac:dyDescent="0.2">
      <c r="A40" s="275" t="s">
        <v>393</v>
      </c>
      <c r="B40" s="277" t="s">
        <v>35</v>
      </c>
      <c r="C40" s="175"/>
    </row>
    <row r="41" spans="1:4" s="282" customFormat="1" ht="12" customHeight="1" thickBot="1" x14ac:dyDescent="0.25">
      <c r="A41" s="274" t="s">
        <v>394</v>
      </c>
      <c r="B41" s="87" t="s">
        <v>395</v>
      </c>
      <c r="C41" s="897">
        <f>192286500-447404+762</f>
        <v>191839858</v>
      </c>
    </row>
    <row r="42" spans="1:4" s="282" customFormat="1" ht="15" customHeight="1" thickBot="1" x14ac:dyDescent="0.25">
      <c r="A42" s="130" t="s">
        <v>54</v>
      </c>
      <c r="B42" s="131" t="s">
        <v>396</v>
      </c>
      <c r="C42" s="220">
        <f>+C37+C38</f>
        <v>199238554</v>
      </c>
    </row>
    <row r="43" spans="1:4" s="282" customFormat="1" ht="15" customHeight="1" x14ac:dyDescent="0.2">
      <c r="A43" s="132"/>
      <c r="B43" s="133"/>
      <c r="C43" s="218"/>
    </row>
    <row r="44" spans="1:4" ht="13.5" thickBot="1" x14ac:dyDescent="0.25">
      <c r="A44" s="134"/>
      <c r="B44" s="135"/>
      <c r="C44" s="219"/>
    </row>
    <row r="45" spans="1:4" s="281" customFormat="1" ht="16.5" customHeight="1" thickBot="1" x14ac:dyDescent="0.25">
      <c r="A45" s="136"/>
      <c r="B45" s="137" t="s">
        <v>85</v>
      </c>
      <c r="C45" s="220"/>
    </row>
    <row r="46" spans="1:4" s="283" customFormat="1" ht="12" customHeight="1" thickBot="1" x14ac:dyDescent="0.25">
      <c r="A46" s="99" t="s">
        <v>45</v>
      </c>
      <c r="B46" s="84" t="s">
        <v>397</v>
      </c>
      <c r="C46" s="174">
        <f>SUM(C47:C51)</f>
        <v>196880354</v>
      </c>
    </row>
    <row r="47" spans="1:4" ht="12" customHeight="1" x14ac:dyDescent="0.2">
      <c r="A47" s="274" t="s">
        <v>121</v>
      </c>
      <c r="B47" s="8" t="s">
        <v>76</v>
      </c>
      <c r="C47" s="50">
        <f>118633000-24000+813600+45000+250000-250000+250820+2500000</f>
        <v>122218420</v>
      </c>
    </row>
    <row r="48" spans="1:4" ht="12" customHeight="1" x14ac:dyDescent="0.2">
      <c r="A48" s="274" t="s">
        <v>122</v>
      </c>
      <c r="B48" s="7" t="s">
        <v>187</v>
      </c>
      <c r="C48" s="52">
        <f>28092500-10800+178992+10000+55180+550000</f>
        <v>28875872</v>
      </c>
    </row>
    <row r="49" spans="1:3" ht="12" customHeight="1" x14ac:dyDescent="0.2">
      <c r="A49" s="274" t="s">
        <v>123</v>
      </c>
      <c r="B49" s="7" t="s">
        <v>157</v>
      </c>
      <c r="C49" s="812">
        <f>46477000-171000+5000-5000-469900-50800+762</f>
        <v>45786062</v>
      </c>
    </row>
    <row r="50" spans="1:3" ht="12" customHeight="1" x14ac:dyDescent="0.2">
      <c r="A50" s="274" t="s">
        <v>124</v>
      </c>
      <c r="B50" s="7" t="s">
        <v>188</v>
      </c>
      <c r="C50" s="52"/>
    </row>
    <row r="51" spans="1:3" ht="12" customHeight="1" thickBot="1" x14ac:dyDescent="0.25">
      <c r="A51" s="274" t="s">
        <v>164</v>
      </c>
      <c r="B51" s="7" t="s">
        <v>189</v>
      </c>
      <c r="C51" s="52"/>
    </row>
    <row r="52" spans="1:3" ht="12" customHeight="1" thickBot="1" x14ac:dyDescent="0.25">
      <c r="A52" s="99" t="s">
        <v>46</v>
      </c>
      <c r="B52" s="84" t="s">
        <v>398</v>
      </c>
      <c r="C52" s="174">
        <f>SUM(C53:C55)</f>
        <v>2358200</v>
      </c>
    </row>
    <row r="53" spans="1:3" s="283" customFormat="1" ht="12" customHeight="1" x14ac:dyDescent="0.2">
      <c r="A53" s="274" t="s">
        <v>127</v>
      </c>
      <c r="B53" s="8" t="s">
        <v>207</v>
      </c>
      <c r="C53" s="50">
        <f>1901000+457200</f>
        <v>2358200</v>
      </c>
    </row>
    <row r="54" spans="1:3" ht="12" customHeight="1" x14ac:dyDescent="0.2">
      <c r="A54" s="274" t="s">
        <v>128</v>
      </c>
      <c r="B54" s="7" t="s">
        <v>191</v>
      </c>
      <c r="C54" s="52"/>
    </row>
    <row r="55" spans="1:3" ht="12" customHeight="1" x14ac:dyDescent="0.2">
      <c r="A55" s="274" t="s">
        <v>129</v>
      </c>
      <c r="B55" s="7" t="s">
        <v>86</v>
      </c>
      <c r="C55" s="52"/>
    </row>
    <row r="56" spans="1:3" ht="12" customHeight="1" thickBot="1" x14ac:dyDescent="0.25">
      <c r="A56" s="274" t="s">
        <v>130</v>
      </c>
      <c r="B56" s="7" t="s">
        <v>610</v>
      </c>
      <c r="C56" s="52"/>
    </row>
    <row r="57" spans="1:3" ht="15" customHeight="1" thickBot="1" x14ac:dyDescent="0.25">
      <c r="A57" s="99" t="s">
        <v>47</v>
      </c>
      <c r="B57" s="84" t="s">
        <v>39</v>
      </c>
      <c r="C57" s="199"/>
    </row>
    <row r="58" spans="1:3" ht="13.5" thickBot="1" x14ac:dyDescent="0.25">
      <c r="A58" s="99" t="s">
        <v>48</v>
      </c>
      <c r="B58" s="138" t="s">
        <v>611</v>
      </c>
      <c r="C58" s="221">
        <f>+C46+C52+C57</f>
        <v>199238554</v>
      </c>
    </row>
    <row r="59" spans="1:3" ht="15" customHeight="1" thickBot="1" x14ac:dyDescent="0.25">
      <c r="C59" s="618"/>
    </row>
    <row r="60" spans="1:3" ht="14.25" customHeight="1" thickBot="1" x14ac:dyDescent="0.25">
      <c r="A60" s="141" t="s">
        <v>603</v>
      </c>
      <c r="B60" s="142"/>
      <c r="C60" s="900">
        <v>46</v>
      </c>
    </row>
    <row r="61" spans="1:3" ht="13.5" thickBot="1" x14ac:dyDescent="0.25">
      <c r="A61" s="141" t="s">
        <v>203</v>
      </c>
      <c r="B61" s="142"/>
      <c r="C61" s="83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13. melléklet a 30/2017.(XI.30.)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3" customHeight="1" x14ac:dyDescent="0.2">
      <c r="A2" s="236" t="s">
        <v>201</v>
      </c>
      <c r="B2" s="209" t="s">
        <v>450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381</v>
      </c>
      <c r="C3" s="719" t="s">
        <v>81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12849854</v>
      </c>
    </row>
    <row r="9" spans="1:3" s="225" customFormat="1" ht="12" customHeight="1" x14ac:dyDescent="0.2">
      <c r="A9" s="273" t="s">
        <v>121</v>
      </c>
      <c r="B9" s="9" t="s">
        <v>257</v>
      </c>
      <c r="C9" s="725"/>
    </row>
    <row r="10" spans="1:3" s="225" customFormat="1" ht="12" customHeight="1" x14ac:dyDescent="0.2">
      <c r="A10" s="274" t="s">
        <v>122</v>
      </c>
      <c r="B10" s="7" t="s">
        <v>258</v>
      </c>
      <c r="C10" s="813">
        <f>600000+586534</f>
        <v>1186534</v>
      </c>
    </row>
    <row r="11" spans="1:3" s="225" customFormat="1" ht="12" customHeight="1" x14ac:dyDescent="0.2">
      <c r="A11" s="274" t="s">
        <v>123</v>
      </c>
      <c r="B11" s="7" t="s">
        <v>259</v>
      </c>
      <c r="C11" s="726">
        <f>4100000+700000</f>
        <v>4800000</v>
      </c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813">
        <f>1409334-586534</f>
        <v>822800</v>
      </c>
    </row>
    <row r="14" spans="1:3" s="225" customFormat="1" ht="12" customHeight="1" x14ac:dyDescent="0.2">
      <c r="A14" s="274" t="s">
        <v>125</v>
      </c>
      <c r="B14" s="7" t="s">
        <v>382</v>
      </c>
      <c r="C14" s="726">
        <f>1649520+189000</f>
        <v>1838520</v>
      </c>
    </row>
    <row r="15" spans="1:3" s="225" customFormat="1" ht="12" customHeight="1" x14ac:dyDescent="0.2">
      <c r="A15" s="274" t="s">
        <v>126</v>
      </c>
      <c r="B15" s="6" t="s">
        <v>383</v>
      </c>
      <c r="C15" s="726">
        <v>4192000</v>
      </c>
    </row>
    <row r="16" spans="1:3" s="225" customFormat="1" ht="12" customHeight="1" x14ac:dyDescent="0.2">
      <c r="A16" s="274" t="s">
        <v>136</v>
      </c>
      <c r="B16" s="7" t="s">
        <v>264</v>
      </c>
      <c r="C16" s="727">
        <v>10000</v>
      </c>
    </row>
    <row r="17" spans="1:3" s="282" customFormat="1" ht="12" customHeight="1" x14ac:dyDescent="0.2">
      <c r="A17" s="274" t="s">
        <v>137</v>
      </c>
      <c r="B17" s="7" t="s">
        <v>265</v>
      </c>
      <c r="C17" s="726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728"/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/>
    </row>
    <row r="24" spans="1:3" s="282" customFormat="1" ht="12" customHeight="1" thickBot="1" x14ac:dyDescent="0.25">
      <c r="A24" s="274" t="s">
        <v>130</v>
      </c>
      <c r="B24" s="7" t="s">
        <v>616</v>
      </c>
      <c r="C24" s="726"/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724">
        <f>+C27+C28</f>
        <v>0</v>
      </c>
    </row>
    <row r="27" spans="1:3" s="282" customFormat="1" ht="12" customHeight="1" x14ac:dyDescent="0.2">
      <c r="A27" s="275" t="s">
        <v>244</v>
      </c>
      <c r="B27" s="276" t="s">
        <v>385</v>
      </c>
      <c r="C27" s="730"/>
    </row>
    <row r="28" spans="1:3" s="282" customFormat="1" ht="12" customHeight="1" x14ac:dyDescent="0.2">
      <c r="A28" s="275" t="s">
        <v>247</v>
      </c>
      <c r="B28" s="277" t="s">
        <v>387</v>
      </c>
      <c r="C28" s="731"/>
    </row>
    <row r="29" spans="1:3" s="282" customFormat="1" ht="12" customHeight="1" thickBot="1" x14ac:dyDescent="0.25">
      <c r="A29" s="274" t="s">
        <v>248</v>
      </c>
      <c r="B29" s="87" t="s">
        <v>618</v>
      </c>
      <c r="C29" s="732"/>
    </row>
    <row r="30" spans="1:3" s="282" customFormat="1" ht="12" customHeight="1" thickBot="1" x14ac:dyDescent="0.25">
      <c r="A30" s="99" t="s">
        <v>49</v>
      </c>
      <c r="B30" s="84" t="s">
        <v>388</v>
      </c>
      <c r="C30" s="724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730"/>
    </row>
    <row r="32" spans="1:3" s="282" customFormat="1" ht="12" customHeight="1" x14ac:dyDescent="0.2">
      <c r="A32" s="275" t="s">
        <v>115</v>
      </c>
      <c r="B32" s="277" t="s">
        <v>272</v>
      </c>
      <c r="C32" s="731"/>
    </row>
    <row r="33" spans="1:3" s="282" customFormat="1" ht="12" customHeight="1" thickBot="1" x14ac:dyDescent="0.25">
      <c r="A33" s="274" t="s">
        <v>116</v>
      </c>
      <c r="B33" s="87" t="s">
        <v>273</v>
      </c>
      <c r="C33" s="732"/>
    </row>
    <row r="34" spans="1:3" s="225" customFormat="1" ht="12" customHeight="1" thickBot="1" x14ac:dyDescent="0.25">
      <c r="A34" s="99" t="s">
        <v>50</v>
      </c>
      <c r="B34" s="84" t="s">
        <v>359</v>
      </c>
      <c r="C34" s="729">
        <v>80000</v>
      </c>
    </row>
    <row r="35" spans="1:3" s="225" customFormat="1" ht="12" customHeight="1" thickBot="1" x14ac:dyDescent="0.25">
      <c r="A35" s="99" t="s">
        <v>51</v>
      </c>
      <c r="B35" s="84" t="s">
        <v>389</v>
      </c>
      <c r="C35" s="733"/>
    </row>
    <row r="36" spans="1:3" s="225" customFormat="1" ht="12" customHeight="1" thickBot="1" x14ac:dyDescent="0.25">
      <c r="A36" s="96" t="s">
        <v>52</v>
      </c>
      <c r="B36" s="84" t="s">
        <v>619</v>
      </c>
      <c r="C36" s="734">
        <f>+C8+C20+C25+C26+C30+C34+C35</f>
        <v>12929854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734">
        <f>+C38+C39+C40</f>
        <v>281939112</v>
      </c>
    </row>
    <row r="38" spans="1:3" s="225" customFormat="1" ht="12" customHeight="1" x14ac:dyDescent="0.2">
      <c r="A38" s="275" t="s">
        <v>392</v>
      </c>
      <c r="B38" s="276" t="s">
        <v>216</v>
      </c>
      <c r="C38" s="730">
        <v>291569</v>
      </c>
    </row>
    <row r="39" spans="1:3" s="225" customFormat="1" ht="12" customHeight="1" x14ac:dyDescent="0.2">
      <c r="A39" s="275" t="s">
        <v>393</v>
      </c>
      <c r="B39" s="277" t="s">
        <v>35</v>
      </c>
      <c r="C39" s="731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275320023+18952+840344+578000+157000+30000+600000+200000+1156849-80000+190500+1627295+390400+531912+80000+95000-88732</f>
        <v>281647543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17">
        <f>+C36+C37</f>
        <v>294868966</v>
      </c>
    </row>
    <row r="42" spans="1:3" s="282" customFormat="1" ht="15" customHeight="1" x14ac:dyDescent="0.2">
      <c r="A42" s="132"/>
      <c r="B42" s="133"/>
      <c r="C42" s="735"/>
    </row>
    <row r="43" spans="1:3" ht="13.5" thickBot="1" x14ac:dyDescent="0.25">
      <c r="A43" s="134"/>
      <c r="B43" s="135"/>
      <c r="C43" s="736"/>
    </row>
    <row r="44" spans="1:3" s="281" customFormat="1" ht="16.5" customHeight="1" thickBot="1" x14ac:dyDescent="0.25">
      <c r="A44" s="136"/>
      <c r="B44" s="137" t="s">
        <v>85</v>
      </c>
      <c r="C44" s="737"/>
    </row>
    <row r="45" spans="1:3" s="283" customFormat="1" ht="12" customHeight="1" thickBot="1" x14ac:dyDescent="0.25">
      <c r="A45" s="99" t="s">
        <v>45</v>
      </c>
      <c r="B45" s="84" t="s">
        <v>397</v>
      </c>
      <c r="C45" s="815">
        <f>SUM(C46:C50)</f>
        <v>291944391</v>
      </c>
    </row>
    <row r="46" spans="1:3" ht="12" customHeight="1" x14ac:dyDescent="0.2">
      <c r="A46" s="274" t="s">
        <v>121</v>
      </c>
      <c r="B46" s="8" t="s">
        <v>76</v>
      </c>
      <c r="C46" s="816">
        <f>175696049+14952+155200+948237+1653848-80000+444000+80000+236000</f>
        <v>179148286</v>
      </c>
    </row>
    <row r="47" spans="1:3" ht="12" customHeight="1" x14ac:dyDescent="0.2">
      <c r="A47" s="274" t="s">
        <v>122</v>
      </c>
      <c r="B47" s="7" t="s">
        <v>187</v>
      </c>
      <c r="C47" s="817">
        <f>41986053+4000+34144+208612+363847+87912+187768</f>
        <v>42872336</v>
      </c>
    </row>
    <row r="48" spans="1:3" ht="12" customHeight="1" x14ac:dyDescent="0.2">
      <c r="A48" s="274" t="s">
        <v>123</v>
      </c>
      <c r="B48" s="7" t="s">
        <v>157</v>
      </c>
      <c r="C48" s="817">
        <f>68610269+651000+30000+190500+889000+80000-527000</f>
        <v>69923769</v>
      </c>
    </row>
    <row r="49" spans="1:3" ht="12" customHeight="1" x14ac:dyDescent="0.2">
      <c r="A49" s="274" t="s">
        <v>124</v>
      </c>
      <c r="B49" s="7" t="s">
        <v>188</v>
      </c>
      <c r="C49" s="52"/>
    </row>
    <row r="50" spans="1:3" ht="12" customHeight="1" thickBot="1" x14ac:dyDescent="0.25">
      <c r="A50" s="274" t="s">
        <v>164</v>
      </c>
      <c r="B50" s="7" t="s">
        <v>189</v>
      </c>
      <c r="C50" s="52"/>
    </row>
    <row r="51" spans="1:3" ht="12" customHeight="1" thickBot="1" x14ac:dyDescent="0.25">
      <c r="A51" s="99" t="s">
        <v>46</v>
      </c>
      <c r="B51" s="84" t="s">
        <v>398</v>
      </c>
      <c r="C51" s="174">
        <f>SUM(C52:C54)</f>
        <v>2924575</v>
      </c>
    </row>
    <row r="52" spans="1:3" s="283" customFormat="1" ht="12" customHeight="1" x14ac:dyDescent="0.2">
      <c r="A52" s="274" t="s">
        <v>127</v>
      </c>
      <c r="B52" s="8" t="s">
        <v>207</v>
      </c>
      <c r="C52" s="811">
        <f>1280075+95000+14500</f>
        <v>1389575</v>
      </c>
    </row>
    <row r="53" spans="1:3" ht="12" customHeight="1" x14ac:dyDescent="0.2">
      <c r="A53" s="274" t="s">
        <v>128</v>
      </c>
      <c r="B53" s="7" t="s">
        <v>191</v>
      </c>
      <c r="C53" s="52">
        <f>578000+157000+600000+200000</f>
        <v>1535000</v>
      </c>
    </row>
    <row r="54" spans="1:3" ht="12" customHeight="1" x14ac:dyDescent="0.2">
      <c r="A54" s="274" t="s">
        <v>129</v>
      </c>
      <c r="B54" s="7" t="s">
        <v>86</v>
      </c>
      <c r="C54" s="52"/>
    </row>
    <row r="55" spans="1:3" ht="12" customHeight="1" thickBot="1" x14ac:dyDescent="0.25">
      <c r="A55" s="274" t="s">
        <v>130</v>
      </c>
      <c r="B55" s="7" t="s">
        <v>610</v>
      </c>
      <c r="C55" s="52"/>
    </row>
    <row r="56" spans="1:3" ht="15" customHeight="1" thickBot="1" x14ac:dyDescent="0.25">
      <c r="A56" s="99" t="s">
        <v>47</v>
      </c>
      <c r="B56" s="84" t="s">
        <v>39</v>
      </c>
      <c r="C56" s="199"/>
    </row>
    <row r="57" spans="1:3" ht="13.5" thickBot="1" x14ac:dyDescent="0.25">
      <c r="A57" s="99" t="s">
        <v>48</v>
      </c>
      <c r="B57" s="138" t="s">
        <v>611</v>
      </c>
      <c r="C57" s="174">
        <f>+C45+C51+C56</f>
        <v>294868966</v>
      </c>
    </row>
    <row r="58" spans="1:3" ht="15" customHeight="1" thickBot="1" x14ac:dyDescent="0.25">
      <c r="C58" s="738"/>
    </row>
    <row r="59" spans="1:3" ht="14.25" customHeight="1" thickBot="1" x14ac:dyDescent="0.25">
      <c r="A59" s="141" t="s">
        <v>603</v>
      </c>
      <c r="B59" s="142"/>
      <c r="C59" s="739">
        <v>54</v>
      </c>
    </row>
    <row r="60" spans="1:3" ht="13.5" thickBot="1" x14ac:dyDescent="0.25">
      <c r="A60" s="141" t="s">
        <v>203</v>
      </c>
      <c r="B60" s="142"/>
      <c r="C60" s="73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&amp;R14. melléklet a 30/2017.(XI.30.)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3.75" customHeight="1" x14ac:dyDescent="0.2">
      <c r="A2" s="236" t="s">
        <v>201</v>
      </c>
      <c r="B2" s="209" t="s">
        <v>450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399</v>
      </c>
      <c r="C3" s="719" t="s">
        <v>88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12849854</v>
      </c>
    </row>
    <row r="9" spans="1:3" s="225" customFormat="1" ht="12" customHeight="1" x14ac:dyDescent="0.2">
      <c r="A9" s="273" t="s">
        <v>121</v>
      </c>
      <c r="B9" s="9" t="s">
        <v>257</v>
      </c>
      <c r="C9" s="725"/>
    </row>
    <row r="10" spans="1:3" s="225" customFormat="1" ht="12" customHeight="1" x14ac:dyDescent="0.2">
      <c r="A10" s="274" t="s">
        <v>122</v>
      </c>
      <c r="B10" s="7" t="s">
        <v>258</v>
      </c>
      <c r="C10" s="813">
        <f>600000+586534</f>
        <v>1186534</v>
      </c>
    </row>
    <row r="11" spans="1:3" s="225" customFormat="1" ht="12" customHeight="1" x14ac:dyDescent="0.2">
      <c r="A11" s="274" t="s">
        <v>123</v>
      </c>
      <c r="B11" s="7" t="s">
        <v>259</v>
      </c>
      <c r="C11" s="726">
        <v>4800000</v>
      </c>
    </row>
    <row r="12" spans="1:3" s="225" customFormat="1" ht="12" customHeight="1" x14ac:dyDescent="0.2">
      <c r="A12" s="274" t="s">
        <v>124</v>
      </c>
      <c r="B12" s="7" t="s">
        <v>260</v>
      </c>
      <c r="C12" s="726">
        <v>0</v>
      </c>
    </row>
    <row r="13" spans="1:3" s="225" customFormat="1" ht="12" customHeight="1" x14ac:dyDescent="0.2">
      <c r="A13" s="274" t="s">
        <v>164</v>
      </c>
      <c r="B13" s="7" t="s">
        <v>261</v>
      </c>
      <c r="C13" s="813">
        <f>1409334-586534</f>
        <v>822800</v>
      </c>
    </row>
    <row r="14" spans="1:3" s="225" customFormat="1" ht="12" customHeight="1" x14ac:dyDescent="0.2">
      <c r="A14" s="274" t="s">
        <v>125</v>
      </c>
      <c r="B14" s="7" t="s">
        <v>382</v>
      </c>
      <c r="C14" s="726">
        <v>1838520</v>
      </c>
    </row>
    <row r="15" spans="1:3" s="225" customFormat="1" ht="12" customHeight="1" x14ac:dyDescent="0.2">
      <c r="A15" s="274" t="s">
        <v>126</v>
      </c>
      <c r="B15" s="6" t="s">
        <v>383</v>
      </c>
      <c r="C15" s="726">
        <v>4192000</v>
      </c>
    </row>
    <row r="16" spans="1:3" s="225" customFormat="1" ht="12" customHeight="1" x14ac:dyDescent="0.2">
      <c r="A16" s="274" t="s">
        <v>136</v>
      </c>
      <c r="B16" s="7" t="s">
        <v>264</v>
      </c>
      <c r="C16" s="726">
        <v>10000</v>
      </c>
    </row>
    <row r="17" spans="1:3" s="282" customFormat="1" ht="12" customHeight="1" x14ac:dyDescent="0.2">
      <c r="A17" s="274" t="s">
        <v>137</v>
      </c>
      <c r="B17" s="7" t="s">
        <v>265</v>
      </c>
      <c r="C17" s="726">
        <v>0</v>
      </c>
    </row>
    <row r="18" spans="1:3" s="282" customFormat="1" ht="12" customHeight="1" x14ac:dyDescent="0.2">
      <c r="A18" s="274" t="s">
        <v>138</v>
      </c>
      <c r="B18" s="7" t="s">
        <v>533</v>
      </c>
      <c r="C18" s="726">
        <v>0</v>
      </c>
    </row>
    <row r="19" spans="1:3" s="282" customFormat="1" ht="12" customHeight="1" thickBot="1" x14ac:dyDescent="0.25">
      <c r="A19" s="274" t="s">
        <v>139</v>
      </c>
      <c r="B19" s="6" t="s">
        <v>266</v>
      </c>
      <c r="C19" s="728"/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/>
    </row>
    <row r="24" spans="1:3" s="282" customFormat="1" ht="12" customHeight="1" thickBot="1" x14ac:dyDescent="0.25">
      <c r="A24" s="274" t="s">
        <v>130</v>
      </c>
      <c r="B24" s="7" t="s">
        <v>616</v>
      </c>
      <c r="C24" s="726"/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724">
        <f>+C27+C28</f>
        <v>0</v>
      </c>
    </row>
    <row r="27" spans="1:3" s="282" customFormat="1" ht="12" customHeight="1" x14ac:dyDescent="0.2">
      <c r="A27" s="275" t="s">
        <v>244</v>
      </c>
      <c r="B27" s="276" t="s">
        <v>385</v>
      </c>
      <c r="C27" s="730"/>
    </row>
    <row r="28" spans="1:3" s="282" customFormat="1" ht="12" customHeight="1" x14ac:dyDescent="0.2">
      <c r="A28" s="275" t="s">
        <v>247</v>
      </c>
      <c r="B28" s="277" t="s">
        <v>387</v>
      </c>
      <c r="C28" s="731"/>
    </row>
    <row r="29" spans="1:3" s="282" customFormat="1" ht="12" customHeight="1" thickBot="1" x14ac:dyDescent="0.25">
      <c r="A29" s="274" t="s">
        <v>248</v>
      </c>
      <c r="B29" s="87" t="s">
        <v>618</v>
      </c>
      <c r="C29" s="732"/>
    </row>
    <row r="30" spans="1:3" s="282" customFormat="1" ht="12" customHeight="1" thickBot="1" x14ac:dyDescent="0.25">
      <c r="A30" s="99" t="s">
        <v>49</v>
      </c>
      <c r="B30" s="84" t="s">
        <v>388</v>
      </c>
      <c r="C30" s="724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730"/>
    </row>
    <row r="32" spans="1:3" s="282" customFormat="1" ht="12" customHeight="1" x14ac:dyDescent="0.2">
      <c r="A32" s="275" t="s">
        <v>115</v>
      </c>
      <c r="B32" s="277" t="s">
        <v>272</v>
      </c>
      <c r="C32" s="731"/>
    </row>
    <row r="33" spans="1:3" s="282" customFormat="1" ht="12" customHeight="1" thickBot="1" x14ac:dyDescent="0.25">
      <c r="A33" s="274" t="s">
        <v>116</v>
      </c>
      <c r="B33" s="87" t="s">
        <v>273</v>
      </c>
      <c r="C33" s="732"/>
    </row>
    <row r="34" spans="1:3" s="225" customFormat="1" ht="12" customHeight="1" thickBot="1" x14ac:dyDescent="0.25">
      <c r="A34" s="99" t="s">
        <v>50</v>
      </c>
      <c r="B34" s="84" t="s">
        <v>359</v>
      </c>
      <c r="C34" s="726">
        <v>80000</v>
      </c>
    </row>
    <row r="35" spans="1:3" s="225" customFormat="1" ht="12" customHeight="1" thickBot="1" x14ac:dyDescent="0.25">
      <c r="A35" s="99" t="s">
        <v>51</v>
      </c>
      <c r="B35" s="84" t="s">
        <v>389</v>
      </c>
      <c r="C35" s="733"/>
    </row>
    <row r="36" spans="1:3" s="225" customFormat="1" ht="12" customHeight="1" thickBot="1" x14ac:dyDescent="0.25">
      <c r="A36" s="96" t="s">
        <v>52</v>
      </c>
      <c r="B36" s="84" t="s">
        <v>619</v>
      </c>
      <c r="C36" s="734">
        <f>+C8+C20+C25+C26+C30+C34+C35</f>
        <v>12929854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734">
        <f>+C38+C39+C40</f>
        <v>281939112</v>
      </c>
    </row>
    <row r="38" spans="1:3" s="225" customFormat="1" ht="12" customHeight="1" x14ac:dyDescent="0.2">
      <c r="A38" s="275" t="s">
        <v>392</v>
      </c>
      <c r="B38" s="276" t="s">
        <v>216</v>
      </c>
      <c r="C38" s="730">
        <v>291569</v>
      </c>
    </row>
    <row r="39" spans="1:3" s="225" customFormat="1" ht="12" customHeight="1" x14ac:dyDescent="0.2">
      <c r="A39" s="275" t="s">
        <v>393</v>
      </c>
      <c r="B39" s="277" t="s">
        <v>35</v>
      </c>
      <c r="C39" s="731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275320023+18952+840344+578000+157000+30000+600000+200000+1156849-80000+190500+1627295+390400+531912+80000+95000-88732</f>
        <v>281647543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20">
        <f>+C36+C37</f>
        <v>294868966</v>
      </c>
    </row>
    <row r="42" spans="1:3" s="282" customFormat="1" ht="15" customHeight="1" x14ac:dyDescent="0.2">
      <c r="A42" s="132"/>
      <c r="B42" s="133"/>
      <c r="C42" s="218"/>
    </row>
    <row r="43" spans="1:3" ht="13.5" thickBot="1" x14ac:dyDescent="0.25">
      <c r="A43" s="134"/>
      <c r="B43" s="135"/>
      <c r="C43" s="219"/>
    </row>
    <row r="44" spans="1:3" s="281" customFormat="1" ht="16.5" customHeight="1" thickBot="1" x14ac:dyDescent="0.25">
      <c r="A44" s="136"/>
      <c r="B44" s="137" t="s">
        <v>85</v>
      </c>
      <c r="C44" s="220"/>
    </row>
    <row r="45" spans="1:3" s="283" customFormat="1" ht="12" customHeight="1" thickBot="1" x14ac:dyDescent="0.25">
      <c r="A45" s="99" t="s">
        <v>45</v>
      </c>
      <c r="B45" s="84" t="s">
        <v>397</v>
      </c>
      <c r="C45" s="818">
        <f>SUM(C46:C50)</f>
        <v>291944391</v>
      </c>
    </row>
    <row r="46" spans="1:3" ht="12" customHeight="1" x14ac:dyDescent="0.2">
      <c r="A46" s="274" t="s">
        <v>121</v>
      </c>
      <c r="B46" s="8" t="s">
        <v>76</v>
      </c>
      <c r="C46" s="816">
        <f>175696049+14952+155200+948237+1653848-80000+444000+80000+236000</f>
        <v>179148286</v>
      </c>
    </row>
    <row r="47" spans="1:3" ht="12" customHeight="1" x14ac:dyDescent="0.2">
      <c r="A47" s="274" t="s">
        <v>122</v>
      </c>
      <c r="B47" s="7" t="s">
        <v>187</v>
      </c>
      <c r="C47" s="817">
        <f>41986053+4000+34144+208612+363847+87912+187768</f>
        <v>42872336</v>
      </c>
    </row>
    <row r="48" spans="1:3" ht="12" customHeight="1" x14ac:dyDescent="0.2">
      <c r="A48" s="274" t="s">
        <v>123</v>
      </c>
      <c r="B48" s="7" t="s">
        <v>157</v>
      </c>
      <c r="C48" s="817">
        <f>68610269+651000+30000+190500+889000+80000-527000</f>
        <v>69923769</v>
      </c>
    </row>
    <row r="49" spans="1:3" ht="12" customHeight="1" x14ac:dyDescent="0.2">
      <c r="A49" s="274" t="s">
        <v>124</v>
      </c>
      <c r="B49" s="7" t="s">
        <v>188</v>
      </c>
      <c r="C49" s="172"/>
    </row>
    <row r="50" spans="1:3" ht="12" customHeight="1" thickBot="1" x14ac:dyDescent="0.25">
      <c r="A50" s="274" t="s">
        <v>164</v>
      </c>
      <c r="B50" s="7" t="s">
        <v>189</v>
      </c>
      <c r="C50" s="172"/>
    </row>
    <row r="51" spans="1:3" ht="12" customHeight="1" thickBot="1" x14ac:dyDescent="0.25">
      <c r="A51" s="99" t="s">
        <v>46</v>
      </c>
      <c r="B51" s="84" t="s">
        <v>398</v>
      </c>
      <c r="C51" s="221">
        <f>SUM(C52:C54)</f>
        <v>2924575</v>
      </c>
    </row>
    <row r="52" spans="1:3" s="283" customFormat="1" ht="12" customHeight="1" x14ac:dyDescent="0.2">
      <c r="A52" s="274" t="s">
        <v>127</v>
      </c>
      <c r="B52" s="8" t="s">
        <v>207</v>
      </c>
      <c r="C52" s="781">
        <f>1280075+95000+14500</f>
        <v>1389575</v>
      </c>
    </row>
    <row r="53" spans="1:3" ht="12" customHeight="1" x14ac:dyDescent="0.2">
      <c r="A53" s="274" t="s">
        <v>128</v>
      </c>
      <c r="B53" s="7" t="s">
        <v>191</v>
      </c>
      <c r="C53" s="172">
        <f>578000+157000+600000+200000</f>
        <v>1535000</v>
      </c>
    </row>
    <row r="54" spans="1:3" ht="12" customHeight="1" x14ac:dyDescent="0.2">
      <c r="A54" s="274" t="s">
        <v>129</v>
      </c>
      <c r="B54" s="7" t="s">
        <v>86</v>
      </c>
      <c r="C54" s="172"/>
    </row>
    <row r="55" spans="1:3" ht="12" customHeight="1" thickBot="1" x14ac:dyDescent="0.25">
      <c r="A55" s="274" t="s">
        <v>130</v>
      </c>
      <c r="B55" s="7" t="s">
        <v>610</v>
      </c>
      <c r="C55" s="172"/>
    </row>
    <row r="56" spans="1:3" ht="15" customHeight="1" thickBot="1" x14ac:dyDescent="0.25">
      <c r="A56" s="99" t="s">
        <v>47</v>
      </c>
      <c r="B56" s="84" t="s">
        <v>39</v>
      </c>
      <c r="C56" s="782"/>
    </row>
    <row r="57" spans="1:3" ht="13.5" thickBot="1" x14ac:dyDescent="0.25">
      <c r="A57" s="99" t="s">
        <v>48</v>
      </c>
      <c r="B57" s="138" t="s">
        <v>611</v>
      </c>
      <c r="C57" s="221">
        <f>+C45+C51+C56</f>
        <v>294868966</v>
      </c>
    </row>
    <row r="58" spans="1:3" ht="15" customHeight="1" thickBot="1" x14ac:dyDescent="0.25">
      <c r="C58" s="783"/>
    </row>
    <row r="59" spans="1:3" ht="14.25" customHeight="1" thickBot="1" x14ac:dyDescent="0.25">
      <c r="A59" s="141" t="s">
        <v>603</v>
      </c>
      <c r="B59" s="142"/>
      <c r="C59" s="83">
        <v>54</v>
      </c>
    </row>
    <row r="60" spans="1:3" ht="13.5" thickBot="1" x14ac:dyDescent="0.25">
      <c r="A60" s="141" t="s">
        <v>203</v>
      </c>
      <c r="B60" s="142"/>
      <c r="C60" s="73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&amp;R15. melléklet a 30/2017.(XI.30.)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6" customHeight="1" x14ac:dyDescent="0.2">
      <c r="A2" s="236" t="s">
        <v>201</v>
      </c>
      <c r="B2" s="209" t="s">
        <v>673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381</v>
      </c>
      <c r="C3" s="719" t="s">
        <v>81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15000250</v>
      </c>
    </row>
    <row r="9" spans="1:3" s="225" customFormat="1" ht="12" customHeight="1" x14ac:dyDescent="0.2">
      <c r="A9" s="273" t="s">
        <v>121</v>
      </c>
      <c r="B9" s="9" t="s">
        <v>257</v>
      </c>
      <c r="C9" s="725">
        <f>150000-130000</f>
        <v>20000</v>
      </c>
    </row>
    <row r="10" spans="1:3" s="225" customFormat="1" ht="12" customHeight="1" x14ac:dyDescent="0.2">
      <c r="A10" s="274" t="s">
        <v>122</v>
      </c>
      <c r="B10" s="7" t="s">
        <v>258</v>
      </c>
      <c r="C10" s="726">
        <f>10400000+862205-250000</f>
        <v>11012205</v>
      </c>
    </row>
    <row r="11" spans="1:3" s="225" customFormat="1" ht="12" customHeight="1" x14ac:dyDescent="0.2">
      <c r="A11" s="274" t="s">
        <v>123</v>
      </c>
      <c r="B11" s="7" t="s">
        <v>259</v>
      </c>
      <c r="C11" s="726">
        <v>900000</v>
      </c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726"/>
    </row>
    <row r="14" spans="1:3" s="225" customFormat="1" ht="12" customHeight="1" x14ac:dyDescent="0.2">
      <c r="A14" s="274" t="s">
        <v>125</v>
      </c>
      <c r="B14" s="7" t="s">
        <v>382</v>
      </c>
      <c r="C14" s="726">
        <f>1661250+232795-74000</f>
        <v>1820045</v>
      </c>
    </row>
    <row r="15" spans="1:3" s="225" customFormat="1" ht="12" customHeight="1" x14ac:dyDescent="0.2">
      <c r="A15" s="274" t="s">
        <v>126</v>
      </c>
      <c r="B15" s="6" t="s">
        <v>383</v>
      </c>
      <c r="C15" s="726">
        <f>2534000-1286000</f>
        <v>1248000</v>
      </c>
    </row>
    <row r="16" spans="1:3" s="225" customFormat="1" ht="12" customHeight="1" x14ac:dyDescent="0.2">
      <c r="A16" s="274" t="s">
        <v>136</v>
      </c>
      <c r="B16" s="7" t="s">
        <v>264</v>
      </c>
      <c r="C16" s="727"/>
    </row>
    <row r="17" spans="1:3" s="282" customFormat="1" ht="12" customHeight="1" x14ac:dyDescent="0.2">
      <c r="A17" s="274" t="s">
        <v>137</v>
      </c>
      <c r="B17" s="7" t="s">
        <v>265</v>
      </c>
      <c r="C17" s="726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728"/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/>
    </row>
    <row r="24" spans="1:3" s="282" customFormat="1" ht="12" customHeight="1" thickBot="1" x14ac:dyDescent="0.25">
      <c r="A24" s="274" t="s">
        <v>130</v>
      </c>
      <c r="B24" s="7" t="s">
        <v>616</v>
      </c>
      <c r="C24" s="726"/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174">
        <f>+C27+C28</f>
        <v>263590</v>
      </c>
    </row>
    <row r="27" spans="1:3" s="282" customFormat="1" ht="12" customHeight="1" x14ac:dyDescent="0.2">
      <c r="A27" s="275" t="s">
        <v>244</v>
      </c>
      <c r="B27" s="276" t="s">
        <v>385</v>
      </c>
      <c r="C27" s="50"/>
    </row>
    <row r="28" spans="1:3" s="282" customFormat="1" ht="12" customHeight="1" x14ac:dyDescent="0.2">
      <c r="A28" s="275" t="s">
        <v>247</v>
      </c>
      <c r="B28" s="277" t="s">
        <v>387</v>
      </c>
      <c r="C28" s="175">
        <f>123157+140433</f>
        <v>263590</v>
      </c>
    </row>
    <row r="29" spans="1:3" s="282" customFormat="1" ht="12" customHeight="1" thickBot="1" x14ac:dyDescent="0.25">
      <c r="A29" s="274" t="s">
        <v>248</v>
      </c>
      <c r="B29" s="87" t="s">
        <v>618</v>
      </c>
      <c r="C29" s="53"/>
    </row>
    <row r="30" spans="1:3" s="282" customFormat="1" ht="12" customHeight="1" thickBot="1" x14ac:dyDescent="0.25">
      <c r="A30" s="99" t="s">
        <v>49</v>
      </c>
      <c r="B30" s="84" t="s">
        <v>388</v>
      </c>
      <c r="C30" s="174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50"/>
    </row>
    <row r="32" spans="1:3" s="282" customFormat="1" ht="12" customHeight="1" x14ac:dyDescent="0.2">
      <c r="A32" s="275" t="s">
        <v>115</v>
      </c>
      <c r="B32" s="277" t="s">
        <v>272</v>
      </c>
      <c r="C32" s="175"/>
    </row>
    <row r="33" spans="1:3" s="282" customFormat="1" ht="12" customHeight="1" thickBot="1" x14ac:dyDescent="0.25">
      <c r="A33" s="274" t="s">
        <v>116</v>
      </c>
      <c r="B33" s="87" t="s">
        <v>273</v>
      </c>
      <c r="C33" s="53"/>
    </row>
    <row r="34" spans="1:3" s="225" customFormat="1" ht="12" customHeight="1" thickBot="1" x14ac:dyDescent="0.25">
      <c r="A34" s="99" t="s">
        <v>50</v>
      </c>
      <c r="B34" s="84" t="s">
        <v>359</v>
      </c>
      <c r="C34" s="199"/>
    </row>
    <row r="35" spans="1:3" s="225" customFormat="1" ht="12" customHeight="1" thickBot="1" x14ac:dyDescent="0.25">
      <c r="A35" s="99" t="s">
        <v>51</v>
      </c>
      <c r="B35" s="84" t="s">
        <v>389</v>
      </c>
      <c r="C35" s="216"/>
    </row>
    <row r="36" spans="1:3" s="225" customFormat="1" ht="12" customHeight="1" thickBot="1" x14ac:dyDescent="0.25">
      <c r="A36" s="96" t="s">
        <v>52</v>
      </c>
      <c r="B36" s="84" t="s">
        <v>619</v>
      </c>
      <c r="C36" s="217">
        <f>+C8+C20+C25+C26+C30+C34+C35</f>
        <v>15263840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217">
        <f>+C38+C39+C40</f>
        <v>85902524</v>
      </c>
    </row>
    <row r="38" spans="1:3" s="225" customFormat="1" ht="12" customHeight="1" x14ac:dyDescent="0.2">
      <c r="A38" s="275" t="s">
        <v>392</v>
      </c>
      <c r="B38" s="276" t="s">
        <v>216</v>
      </c>
      <c r="C38" s="50">
        <v>178326</v>
      </c>
    </row>
    <row r="39" spans="1:3" s="225" customFormat="1" ht="12" customHeight="1" x14ac:dyDescent="0.2">
      <c r="A39" s="275" t="s">
        <v>393</v>
      </c>
      <c r="B39" s="277" t="s">
        <v>35</v>
      </c>
      <c r="C39" s="175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78947681+800303-184544+80000-1588816+258878+101222+1095000+142726+158136+635000+1238248+1905000+143660+1740000+237204+14500</f>
        <v>85724198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17">
        <f>+C36+C37</f>
        <v>101166364</v>
      </c>
    </row>
    <row r="42" spans="1:3" s="282" customFormat="1" ht="15" customHeight="1" x14ac:dyDescent="0.2">
      <c r="A42" s="132"/>
      <c r="B42" s="133"/>
      <c r="C42" s="784"/>
    </row>
    <row r="43" spans="1:3" ht="13.5" thickBot="1" x14ac:dyDescent="0.25">
      <c r="A43" s="134"/>
      <c r="B43" s="135"/>
      <c r="C43" s="785"/>
    </row>
    <row r="44" spans="1:3" s="281" customFormat="1" ht="16.5" customHeight="1" thickBot="1" x14ac:dyDescent="0.25">
      <c r="A44" s="136"/>
      <c r="B44" s="137" t="s">
        <v>85</v>
      </c>
      <c r="C44" s="217"/>
    </row>
    <row r="45" spans="1:3" s="283" customFormat="1" ht="12" customHeight="1" thickBot="1" x14ac:dyDescent="0.25">
      <c r="A45" s="99" t="s">
        <v>45</v>
      </c>
      <c r="B45" s="84" t="s">
        <v>397</v>
      </c>
      <c r="C45" s="174">
        <f>SUM(C46:C50)</f>
        <v>96725147</v>
      </c>
    </row>
    <row r="46" spans="1:3" ht="12" customHeight="1" x14ac:dyDescent="0.2">
      <c r="A46" s="274" t="s">
        <v>121</v>
      </c>
      <c r="B46" s="8" t="s">
        <v>76</v>
      </c>
      <c r="C46" s="50">
        <f>41027225+658050-382364-1132008-170300+60000+80000+900040+101222+142726+42775+100000-18339</f>
        <v>41409027</v>
      </c>
    </row>
    <row r="47" spans="1:3" ht="12" customHeight="1" x14ac:dyDescent="0.2">
      <c r="A47" s="274" t="s">
        <v>122</v>
      </c>
      <c r="B47" s="7" t="s">
        <v>187</v>
      </c>
      <c r="C47" s="52">
        <f>9482677+142253-84120-249042-37466+11880+39984+177100+24990+43660</f>
        <v>9551916</v>
      </c>
    </row>
    <row r="48" spans="1:3" ht="12" customHeight="1" x14ac:dyDescent="0.2">
      <c r="A48" s="274" t="s">
        <v>123</v>
      </c>
      <c r="B48" s="7" t="s">
        <v>157</v>
      </c>
      <c r="C48" s="817">
        <f>41615701+281940+80000-71880-119984+276738+1035000+158136-95650+635000+1905000+7339-27000+237204-100000-53340</f>
        <v>45764204</v>
      </c>
    </row>
    <row r="49" spans="1:3" ht="12" customHeight="1" x14ac:dyDescent="0.2">
      <c r="A49" s="274" t="s">
        <v>124</v>
      </c>
      <c r="B49" s="7" t="s">
        <v>188</v>
      </c>
      <c r="C49" s="52"/>
    </row>
    <row r="50" spans="1:3" ht="12" customHeight="1" thickBot="1" x14ac:dyDescent="0.25">
      <c r="A50" s="274" t="s">
        <v>164</v>
      </c>
      <c r="B50" s="7" t="s">
        <v>189</v>
      </c>
      <c r="C50" s="52"/>
    </row>
    <row r="51" spans="1:3" ht="12" customHeight="1" thickBot="1" x14ac:dyDescent="0.25">
      <c r="A51" s="99" t="s">
        <v>46</v>
      </c>
      <c r="B51" s="84" t="s">
        <v>398</v>
      </c>
      <c r="C51" s="174">
        <f>SUM(C52:C54)</f>
        <v>4441217</v>
      </c>
    </row>
    <row r="52" spans="1:3" s="283" customFormat="1" ht="12" customHeight="1" x14ac:dyDescent="0.2">
      <c r="A52" s="274" t="s">
        <v>127</v>
      </c>
      <c r="B52" s="8" t="s">
        <v>207</v>
      </c>
      <c r="C52" s="811">
        <f>2645654+60000+151042+1238248+11000+167433+100000+14500+53340</f>
        <v>4441217</v>
      </c>
    </row>
    <row r="53" spans="1:3" ht="12" customHeight="1" x14ac:dyDescent="0.2">
      <c r="A53" s="274" t="s">
        <v>128</v>
      </c>
      <c r="B53" s="7" t="s">
        <v>191</v>
      </c>
      <c r="C53" s="52"/>
    </row>
    <row r="54" spans="1:3" ht="12" customHeight="1" x14ac:dyDescent="0.2">
      <c r="A54" s="274" t="s">
        <v>129</v>
      </c>
      <c r="B54" s="7" t="s">
        <v>86</v>
      </c>
      <c r="C54" s="52"/>
    </row>
    <row r="55" spans="1:3" ht="12" customHeight="1" thickBot="1" x14ac:dyDescent="0.25">
      <c r="A55" s="274" t="s">
        <v>130</v>
      </c>
      <c r="B55" s="7" t="s">
        <v>610</v>
      </c>
      <c r="C55" s="52"/>
    </row>
    <row r="56" spans="1:3" ht="15" customHeight="1" thickBot="1" x14ac:dyDescent="0.25">
      <c r="A56" s="99" t="s">
        <v>47</v>
      </c>
      <c r="B56" s="84" t="s">
        <v>39</v>
      </c>
      <c r="C56" s="199"/>
    </row>
    <row r="57" spans="1:3" ht="13.5" thickBot="1" x14ac:dyDescent="0.25">
      <c r="A57" s="99" t="s">
        <v>48</v>
      </c>
      <c r="B57" s="138" t="s">
        <v>611</v>
      </c>
      <c r="C57" s="174">
        <f>+C45+C51+C56</f>
        <v>101166364</v>
      </c>
    </row>
    <row r="58" spans="1:3" ht="15" customHeight="1" thickBot="1" x14ac:dyDescent="0.25">
      <c r="C58" s="618"/>
    </row>
    <row r="59" spans="1:3" ht="14.25" customHeight="1" thickBot="1" x14ac:dyDescent="0.25">
      <c r="A59" s="141" t="s">
        <v>603</v>
      </c>
      <c r="B59" s="142"/>
      <c r="C59" s="741">
        <v>16.75</v>
      </c>
    </row>
    <row r="60" spans="1:3" ht="13.5" thickBot="1" x14ac:dyDescent="0.25">
      <c r="A60" s="141" t="s">
        <v>203</v>
      </c>
      <c r="B60" s="142"/>
      <c r="C60" s="7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&amp;R16. melléklet  a 30/2017.(XI.30.)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3" customHeight="1" x14ac:dyDescent="0.2">
      <c r="A2" s="236" t="s">
        <v>201</v>
      </c>
      <c r="B2" s="209" t="s">
        <v>673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399</v>
      </c>
      <c r="C3" s="719" t="s">
        <v>88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13905250</v>
      </c>
    </row>
    <row r="9" spans="1:3" s="225" customFormat="1" ht="12" customHeight="1" x14ac:dyDescent="0.2">
      <c r="A9" s="273" t="s">
        <v>121</v>
      </c>
      <c r="B9" s="9" t="s">
        <v>257</v>
      </c>
      <c r="C9" s="725">
        <f>150000-130000</f>
        <v>20000</v>
      </c>
    </row>
    <row r="10" spans="1:3" s="225" customFormat="1" ht="12" customHeight="1" x14ac:dyDescent="0.2">
      <c r="A10" s="274" t="s">
        <v>122</v>
      </c>
      <c r="B10" s="7" t="s">
        <v>258</v>
      </c>
      <c r="C10" s="726">
        <f>10400000-250000</f>
        <v>10150000</v>
      </c>
    </row>
    <row r="11" spans="1:3" s="225" customFormat="1" ht="12" customHeight="1" x14ac:dyDescent="0.2">
      <c r="A11" s="274" t="s">
        <v>123</v>
      </c>
      <c r="B11" s="7" t="s">
        <v>259</v>
      </c>
      <c r="C11" s="726">
        <v>900000</v>
      </c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726"/>
    </row>
    <row r="14" spans="1:3" s="225" customFormat="1" ht="12" customHeight="1" x14ac:dyDescent="0.2">
      <c r="A14" s="274" t="s">
        <v>125</v>
      </c>
      <c r="B14" s="7" t="s">
        <v>382</v>
      </c>
      <c r="C14" s="726">
        <f>1661250-74000</f>
        <v>1587250</v>
      </c>
    </row>
    <row r="15" spans="1:3" s="225" customFormat="1" ht="12" customHeight="1" x14ac:dyDescent="0.2">
      <c r="A15" s="274" t="s">
        <v>126</v>
      </c>
      <c r="B15" s="6" t="s">
        <v>383</v>
      </c>
      <c r="C15" s="726">
        <f>2534000-1286000</f>
        <v>1248000</v>
      </c>
    </row>
    <row r="16" spans="1:3" s="225" customFormat="1" ht="12" customHeight="1" x14ac:dyDescent="0.2">
      <c r="A16" s="274" t="s">
        <v>136</v>
      </c>
      <c r="B16" s="7" t="s">
        <v>264</v>
      </c>
      <c r="C16" s="727"/>
    </row>
    <row r="17" spans="1:3" s="282" customFormat="1" ht="12" customHeight="1" x14ac:dyDescent="0.2">
      <c r="A17" s="274" t="s">
        <v>137</v>
      </c>
      <c r="B17" s="7" t="s">
        <v>265</v>
      </c>
      <c r="C17" s="726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728"/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/>
    </row>
    <row r="24" spans="1:3" s="282" customFormat="1" ht="12" customHeight="1" thickBot="1" x14ac:dyDescent="0.25">
      <c r="A24" s="274" t="s">
        <v>130</v>
      </c>
      <c r="B24" s="7" t="s">
        <v>616</v>
      </c>
      <c r="C24" s="726"/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174">
        <f>+C27+C28</f>
        <v>263590</v>
      </c>
    </row>
    <row r="27" spans="1:3" s="282" customFormat="1" ht="12" customHeight="1" x14ac:dyDescent="0.2">
      <c r="A27" s="275" t="s">
        <v>244</v>
      </c>
      <c r="B27" s="276" t="s">
        <v>385</v>
      </c>
      <c r="C27" s="50"/>
    </row>
    <row r="28" spans="1:3" s="282" customFormat="1" ht="12" customHeight="1" x14ac:dyDescent="0.2">
      <c r="A28" s="275" t="s">
        <v>247</v>
      </c>
      <c r="B28" s="277" t="s">
        <v>387</v>
      </c>
      <c r="C28" s="175">
        <f>123157+140433</f>
        <v>263590</v>
      </c>
    </row>
    <row r="29" spans="1:3" s="282" customFormat="1" ht="12" customHeight="1" thickBot="1" x14ac:dyDescent="0.25">
      <c r="A29" s="274" t="s">
        <v>248</v>
      </c>
      <c r="B29" s="87" t="s">
        <v>618</v>
      </c>
      <c r="C29" s="53"/>
    </row>
    <row r="30" spans="1:3" s="282" customFormat="1" ht="12" customHeight="1" thickBot="1" x14ac:dyDescent="0.25">
      <c r="A30" s="99" t="s">
        <v>49</v>
      </c>
      <c r="B30" s="84" t="s">
        <v>388</v>
      </c>
      <c r="C30" s="174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50"/>
    </row>
    <row r="32" spans="1:3" s="282" customFormat="1" ht="12" customHeight="1" x14ac:dyDescent="0.2">
      <c r="A32" s="275" t="s">
        <v>115</v>
      </c>
      <c r="B32" s="277" t="s">
        <v>272</v>
      </c>
      <c r="C32" s="175"/>
    </row>
    <row r="33" spans="1:3" s="282" customFormat="1" ht="12" customHeight="1" thickBot="1" x14ac:dyDescent="0.25">
      <c r="A33" s="274" t="s">
        <v>116</v>
      </c>
      <c r="B33" s="87" t="s">
        <v>273</v>
      </c>
      <c r="C33" s="53"/>
    </row>
    <row r="34" spans="1:3" s="225" customFormat="1" ht="12" customHeight="1" thickBot="1" x14ac:dyDescent="0.25">
      <c r="A34" s="99" t="s">
        <v>50</v>
      </c>
      <c r="B34" s="84" t="s">
        <v>359</v>
      </c>
      <c r="C34" s="199"/>
    </row>
    <row r="35" spans="1:3" s="225" customFormat="1" ht="12" customHeight="1" thickBot="1" x14ac:dyDescent="0.25">
      <c r="A35" s="99" t="s">
        <v>51</v>
      </c>
      <c r="B35" s="84" t="s">
        <v>389</v>
      </c>
      <c r="C35" s="216"/>
    </row>
    <row r="36" spans="1:3" s="225" customFormat="1" ht="12" customHeight="1" thickBot="1" x14ac:dyDescent="0.25">
      <c r="A36" s="96" t="s">
        <v>52</v>
      </c>
      <c r="B36" s="84" t="s">
        <v>619</v>
      </c>
      <c r="C36" s="217">
        <f>+C8+C20+C25+C26+C30+C34+C35</f>
        <v>14168840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217">
        <f>+C38+C39+C40</f>
        <v>85902524</v>
      </c>
    </row>
    <row r="38" spans="1:3" s="225" customFormat="1" ht="12" customHeight="1" x14ac:dyDescent="0.2">
      <c r="A38" s="275" t="s">
        <v>392</v>
      </c>
      <c r="B38" s="276" t="s">
        <v>216</v>
      </c>
      <c r="C38" s="50">
        <v>178326</v>
      </c>
    </row>
    <row r="39" spans="1:3" s="225" customFormat="1" ht="12" customHeight="1" x14ac:dyDescent="0.2">
      <c r="A39" s="275" t="s">
        <v>393</v>
      </c>
      <c r="B39" s="277" t="s">
        <v>35</v>
      </c>
      <c r="C39" s="175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78947681+800303-184544+80000-1588816+1353878+101222+142726+158136+635000+1238248+3788660+237204+14500</f>
        <v>85724198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17">
        <f>+C36+C37</f>
        <v>100071364</v>
      </c>
    </row>
    <row r="42" spans="1:3" s="282" customFormat="1" ht="15" customHeight="1" x14ac:dyDescent="0.2">
      <c r="A42" s="132"/>
      <c r="B42" s="133"/>
      <c r="C42" s="784"/>
    </row>
    <row r="43" spans="1:3" ht="13.5" thickBot="1" x14ac:dyDescent="0.25">
      <c r="A43" s="134"/>
      <c r="B43" s="135"/>
      <c r="C43" s="785"/>
    </row>
    <row r="44" spans="1:3" s="281" customFormat="1" ht="16.5" customHeight="1" thickBot="1" x14ac:dyDescent="0.25">
      <c r="A44" s="136"/>
      <c r="B44" s="137" t="s">
        <v>85</v>
      </c>
      <c r="C44" s="217"/>
    </row>
    <row r="45" spans="1:3" s="283" customFormat="1" ht="12" customHeight="1" thickBot="1" x14ac:dyDescent="0.25">
      <c r="A45" s="99" t="s">
        <v>45</v>
      </c>
      <c r="B45" s="84" t="s">
        <v>397</v>
      </c>
      <c r="C45" s="174">
        <f>SUM(C46:C50)</f>
        <v>95690147</v>
      </c>
    </row>
    <row r="46" spans="1:3" ht="12" customHeight="1" x14ac:dyDescent="0.2">
      <c r="A46" s="274" t="s">
        <v>121</v>
      </c>
      <c r="B46" s="8" t="s">
        <v>76</v>
      </c>
      <c r="C46" s="50">
        <f>41027225+658050-382364-1132008-170300+60000+80000+900040+101222+142726+42775+100000-18339</f>
        <v>41409027</v>
      </c>
    </row>
    <row r="47" spans="1:3" ht="12" customHeight="1" x14ac:dyDescent="0.2">
      <c r="A47" s="274" t="s">
        <v>122</v>
      </c>
      <c r="B47" s="7" t="s">
        <v>187</v>
      </c>
      <c r="C47" s="52">
        <f>9482677+142253-84120-249042-37466+11880+39984+177100+24990+43660</f>
        <v>9551916</v>
      </c>
    </row>
    <row r="48" spans="1:3" ht="12" customHeight="1" x14ac:dyDescent="0.2">
      <c r="A48" s="274" t="s">
        <v>123</v>
      </c>
      <c r="B48" s="7" t="s">
        <v>157</v>
      </c>
      <c r="C48" s="817">
        <f>41615701+281940+80000-71880-119984+276738+158136-95650+635000+1905000+7339+237204-27000-100000-53340</f>
        <v>44729204</v>
      </c>
    </row>
    <row r="49" spans="1:3" ht="12" customHeight="1" x14ac:dyDescent="0.2">
      <c r="A49" s="274" t="s">
        <v>124</v>
      </c>
      <c r="B49" s="7" t="s">
        <v>188</v>
      </c>
      <c r="C49" s="52"/>
    </row>
    <row r="50" spans="1:3" ht="12" customHeight="1" thickBot="1" x14ac:dyDescent="0.25">
      <c r="A50" s="274" t="s">
        <v>164</v>
      </c>
      <c r="B50" s="7" t="s">
        <v>189</v>
      </c>
      <c r="C50" s="52"/>
    </row>
    <row r="51" spans="1:3" ht="12" customHeight="1" thickBot="1" x14ac:dyDescent="0.25">
      <c r="A51" s="99" t="s">
        <v>46</v>
      </c>
      <c r="B51" s="84" t="s">
        <v>398</v>
      </c>
      <c r="C51" s="174">
        <f>SUM(C52:C54)</f>
        <v>4381217</v>
      </c>
    </row>
    <row r="52" spans="1:3" s="283" customFormat="1" ht="12" customHeight="1" x14ac:dyDescent="0.2">
      <c r="A52" s="274" t="s">
        <v>127</v>
      </c>
      <c r="B52" s="8" t="s">
        <v>207</v>
      </c>
      <c r="C52" s="811">
        <f>2645654+151042+1238248+11000+167433+100000+14500+53340</f>
        <v>4381217</v>
      </c>
    </row>
    <row r="53" spans="1:3" ht="12" customHeight="1" x14ac:dyDescent="0.2">
      <c r="A53" s="274" t="s">
        <v>128</v>
      </c>
      <c r="B53" s="7" t="s">
        <v>191</v>
      </c>
      <c r="C53" s="52"/>
    </row>
    <row r="54" spans="1:3" ht="12" customHeight="1" x14ac:dyDescent="0.2">
      <c r="A54" s="274" t="s">
        <v>129</v>
      </c>
      <c r="B54" s="7" t="s">
        <v>86</v>
      </c>
      <c r="C54" s="52"/>
    </row>
    <row r="55" spans="1:3" ht="12" customHeight="1" thickBot="1" x14ac:dyDescent="0.25">
      <c r="A55" s="274" t="s">
        <v>130</v>
      </c>
      <c r="B55" s="7" t="s">
        <v>610</v>
      </c>
      <c r="C55" s="52"/>
    </row>
    <row r="56" spans="1:3" ht="15" customHeight="1" thickBot="1" x14ac:dyDescent="0.25">
      <c r="A56" s="99" t="s">
        <v>47</v>
      </c>
      <c r="B56" s="84" t="s">
        <v>39</v>
      </c>
      <c r="C56" s="199"/>
    </row>
    <row r="57" spans="1:3" ht="13.5" thickBot="1" x14ac:dyDescent="0.25">
      <c r="A57" s="99" t="s">
        <v>48</v>
      </c>
      <c r="B57" s="138" t="s">
        <v>611</v>
      </c>
      <c r="C57" s="174">
        <f>+C45+C51+C56</f>
        <v>100071364</v>
      </c>
    </row>
    <row r="58" spans="1:3" ht="15" customHeight="1" thickBot="1" x14ac:dyDescent="0.25">
      <c r="C58" s="738"/>
    </row>
    <row r="59" spans="1:3" ht="14.25" customHeight="1" thickBot="1" x14ac:dyDescent="0.25">
      <c r="A59" s="141" t="s">
        <v>603</v>
      </c>
      <c r="B59" s="142"/>
      <c r="C59" s="742">
        <v>16.75</v>
      </c>
    </row>
    <row r="60" spans="1:3" ht="13.5" thickBot="1" x14ac:dyDescent="0.25">
      <c r="A60" s="141" t="s">
        <v>203</v>
      </c>
      <c r="B60" s="142"/>
      <c r="C60" s="7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30/2017.(XI.30.)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1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6" customHeight="1" x14ac:dyDescent="0.2">
      <c r="A2" s="236" t="s">
        <v>201</v>
      </c>
      <c r="B2" s="209" t="s">
        <v>620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381</v>
      </c>
      <c r="C3" s="719" t="s">
        <v>81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164997804</v>
      </c>
    </row>
    <row r="9" spans="1:3" s="225" customFormat="1" ht="12" customHeight="1" x14ac:dyDescent="0.2">
      <c r="A9" s="273" t="s">
        <v>121</v>
      </c>
      <c r="B9" s="9" t="s">
        <v>257</v>
      </c>
      <c r="C9" s="725">
        <f>222694+52677</f>
        <v>275371</v>
      </c>
    </row>
    <row r="10" spans="1:3" s="225" customFormat="1" ht="12" customHeight="1" x14ac:dyDescent="0.2">
      <c r="A10" s="274" t="s">
        <v>122</v>
      </c>
      <c r="B10" s="7" t="s">
        <v>258</v>
      </c>
      <c r="C10" s="726">
        <f>31214302+33071+3500000</f>
        <v>34747373</v>
      </c>
    </row>
    <row r="11" spans="1:3" s="225" customFormat="1" ht="12" customHeight="1" x14ac:dyDescent="0.2">
      <c r="A11" s="274" t="s">
        <v>123</v>
      </c>
      <c r="B11" s="7" t="s">
        <v>259</v>
      </c>
      <c r="C11" s="726">
        <f>70218340+143307+157480</f>
        <v>70519127</v>
      </c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726">
        <v>20539068</v>
      </c>
    </row>
    <row r="14" spans="1:3" s="225" customFormat="1" ht="12" customHeight="1" x14ac:dyDescent="0.2">
      <c r="A14" s="274" t="s">
        <v>125</v>
      </c>
      <c r="B14" s="7" t="s">
        <v>382</v>
      </c>
      <c r="C14" s="726">
        <f>24504500+8929+38693+14223+42520</f>
        <v>24608865</v>
      </c>
    </row>
    <row r="15" spans="1:3" s="225" customFormat="1" ht="12" customHeight="1" x14ac:dyDescent="0.2">
      <c r="A15" s="274" t="s">
        <v>126</v>
      </c>
      <c r="B15" s="6" t="s">
        <v>383</v>
      </c>
      <c r="C15" s="726">
        <v>14308000</v>
      </c>
    </row>
    <row r="16" spans="1:3" s="225" customFormat="1" ht="12" customHeight="1" x14ac:dyDescent="0.2">
      <c r="A16" s="274" t="s">
        <v>136</v>
      </c>
      <c r="B16" s="7" t="s">
        <v>264</v>
      </c>
      <c r="C16" s="727"/>
    </row>
    <row r="17" spans="1:3" s="282" customFormat="1" ht="12" customHeight="1" x14ac:dyDescent="0.2">
      <c r="A17" s="274" t="s">
        <v>137</v>
      </c>
      <c r="B17" s="7" t="s">
        <v>265</v>
      </c>
      <c r="C17" s="726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728"/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/>
    </row>
    <row r="24" spans="1:3" s="282" customFormat="1" ht="12" customHeight="1" thickBot="1" x14ac:dyDescent="0.25">
      <c r="A24" s="274" t="s">
        <v>130</v>
      </c>
      <c r="B24" s="7" t="s">
        <v>616</v>
      </c>
      <c r="C24" s="726"/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724">
        <f>+C27+C28</f>
        <v>0</v>
      </c>
    </row>
    <row r="27" spans="1:3" s="282" customFormat="1" ht="12" customHeight="1" x14ac:dyDescent="0.2">
      <c r="A27" s="275" t="s">
        <v>244</v>
      </c>
      <c r="B27" s="276" t="s">
        <v>385</v>
      </c>
      <c r="C27" s="730"/>
    </row>
    <row r="28" spans="1:3" s="282" customFormat="1" ht="12" customHeight="1" x14ac:dyDescent="0.2">
      <c r="A28" s="275" t="s">
        <v>247</v>
      </c>
      <c r="B28" s="277" t="s">
        <v>387</v>
      </c>
      <c r="C28" s="731"/>
    </row>
    <row r="29" spans="1:3" s="282" customFormat="1" ht="12" customHeight="1" thickBot="1" x14ac:dyDescent="0.25">
      <c r="A29" s="274" t="s">
        <v>248</v>
      </c>
      <c r="B29" s="87" t="s">
        <v>618</v>
      </c>
      <c r="C29" s="732"/>
    </row>
    <row r="30" spans="1:3" s="282" customFormat="1" ht="12" customHeight="1" thickBot="1" x14ac:dyDescent="0.25">
      <c r="A30" s="99" t="s">
        <v>49</v>
      </c>
      <c r="B30" s="84" t="s">
        <v>388</v>
      </c>
      <c r="C30" s="724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730"/>
    </row>
    <row r="32" spans="1:3" s="282" customFormat="1" ht="12" customHeight="1" x14ac:dyDescent="0.2">
      <c r="A32" s="275" t="s">
        <v>115</v>
      </c>
      <c r="B32" s="277" t="s">
        <v>272</v>
      </c>
      <c r="C32" s="731"/>
    </row>
    <row r="33" spans="1:3" s="282" customFormat="1" ht="12" customHeight="1" thickBot="1" x14ac:dyDescent="0.25">
      <c r="A33" s="274" t="s">
        <v>116</v>
      </c>
      <c r="B33" s="87" t="s">
        <v>273</v>
      </c>
      <c r="C33" s="732"/>
    </row>
    <row r="34" spans="1:3" s="225" customFormat="1" ht="12" customHeight="1" thickBot="1" x14ac:dyDescent="0.25">
      <c r="A34" s="99" t="s">
        <v>50</v>
      </c>
      <c r="B34" s="84" t="s">
        <v>359</v>
      </c>
      <c r="C34" s="729"/>
    </row>
    <row r="35" spans="1:3" s="225" customFormat="1" ht="12" customHeight="1" thickBot="1" x14ac:dyDescent="0.25">
      <c r="A35" s="99" t="s">
        <v>51</v>
      </c>
      <c r="B35" s="84" t="s">
        <v>389</v>
      </c>
      <c r="C35" s="733"/>
    </row>
    <row r="36" spans="1:3" s="225" customFormat="1" ht="12" customHeight="1" thickBot="1" x14ac:dyDescent="0.25">
      <c r="A36" s="96" t="s">
        <v>52</v>
      </c>
      <c r="B36" s="84" t="s">
        <v>619</v>
      </c>
      <c r="C36" s="734">
        <f>+C8+C20+C25+C26+C30+C34+C35</f>
        <v>164997804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734">
        <f>+C38+C39+C40</f>
        <v>167276009</v>
      </c>
    </row>
    <row r="38" spans="1:3" s="225" customFormat="1" ht="12" customHeight="1" x14ac:dyDescent="0.2">
      <c r="A38" s="275" t="s">
        <v>392</v>
      </c>
      <c r="B38" s="276" t="s">
        <v>216</v>
      </c>
      <c r="C38" s="730">
        <v>2265992</v>
      </c>
    </row>
    <row r="39" spans="1:3" s="225" customFormat="1" ht="12" customHeight="1" x14ac:dyDescent="0.2">
      <c r="A39" s="275" t="s">
        <v>393</v>
      </c>
      <c r="B39" s="277" t="s">
        <v>35</v>
      </c>
      <c r="C39" s="731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202169674+215612-34745860-464966+381000-3500000+270367-2749880+133000+1028360+2272710</f>
        <v>165010017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17">
        <f>+C36+C37</f>
        <v>332273813</v>
      </c>
    </row>
    <row r="42" spans="1:3" s="282" customFormat="1" ht="15" customHeight="1" x14ac:dyDescent="0.2">
      <c r="A42" s="132"/>
      <c r="B42" s="133"/>
      <c r="C42" s="784"/>
    </row>
    <row r="43" spans="1:3" ht="13.5" thickBot="1" x14ac:dyDescent="0.25">
      <c r="A43" s="134"/>
      <c r="B43" s="135"/>
      <c r="C43" s="785"/>
    </row>
    <row r="44" spans="1:3" s="281" customFormat="1" ht="16.5" customHeight="1" thickBot="1" x14ac:dyDescent="0.25">
      <c r="A44" s="136"/>
      <c r="B44" s="137" t="s">
        <v>85</v>
      </c>
      <c r="C44" s="217"/>
    </row>
    <row r="45" spans="1:3" s="283" customFormat="1" ht="12" customHeight="1" thickBot="1" x14ac:dyDescent="0.25">
      <c r="A45" s="99" t="s">
        <v>45</v>
      </c>
      <c r="B45" s="84" t="s">
        <v>397</v>
      </c>
      <c r="C45" s="174">
        <f>SUM(C46:C50)</f>
        <v>330014882</v>
      </c>
    </row>
    <row r="46" spans="1:3" ht="12" customHeight="1" x14ac:dyDescent="0.2">
      <c r="A46" s="274" t="s">
        <v>121</v>
      </c>
      <c r="B46" s="8" t="s">
        <v>76</v>
      </c>
      <c r="C46" s="50">
        <f>81034160+181808+112360-15308800+105973+124089-2254000</f>
        <v>63995590</v>
      </c>
    </row>
    <row r="47" spans="1:3" ht="12" customHeight="1" x14ac:dyDescent="0.2">
      <c r="A47" s="274" t="s">
        <v>122</v>
      </c>
      <c r="B47" s="7" t="s">
        <v>187</v>
      </c>
      <c r="C47" s="52">
        <f>20018301+33804+22247-3360936+69499-495880</f>
        <v>16287035</v>
      </c>
    </row>
    <row r="48" spans="1:3" ht="12" customHeight="1" x14ac:dyDescent="0.2">
      <c r="A48" s="274" t="s">
        <v>123</v>
      </c>
      <c r="B48" s="7" t="s">
        <v>157</v>
      </c>
      <c r="C48" s="817">
        <f>262391117-15811124-133428-124245+381000+470367-254000+1028360+1784210</f>
        <v>249732257</v>
      </c>
    </row>
    <row r="49" spans="1:3" ht="12" customHeight="1" x14ac:dyDescent="0.2">
      <c r="A49" s="274" t="s">
        <v>124</v>
      </c>
      <c r="B49" s="7" t="s">
        <v>188</v>
      </c>
      <c r="C49" s="52"/>
    </row>
    <row r="50" spans="1:3" ht="12" customHeight="1" thickBot="1" x14ac:dyDescent="0.25">
      <c r="A50" s="274" t="s">
        <v>164</v>
      </c>
      <c r="B50" s="7" t="s">
        <v>189</v>
      </c>
      <c r="C50" s="52"/>
    </row>
    <row r="51" spans="1:3" ht="12" customHeight="1" thickBot="1" x14ac:dyDescent="0.25">
      <c r="A51" s="99" t="s">
        <v>46</v>
      </c>
      <c r="B51" s="84" t="s">
        <v>398</v>
      </c>
      <c r="C51" s="174">
        <f>SUM(C52:C54)</f>
        <v>2258931</v>
      </c>
    </row>
    <row r="52" spans="1:3" s="283" customFormat="1" ht="12" customHeight="1" x14ac:dyDescent="0.2">
      <c r="A52" s="274" t="s">
        <v>127</v>
      </c>
      <c r="B52" s="8" t="s">
        <v>207</v>
      </c>
      <c r="C52" s="816">
        <f>1276298-265000+66900+133000+254000+488500</f>
        <v>1953698</v>
      </c>
    </row>
    <row r="53" spans="1:3" ht="12" customHeight="1" x14ac:dyDescent="0.2">
      <c r="A53" s="274" t="s">
        <v>128</v>
      </c>
      <c r="B53" s="7" t="s">
        <v>191</v>
      </c>
      <c r="C53" s="52">
        <f>500000-134607-60160</f>
        <v>305233</v>
      </c>
    </row>
    <row r="54" spans="1:3" ht="12" customHeight="1" x14ac:dyDescent="0.2">
      <c r="A54" s="274" t="s">
        <v>129</v>
      </c>
      <c r="B54" s="7" t="s">
        <v>86</v>
      </c>
      <c r="C54" s="52"/>
    </row>
    <row r="55" spans="1:3" ht="12" customHeight="1" thickBot="1" x14ac:dyDescent="0.25">
      <c r="A55" s="274" t="s">
        <v>130</v>
      </c>
      <c r="B55" s="7" t="s">
        <v>610</v>
      </c>
      <c r="C55" s="52"/>
    </row>
    <row r="56" spans="1:3" ht="15" customHeight="1" thickBot="1" x14ac:dyDescent="0.25">
      <c r="A56" s="99" t="s">
        <v>47</v>
      </c>
      <c r="B56" s="84" t="s">
        <v>39</v>
      </c>
      <c r="C56" s="199"/>
    </row>
    <row r="57" spans="1:3" ht="13.5" thickBot="1" x14ac:dyDescent="0.25">
      <c r="A57" s="99" t="s">
        <v>48</v>
      </c>
      <c r="B57" s="138" t="s">
        <v>611</v>
      </c>
      <c r="C57" s="174">
        <f>+C45+C51+C56</f>
        <v>332273813</v>
      </c>
    </row>
    <row r="58" spans="1:3" ht="15" customHeight="1" thickBot="1" x14ac:dyDescent="0.25">
      <c r="C58" s="618"/>
    </row>
    <row r="59" spans="1:3" ht="14.25" customHeight="1" thickBot="1" x14ac:dyDescent="0.25">
      <c r="A59" s="141" t="s">
        <v>603</v>
      </c>
      <c r="B59" s="142"/>
      <c r="C59" s="786">
        <v>25</v>
      </c>
    </row>
    <row r="60" spans="1:3" ht="13.5" thickBot="1" x14ac:dyDescent="0.25">
      <c r="A60" s="141" t="s">
        <v>203</v>
      </c>
      <c r="B60" s="142"/>
      <c r="C60" s="786">
        <v>0</v>
      </c>
    </row>
    <row r="61" spans="1:3" x14ac:dyDescent="0.2">
      <c r="C61" s="61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&amp;R18. melléklet a 30/2017.(XI.30.)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4.5" customHeight="1" x14ac:dyDescent="0.2">
      <c r="A2" s="236" t="s">
        <v>201</v>
      </c>
      <c r="B2" s="209" t="s">
        <v>620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399</v>
      </c>
      <c r="C3" s="719" t="s">
        <v>88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144697158</v>
      </c>
    </row>
    <row r="9" spans="1:3" s="225" customFormat="1" ht="12" customHeight="1" x14ac:dyDescent="0.2">
      <c r="A9" s="273" t="s">
        <v>121</v>
      </c>
      <c r="B9" s="9" t="s">
        <v>257</v>
      </c>
      <c r="C9" s="725">
        <v>222694</v>
      </c>
    </row>
    <row r="10" spans="1:3" s="225" customFormat="1" ht="12" customHeight="1" x14ac:dyDescent="0.2">
      <c r="A10" s="274" t="s">
        <v>122</v>
      </c>
      <c r="B10" s="7" t="s">
        <v>258</v>
      </c>
      <c r="C10" s="726">
        <f>14512306+33071</f>
        <v>14545377</v>
      </c>
    </row>
    <row r="11" spans="1:3" s="225" customFormat="1" ht="12" customHeight="1" x14ac:dyDescent="0.2">
      <c r="A11" s="274" t="s">
        <v>123</v>
      </c>
      <c r="B11" s="7" t="s">
        <v>259</v>
      </c>
      <c r="C11" s="726">
        <f>70193340+143307+157480</f>
        <v>70494127</v>
      </c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726">
        <v>20539068</v>
      </c>
    </row>
    <row r="14" spans="1:3" s="225" customFormat="1" ht="12" customHeight="1" x14ac:dyDescent="0.2">
      <c r="A14" s="274" t="s">
        <v>125</v>
      </c>
      <c r="B14" s="7" t="s">
        <v>382</v>
      </c>
      <c r="C14" s="726">
        <f>24497750+8929+38693+42520</f>
        <v>24587892</v>
      </c>
    </row>
    <row r="15" spans="1:3" s="225" customFormat="1" ht="12" customHeight="1" x14ac:dyDescent="0.2">
      <c r="A15" s="274" t="s">
        <v>126</v>
      </c>
      <c r="B15" s="6" t="s">
        <v>383</v>
      </c>
      <c r="C15" s="726">
        <v>14308000</v>
      </c>
    </row>
    <row r="16" spans="1:3" s="225" customFormat="1" ht="12" customHeight="1" x14ac:dyDescent="0.2">
      <c r="A16" s="274" t="s">
        <v>136</v>
      </c>
      <c r="B16" s="7" t="s">
        <v>264</v>
      </c>
      <c r="C16" s="727"/>
    </row>
    <row r="17" spans="1:3" s="282" customFormat="1" ht="12" customHeight="1" x14ac:dyDescent="0.2">
      <c r="A17" s="274" t="s">
        <v>137</v>
      </c>
      <c r="B17" s="7" t="s">
        <v>265</v>
      </c>
      <c r="C17" s="726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728"/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/>
    </row>
    <row r="24" spans="1:3" s="282" customFormat="1" ht="12" customHeight="1" thickBot="1" x14ac:dyDescent="0.25">
      <c r="A24" s="274" t="s">
        <v>130</v>
      </c>
      <c r="B24" s="7" t="s">
        <v>616</v>
      </c>
      <c r="C24" s="726"/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724">
        <f>+C27+C28</f>
        <v>0</v>
      </c>
    </row>
    <row r="27" spans="1:3" s="282" customFormat="1" ht="12" customHeight="1" x14ac:dyDescent="0.2">
      <c r="A27" s="275" t="s">
        <v>244</v>
      </c>
      <c r="B27" s="276" t="s">
        <v>385</v>
      </c>
      <c r="C27" s="730"/>
    </row>
    <row r="28" spans="1:3" s="282" customFormat="1" ht="12" customHeight="1" x14ac:dyDescent="0.2">
      <c r="A28" s="275" t="s">
        <v>247</v>
      </c>
      <c r="B28" s="277" t="s">
        <v>387</v>
      </c>
      <c r="C28" s="731"/>
    </row>
    <row r="29" spans="1:3" s="282" customFormat="1" ht="12" customHeight="1" thickBot="1" x14ac:dyDescent="0.25">
      <c r="A29" s="274" t="s">
        <v>248</v>
      </c>
      <c r="B29" s="87" t="s">
        <v>618</v>
      </c>
      <c r="C29" s="732"/>
    </row>
    <row r="30" spans="1:3" s="282" customFormat="1" ht="12" customHeight="1" thickBot="1" x14ac:dyDescent="0.25">
      <c r="A30" s="99" t="s">
        <v>49</v>
      </c>
      <c r="B30" s="84" t="s">
        <v>388</v>
      </c>
      <c r="C30" s="724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730"/>
    </row>
    <row r="32" spans="1:3" s="282" customFormat="1" ht="12" customHeight="1" x14ac:dyDescent="0.2">
      <c r="A32" s="275" t="s">
        <v>115</v>
      </c>
      <c r="B32" s="277" t="s">
        <v>272</v>
      </c>
      <c r="C32" s="731"/>
    </row>
    <row r="33" spans="1:3" s="282" customFormat="1" ht="12" customHeight="1" thickBot="1" x14ac:dyDescent="0.25">
      <c r="A33" s="274" t="s">
        <v>116</v>
      </c>
      <c r="B33" s="87" t="s">
        <v>273</v>
      </c>
      <c r="C33" s="732"/>
    </row>
    <row r="34" spans="1:3" s="225" customFormat="1" ht="12" customHeight="1" thickBot="1" x14ac:dyDescent="0.25">
      <c r="A34" s="99" t="s">
        <v>50</v>
      </c>
      <c r="B34" s="84" t="s">
        <v>359</v>
      </c>
      <c r="C34" s="729"/>
    </row>
    <row r="35" spans="1:3" s="225" customFormat="1" ht="12" customHeight="1" thickBot="1" x14ac:dyDescent="0.25">
      <c r="A35" s="99" t="s">
        <v>51</v>
      </c>
      <c r="B35" s="84" t="s">
        <v>389</v>
      </c>
      <c r="C35" s="733"/>
    </row>
    <row r="36" spans="1:3" s="225" customFormat="1" ht="12" customHeight="1" thickBot="1" x14ac:dyDescent="0.25">
      <c r="A36" s="96" t="s">
        <v>52</v>
      </c>
      <c r="B36" s="84" t="s">
        <v>619</v>
      </c>
      <c r="C36" s="217">
        <f>+C8+C20+C25+C26+C30+C34+C35</f>
        <v>144697158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217">
        <f>+C38+C39+C40</f>
        <v>159798371</v>
      </c>
    </row>
    <row r="38" spans="1:3" s="225" customFormat="1" ht="12" customHeight="1" x14ac:dyDescent="0.2">
      <c r="A38" s="275" t="s">
        <v>392</v>
      </c>
      <c r="B38" s="276" t="s">
        <v>216</v>
      </c>
      <c r="C38" s="50">
        <v>2265992</v>
      </c>
    </row>
    <row r="39" spans="1:3" s="225" customFormat="1" ht="12" customHeight="1" x14ac:dyDescent="0.2">
      <c r="A39" s="275" t="s">
        <v>393</v>
      </c>
      <c r="B39" s="277" t="s">
        <v>35</v>
      </c>
      <c r="C39" s="175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192787844+170800-26996-34745860-464966+381000+270367-2749880+133000+1028360+488500+260210</f>
        <v>157532379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17">
        <f>+C36+C37</f>
        <v>304495529</v>
      </c>
    </row>
    <row r="42" spans="1:3" s="282" customFormat="1" ht="15" customHeight="1" x14ac:dyDescent="0.2">
      <c r="A42" s="132"/>
      <c r="B42" s="133"/>
      <c r="C42" s="784"/>
    </row>
    <row r="43" spans="1:3" ht="13.5" thickBot="1" x14ac:dyDescent="0.25">
      <c r="A43" s="134"/>
      <c r="B43" s="135"/>
      <c r="C43" s="785"/>
    </row>
    <row r="44" spans="1:3" s="281" customFormat="1" ht="16.5" customHeight="1" thickBot="1" x14ac:dyDescent="0.25">
      <c r="A44" s="136"/>
      <c r="B44" s="137" t="s">
        <v>85</v>
      </c>
      <c r="C44" s="217"/>
    </row>
    <row r="45" spans="1:3" s="283" customFormat="1" ht="12" customHeight="1" thickBot="1" x14ac:dyDescent="0.25">
      <c r="A45" s="99" t="s">
        <v>45</v>
      </c>
      <c r="B45" s="84" t="s">
        <v>397</v>
      </c>
      <c r="C45" s="174">
        <f>SUM(C46:C50)</f>
        <v>302303498</v>
      </c>
    </row>
    <row r="46" spans="1:3" ht="12" customHeight="1" x14ac:dyDescent="0.2">
      <c r="A46" s="274" t="s">
        <v>121</v>
      </c>
      <c r="B46" s="8" t="s">
        <v>76</v>
      </c>
      <c r="C46" s="50">
        <f>75543661+140000-18000+112360-15308800+105973+124089-2254000</f>
        <v>58445283</v>
      </c>
    </row>
    <row r="47" spans="1:3" ht="12" customHeight="1" x14ac:dyDescent="0.2">
      <c r="A47" s="274" t="s">
        <v>122</v>
      </c>
      <c r="B47" s="7" t="s">
        <v>187</v>
      </c>
      <c r="C47" s="52">
        <f>18790516+30800-8996+22247-3360936+69499-495880</f>
        <v>15047250</v>
      </c>
    </row>
    <row r="48" spans="1:3" ht="12" customHeight="1" x14ac:dyDescent="0.2">
      <c r="A48" s="274" t="s">
        <v>123</v>
      </c>
      <c r="B48" s="7" t="s">
        <v>157</v>
      </c>
      <c r="C48" s="817">
        <f>242993825-15811124-124245-133428+381000+470367-254000+1028360+260210</f>
        <v>228810965</v>
      </c>
    </row>
    <row r="49" spans="1:3" ht="12" customHeight="1" x14ac:dyDescent="0.2">
      <c r="A49" s="274" t="s">
        <v>124</v>
      </c>
      <c r="B49" s="7" t="s">
        <v>188</v>
      </c>
      <c r="C49" s="52"/>
    </row>
    <row r="50" spans="1:3" ht="12" customHeight="1" thickBot="1" x14ac:dyDescent="0.25">
      <c r="A50" s="274" t="s">
        <v>164</v>
      </c>
      <c r="B50" s="7" t="s">
        <v>189</v>
      </c>
      <c r="C50" s="52"/>
    </row>
    <row r="51" spans="1:3" ht="12" customHeight="1" thickBot="1" x14ac:dyDescent="0.25">
      <c r="A51" s="99" t="s">
        <v>46</v>
      </c>
      <c r="B51" s="84" t="s">
        <v>398</v>
      </c>
      <c r="C51" s="174">
        <f>SUM(C52:C54)</f>
        <v>2192031</v>
      </c>
    </row>
    <row r="52" spans="1:3" s="283" customFormat="1" ht="12" customHeight="1" x14ac:dyDescent="0.2">
      <c r="A52" s="274" t="s">
        <v>127</v>
      </c>
      <c r="B52" s="8" t="s">
        <v>207</v>
      </c>
      <c r="C52" s="816">
        <f>1276298-265000+133000+254000+488500</f>
        <v>1886798</v>
      </c>
    </row>
    <row r="53" spans="1:3" ht="12" customHeight="1" x14ac:dyDescent="0.2">
      <c r="A53" s="274" t="s">
        <v>128</v>
      </c>
      <c r="B53" s="7" t="s">
        <v>191</v>
      </c>
      <c r="C53" s="52">
        <f>500000-134607-60160</f>
        <v>305233</v>
      </c>
    </row>
    <row r="54" spans="1:3" ht="12" customHeight="1" x14ac:dyDescent="0.2">
      <c r="A54" s="274" t="s">
        <v>129</v>
      </c>
      <c r="B54" s="7" t="s">
        <v>86</v>
      </c>
      <c r="C54" s="52"/>
    </row>
    <row r="55" spans="1:3" ht="12" customHeight="1" thickBot="1" x14ac:dyDescent="0.25">
      <c r="A55" s="274" t="s">
        <v>130</v>
      </c>
      <c r="B55" s="7" t="s">
        <v>610</v>
      </c>
      <c r="C55" s="52"/>
    </row>
    <row r="56" spans="1:3" ht="15" customHeight="1" thickBot="1" x14ac:dyDescent="0.25">
      <c r="A56" s="99" t="s">
        <v>47</v>
      </c>
      <c r="B56" s="84" t="s">
        <v>39</v>
      </c>
      <c r="C56" s="199"/>
    </row>
    <row r="57" spans="1:3" ht="13.5" thickBot="1" x14ac:dyDescent="0.25">
      <c r="A57" s="99" t="s">
        <v>48</v>
      </c>
      <c r="B57" s="138" t="s">
        <v>611</v>
      </c>
      <c r="C57" s="174">
        <f>+C45+C51+C56</f>
        <v>304495529</v>
      </c>
    </row>
    <row r="58" spans="1:3" ht="15" customHeight="1" thickBot="1" x14ac:dyDescent="0.25">
      <c r="C58" s="618"/>
    </row>
    <row r="59" spans="1:3" ht="14.25" customHeight="1" thickBot="1" x14ac:dyDescent="0.25">
      <c r="A59" s="141" t="s">
        <v>603</v>
      </c>
      <c r="B59" s="142"/>
      <c r="C59" s="787">
        <v>21.5</v>
      </c>
    </row>
    <row r="60" spans="1:3" ht="13.5" thickBot="1" x14ac:dyDescent="0.25">
      <c r="A60" s="141" t="s">
        <v>203</v>
      </c>
      <c r="B60" s="142"/>
      <c r="C60" s="786">
        <v>0</v>
      </c>
    </row>
    <row r="61" spans="1:3" x14ac:dyDescent="0.2">
      <c r="C61" s="619"/>
    </row>
    <row r="62" spans="1:3" x14ac:dyDescent="0.2">
      <c r="C62" s="619"/>
    </row>
    <row r="63" spans="1:3" x14ac:dyDescent="0.2">
      <c r="C63" s="61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&amp;R19. melléklet a 30/2017.(XI.30.)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60"/>
  <sheetViews>
    <sheetView view="pageLayout" zoomScaleNormal="115" zoomScaleSheetLayoutView="100" workbookViewId="0">
      <selection activeCell="G3" sqref="G3"/>
    </sheetView>
  </sheetViews>
  <sheetFormatPr defaultRowHeight="15.75" x14ac:dyDescent="0.25"/>
  <cols>
    <col min="1" max="1" width="9.5" style="232" customWidth="1"/>
    <col min="2" max="2" width="79" style="232" customWidth="1"/>
    <col min="3" max="3" width="21.6640625" style="426" customWidth="1"/>
    <col min="4" max="4" width="19.33203125" style="243" hidden="1" customWidth="1"/>
    <col min="5" max="5" width="15.83203125" style="243" hidden="1" customWidth="1"/>
    <col min="6" max="6" width="21.83203125" style="243" hidden="1" customWidth="1"/>
    <col min="7" max="16384" width="9.33203125" style="243"/>
  </cols>
  <sheetData>
    <row r="1" spans="1:6" ht="15.95" customHeight="1" x14ac:dyDescent="0.25">
      <c r="A1" s="954" t="s">
        <v>42</v>
      </c>
      <c r="B1" s="954"/>
      <c r="C1" s="954"/>
    </row>
    <row r="2" spans="1:6" ht="15.95" customHeight="1" thickBot="1" x14ac:dyDescent="0.3">
      <c r="A2" s="953" t="s">
        <v>167</v>
      </c>
      <c r="B2" s="953"/>
      <c r="C2" s="167" t="s">
        <v>676</v>
      </c>
    </row>
    <row r="3" spans="1:6" ht="38.1" customHeight="1" thickBot="1" x14ac:dyDescent="0.3">
      <c r="A3" s="22" t="s">
        <v>96</v>
      </c>
      <c r="B3" s="23" t="s">
        <v>44</v>
      </c>
      <c r="C3" s="35" t="s">
        <v>661</v>
      </c>
      <c r="D3" s="232" t="s">
        <v>699</v>
      </c>
      <c r="E3" s="232" t="s">
        <v>700</v>
      </c>
      <c r="F3" s="232" t="s">
        <v>701</v>
      </c>
    </row>
    <row r="4" spans="1:6" s="244" customFormat="1" ht="12" customHeight="1" thickBot="1" x14ac:dyDescent="0.25">
      <c r="A4" s="238" t="s">
        <v>524</v>
      </c>
      <c r="B4" s="239" t="s">
        <v>525</v>
      </c>
      <c r="C4" s="240" t="s">
        <v>526</v>
      </c>
    </row>
    <row r="5" spans="1:6" s="245" customFormat="1" ht="12" customHeight="1" thickBot="1" x14ac:dyDescent="0.25">
      <c r="A5" s="19" t="s">
        <v>45</v>
      </c>
      <c r="B5" s="20" t="s">
        <v>228</v>
      </c>
      <c r="C5" s="158">
        <f t="shared" ref="C5:C68" si="0">SUM(D5:F5)</f>
        <v>1074943262</v>
      </c>
      <c r="D5" s="351">
        <f>+D6+D7+D8+D9+D10+D11</f>
        <v>1074943262</v>
      </c>
      <c r="E5" s="158">
        <f>+E6+E7+E8+E9+E10+E11</f>
        <v>0</v>
      </c>
      <c r="F5" s="158">
        <f>+F6+F7+F8+F9+F10+F11</f>
        <v>0</v>
      </c>
    </row>
    <row r="6" spans="1:6" s="245" customFormat="1" ht="12" customHeight="1" x14ac:dyDescent="0.2">
      <c r="A6" s="14" t="s">
        <v>121</v>
      </c>
      <c r="B6" s="246" t="s">
        <v>229</v>
      </c>
      <c r="C6" s="393">
        <f t="shared" si="0"/>
        <v>228418282</v>
      </c>
      <c r="D6" s="358">
        <f>227512539+905743</f>
        <v>228418282</v>
      </c>
      <c r="E6" s="284"/>
      <c r="F6" s="284"/>
    </row>
    <row r="7" spans="1:6" s="245" customFormat="1" ht="12" customHeight="1" x14ac:dyDescent="0.2">
      <c r="A7" s="13" t="s">
        <v>122</v>
      </c>
      <c r="B7" s="247" t="s">
        <v>230</v>
      </c>
      <c r="C7" s="394">
        <f t="shared" si="0"/>
        <v>219569080</v>
      </c>
      <c r="D7" s="324">
        <f>218107294+10461768-4721982-4278000</f>
        <v>219569080</v>
      </c>
      <c r="E7" s="162"/>
      <c r="F7" s="162"/>
    </row>
    <row r="8" spans="1:6" s="245" customFormat="1" ht="12" customHeight="1" x14ac:dyDescent="0.2">
      <c r="A8" s="13" t="s">
        <v>123</v>
      </c>
      <c r="B8" s="247" t="s">
        <v>646</v>
      </c>
      <c r="C8" s="802">
        <f t="shared" si="0"/>
        <v>400844435</v>
      </c>
      <c r="D8" s="324">
        <f>121200000+67844165+177597260+4526280+11511000+24250000-35761000-1673270+31350000</f>
        <v>400844435</v>
      </c>
      <c r="E8" s="162"/>
      <c r="F8" s="162"/>
    </row>
    <row r="9" spans="1:6" s="245" customFormat="1" ht="12" customHeight="1" x14ac:dyDescent="0.2">
      <c r="A9" s="13" t="s">
        <v>124</v>
      </c>
      <c r="B9" s="247" t="s">
        <v>232</v>
      </c>
      <c r="C9" s="394">
        <f t="shared" si="0"/>
        <v>31342308</v>
      </c>
      <c r="D9" s="324">
        <f>4412740+15262320+10629000-4412740+4412740+1038248</f>
        <v>31342308</v>
      </c>
      <c r="E9" s="162"/>
      <c r="F9" s="162"/>
    </row>
    <row r="10" spans="1:6" s="245" customFormat="1" ht="12" customHeight="1" x14ac:dyDescent="0.2">
      <c r="A10" s="13" t="s">
        <v>164</v>
      </c>
      <c r="B10" s="154" t="s">
        <v>527</v>
      </c>
      <c r="C10" s="802">
        <f t="shared" si="0"/>
        <v>194769157</v>
      </c>
      <c r="D10" s="324">
        <f>1060845+3551000+168707597+128000+58000+13957152+413944+49094027+4501192-4412740-15000000+306000-21350000-6245860</f>
        <v>194769157</v>
      </c>
      <c r="E10" s="162"/>
      <c r="F10" s="162"/>
    </row>
    <row r="11" spans="1:6" s="245" customFormat="1" ht="12" customHeight="1" thickBot="1" x14ac:dyDescent="0.25">
      <c r="A11" s="15" t="s">
        <v>125</v>
      </c>
      <c r="B11" s="155" t="s">
        <v>528</v>
      </c>
      <c r="C11" s="419">
        <f t="shared" si="0"/>
        <v>0</v>
      </c>
      <c r="D11" s="145"/>
      <c r="E11" s="159"/>
      <c r="F11" s="159"/>
    </row>
    <row r="12" spans="1:6" s="245" customFormat="1" ht="12" customHeight="1" thickBot="1" x14ac:dyDescent="0.25">
      <c r="A12" s="19" t="s">
        <v>46</v>
      </c>
      <c r="B12" s="153" t="s">
        <v>233</v>
      </c>
      <c r="C12" s="158">
        <f t="shared" si="0"/>
        <v>176167657</v>
      </c>
      <c r="D12" s="351">
        <f>+D13+D14+D15+D16+D17</f>
        <v>176167657</v>
      </c>
      <c r="E12" s="158">
        <f>+E13+E14+E15+E16+E17</f>
        <v>0</v>
      </c>
      <c r="F12" s="158">
        <f>+F13+F14+F15+F16+F17</f>
        <v>0</v>
      </c>
    </row>
    <row r="13" spans="1:6" s="245" customFormat="1" ht="12" customHeight="1" x14ac:dyDescent="0.2">
      <c r="A13" s="14" t="s">
        <v>127</v>
      </c>
      <c r="B13" s="246" t="s">
        <v>234</v>
      </c>
      <c r="C13" s="241">
        <f t="shared" si="0"/>
        <v>0</v>
      </c>
      <c r="D13" s="353"/>
      <c r="E13" s="160"/>
      <c r="F13" s="160"/>
    </row>
    <row r="14" spans="1:6" s="245" customFormat="1" ht="12" customHeight="1" x14ac:dyDescent="0.2">
      <c r="A14" s="13" t="s">
        <v>128</v>
      </c>
      <c r="B14" s="247" t="s">
        <v>235</v>
      </c>
      <c r="C14" s="418">
        <f t="shared" si="0"/>
        <v>0</v>
      </c>
      <c r="D14" s="145"/>
      <c r="E14" s="159"/>
      <c r="F14" s="159"/>
    </row>
    <row r="15" spans="1:6" s="245" customFormat="1" ht="12" customHeight="1" x14ac:dyDescent="0.2">
      <c r="A15" s="13" t="s">
        <v>129</v>
      </c>
      <c r="B15" s="247" t="s">
        <v>404</v>
      </c>
      <c r="C15" s="394">
        <f t="shared" si="0"/>
        <v>0</v>
      </c>
      <c r="D15" s="145"/>
      <c r="E15" s="159"/>
      <c r="F15" s="159"/>
    </row>
    <row r="16" spans="1:6" s="245" customFormat="1" ht="12" customHeight="1" x14ac:dyDescent="0.2">
      <c r="A16" s="13" t="s">
        <v>130</v>
      </c>
      <c r="B16" s="247" t="s">
        <v>405</v>
      </c>
      <c r="C16" s="394">
        <f t="shared" si="0"/>
        <v>0</v>
      </c>
      <c r="D16" s="145"/>
      <c r="E16" s="159"/>
      <c r="F16" s="159"/>
    </row>
    <row r="17" spans="1:6" s="245" customFormat="1" ht="12" customHeight="1" x14ac:dyDescent="0.2">
      <c r="A17" s="13" t="s">
        <v>131</v>
      </c>
      <c r="B17" s="247" t="s">
        <v>236</v>
      </c>
      <c r="C17" s="394">
        <f t="shared" si="0"/>
        <v>176167657</v>
      </c>
      <c r="D17" s="324">
        <f>210000+65342000+25310845+9303887+291175856+362000+94906504+6840000+1770000+4682000-323735435</f>
        <v>176167657</v>
      </c>
      <c r="E17" s="326"/>
      <c r="F17" s="162"/>
    </row>
    <row r="18" spans="1:6" s="245" customFormat="1" ht="12" customHeight="1" thickBot="1" x14ac:dyDescent="0.25">
      <c r="A18" s="15" t="s">
        <v>140</v>
      </c>
      <c r="B18" s="155" t="s">
        <v>237</v>
      </c>
      <c r="C18" s="395">
        <f t="shared" si="0"/>
        <v>0</v>
      </c>
      <c r="D18" s="146"/>
      <c r="E18" s="235"/>
      <c r="F18" s="235"/>
    </row>
    <row r="19" spans="1:6" s="245" customFormat="1" ht="12" customHeight="1" thickBot="1" x14ac:dyDescent="0.25">
      <c r="A19" s="19" t="s">
        <v>47</v>
      </c>
      <c r="B19" s="20" t="s">
        <v>238</v>
      </c>
      <c r="C19" s="158">
        <f t="shared" si="0"/>
        <v>327444368</v>
      </c>
      <c r="D19" s="351">
        <f>+D20+D21+D22+D23+D24</f>
        <v>327444368</v>
      </c>
      <c r="E19" s="158">
        <f>+E20+E21+E22+E23+E24</f>
        <v>0</v>
      </c>
      <c r="F19" s="158">
        <f>+F20+F21+F22+F23+F24</f>
        <v>0</v>
      </c>
    </row>
    <row r="20" spans="1:6" s="245" customFormat="1" ht="12" customHeight="1" x14ac:dyDescent="0.2">
      <c r="A20" s="14" t="s">
        <v>110</v>
      </c>
      <c r="B20" s="246" t="s">
        <v>239</v>
      </c>
      <c r="C20" s="241">
        <f t="shared" si="0"/>
        <v>15690532</v>
      </c>
      <c r="D20" s="358">
        <v>15690532</v>
      </c>
      <c r="E20" s="323"/>
      <c r="F20" s="323"/>
    </row>
    <row r="21" spans="1:6" s="245" customFormat="1" ht="12" customHeight="1" x14ac:dyDescent="0.2">
      <c r="A21" s="13" t="s">
        <v>111</v>
      </c>
      <c r="B21" s="247" t="s">
        <v>240</v>
      </c>
      <c r="C21" s="418">
        <f t="shared" si="0"/>
        <v>0</v>
      </c>
      <c r="D21" s="324"/>
      <c r="E21" s="162"/>
      <c r="F21" s="162"/>
    </row>
    <row r="22" spans="1:6" s="245" customFormat="1" ht="12" customHeight="1" x14ac:dyDescent="0.2">
      <c r="A22" s="13" t="s">
        <v>112</v>
      </c>
      <c r="B22" s="247" t="s">
        <v>406</v>
      </c>
      <c r="C22" s="418">
        <f t="shared" si="0"/>
        <v>0</v>
      </c>
      <c r="D22" s="324"/>
      <c r="E22" s="162"/>
      <c r="F22" s="162"/>
    </row>
    <row r="23" spans="1:6" s="245" customFormat="1" ht="12" customHeight="1" x14ac:dyDescent="0.2">
      <c r="A23" s="13" t="s">
        <v>113</v>
      </c>
      <c r="B23" s="247" t="s">
        <v>407</v>
      </c>
      <c r="C23" s="418">
        <f t="shared" si="0"/>
        <v>0</v>
      </c>
      <c r="D23" s="324"/>
      <c r="E23" s="162"/>
      <c r="F23" s="162"/>
    </row>
    <row r="24" spans="1:6" s="245" customFormat="1" ht="12" customHeight="1" x14ac:dyDescent="0.2">
      <c r="A24" s="13" t="s">
        <v>175</v>
      </c>
      <c r="B24" s="247" t="s">
        <v>241</v>
      </c>
      <c r="C24" s="394">
        <f t="shared" si="0"/>
        <v>311753836</v>
      </c>
      <c r="D24" s="324">
        <f>3797300+15179276+2160000+75588869+15956160+214128350+123157-15179276</f>
        <v>311753836</v>
      </c>
      <c r="E24" s="162"/>
      <c r="F24" s="162"/>
    </row>
    <row r="25" spans="1:6" s="245" customFormat="1" ht="12" customHeight="1" thickBot="1" x14ac:dyDescent="0.25">
      <c r="A25" s="15" t="s">
        <v>176</v>
      </c>
      <c r="B25" s="248" t="s">
        <v>242</v>
      </c>
      <c r="C25" s="419">
        <f t="shared" si="0"/>
        <v>309470679</v>
      </c>
      <c r="D25" s="328">
        <f>3797300+75588869+15956160+214128350</f>
        <v>309470679</v>
      </c>
      <c r="E25" s="235"/>
      <c r="F25" s="161"/>
    </row>
    <row r="26" spans="1:6" s="245" customFormat="1" ht="12" customHeight="1" thickBot="1" x14ac:dyDescent="0.25">
      <c r="A26" s="19" t="s">
        <v>177</v>
      </c>
      <c r="B26" s="20" t="s">
        <v>243</v>
      </c>
      <c r="C26" s="158">
        <f t="shared" si="0"/>
        <v>356490000</v>
      </c>
      <c r="D26" s="355">
        <f>+D27+D31+D32+D33</f>
        <v>356490000</v>
      </c>
      <c r="E26" s="163">
        <f>+E27+E31+E32+E33</f>
        <v>0</v>
      </c>
      <c r="F26" s="163">
        <f>+F27+F31+F32+F33</f>
        <v>0</v>
      </c>
    </row>
    <row r="27" spans="1:6" s="245" customFormat="1" ht="12" customHeight="1" x14ac:dyDescent="0.2">
      <c r="A27" s="14" t="s">
        <v>244</v>
      </c>
      <c r="B27" s="246" t="s">
        <v>529</v>
      </c>
      <c r="C27" s="241">
        <f t="shared" si="0"/>
        <v>317830000</v>
      </c>
      <c r="D27" s="387">
        <f>SUM(D28:D30)</f>
        <v>317830000</v>
      </c>
      <c r="E27" s="241"/>
      <c r="F27" s="241"/>
    </row>
    <row r="28" spans="1:6" s="245" customFormat="1" ht="12" customHeight="1" x14ac:dyDescent="0.2">
      <c r="A28" s="13" t="s">
        <v>245</v>
      </c>
      <c r="B28" s="247" t="s">
        <v>250</v>
      </c>
      <c r="C28" s="418">
        <f t="shared" si="0"/>
        <v>78990000</v>
      </c>
      <c r="D28" s="145">
        <f>8990000+70000000</f>
        <v>78990000</v>
      </c>
      <c r="E28" s="159"/>
      <c r="F28" s="159"/>
    </row>
    <row r="29" spans="1:6" s="245" customFormat="1" ht="12" customHeight="1" x14ac:dyDescent="0.2">
      <c r="A29" s="13" t="s">
        <v>246</v>
      </c>
      <c r="B29" s="247" t="s">
        <v>631</v>
      </c>
      <c r="C29" s="418">
        <f t="shared" si="0"/>
        <v>238840000</v>
      </c>
      <c r="D29" s="145">
        <f>203840000+35000000</f>
        <v>238840000</v>
      </c>
      <c r="E29" s="159"/>
      <c r="F29" s="159"/>
    </row>
    <row r="30" spans="1:6" s="245" customFormat="1" ht="12" customHeight="1" x14ac:dyDescent="0.2">
      <c r="A30" s="13" t="s">
        <v>530</v>
      </c>
      <c r="B30" s="247" t="s">
        <v>628</v>
      </c>
      <c r="C30" s="418">
        <f t="shared" si="0"/>
        <v>0</v>
      </c>
      <c r="D30" s="324"/>
      <c r="E30" s="162"/>
      <c r="F30" s="162"/>
    </row>
    <row r="31" spans="1:6" s="245" customFormat="1" ht="12" customHeight="1" x14ac:dyDescent="0.2">
      <c r="A31" s="13" t="s">
        <v>247</v>
      </c>
      <c r="B31" s="247" t="s">
        <v>252</v>
      </c>
      <c r="C31" s="418">
        <f t="shared" si="0"/>
        <v>27000000</v>
      </c>
      <c r="D31" s="145">
        <f>27000000</f>
        <v>27000000</v>
      </c>
      <c r="E31" s="159"/>
      <c r="F31" s="162"/>
    </row>
    <row r="32" spans="1:6" s="245" customFormat="1" ht="12" customHeight="1" x14ac:dyDescent="0.2">
      <c r="A32" s="13" t="s">
        <v>248</v>
      </c>
      <c r="B32" s="247" t="s">
        <v>253</v>
      </c>
      <c r="C32" s="418">
        <f t="shared" si="0"/>
        <v>60000</v>
      </c>
      <c r="D32" s="145">
        <f>4060000-4000000</f>
        <v>60000</v>
      </c>
      <c r="E32" s="159"/>
      <c r="F32" s="162"/>
    </row>
    <row r="33" spans="1:6" s="245" customFormat="1" ht="12" customHeight="1" thickBot="1" x14ac:dyDescent="0.25">
      <c r="A33" s="15" t="s">
        <v>249</v>
      </c>
      <c r="B33" s="248" t="s">
        <v>254</v>
      </c>
      <c r="C33" s="419">
        <f t="shared" si="0"/>
        <v>11600000</v>
      </c>
      <c r="D33" s="328">
        <f>5500000+4000000+2100000</f>
        <v>11600000</v>
      </c>
      <c r="E33" s="235"/>
      <c r="F33" s="235"/>
    </row>
    <row r="34" spans="1:6" s="245" customFormat="1" ht="12" customHeight="1" thickBot="1" x14ac:dyDescent="0.25">
      <c r="A34" s="19" t="s">
        <v>49</v>
      </c>
      <c r="B34" s="20" t="s">
        <v>532</v>
      </c>
      <c r="C34" s="158">
        <f t="shared" si="0"/>
        <v>231492885</v>
      </c>
      <c r="D34" s="351">
        <f>SUM(D35:D45)</f>
        <v>54199543</v>
      </c>
      <c r="E34" s="158">
        <f>SUM(E35:E45)</f>
        <v>2748500</v>
      </c>
      <c r="F34" s="158">
        <f>SUM(F35:F45)</f>
        <v>174544842</v>
      </c>
    </row>
    <row r="35" spans="1:6" s="245" customFormat="1" ht="12" customHeight="1" x14ac:dyDescent="0.2">
      <c r="A35" s="14" t="s">
        <v>114</v>
      </c>
      <c r="B35" s="246" t="s">
        <v>257</v>
      </c>
      <c r="C35" s="393">
        <f t="shared" si="0"/>
        <v>6301172</v>
      </c>
      <c r="D35" s="358">
        <f>4000000+5000000+222694-130000-2941522</f>
        <v>6151172</v>
      </c>
      <c r="E35" s="284"/>
      <c r="F35" s="284">
        <v>150000</v>
      </c>
    </row>
    <row r="36" spans="1:6" s="245" customFormat="1" ht="12" customHeight="1" x14ac:dyDescent="0.2">
      <c r="A36" s="13" t="s">
        <v>115</v>
      </c>
      <c r="B36" s="247" t="s">
        <v>258</v>
      </c>
      <c r="C36" s="802">
        <f t="shared" si="0"/>
        <v>51660975</v>
      </c>
      <c r="D36" s="324">
        <f>100000+12004000+33071+555000-470800+7128864+1800934</f>
        <v>21151069</v>
      </c>
      <c r="E36" s="162">
        <v>2164000</v>
      </c>
      <c r="F36" s="284">
        <v>28345906</v>
      </c>
    </row>
    <row r="37" spans="1:6" s="245" customFormat="1" ht="12" customHeight="1" x14ac:dyDescent="0.2">
      <c r="A37" s="13" t="s">
        <v>116</v>
      </c>
      <c r="B37" s="247" t="s">
        <v>259</v>
      </c>
      <c r="C37" s="802">
        <f t="shared" si="0"/>
        <v>82521218</v>
      </c>
      <c r="D37" s="324">
        <f>8458000+947000+918292+143307-195228+206000+158027+700000+157480-4705000+240000+300000</f>
        <v>7327878</v>
      </c>
      <c r="E37" s="162"/>
      <c r="F37" s="284">
        <v>75193340</v>
      </c>
    </row>
    <row r="38" spans="1:6" s="245" customFormat="1" ht="12" customHeight="1" x14ac:dyDescent="0.2">
      <c r="A38" s="13" t="s">
        <v>179</v>
      </c>
      <c r="B38" s="247" t="s">
        <v>260</v>
      </c>
      <c r="C38" s="394">
        <f t="shared" si="0"/>
        <v>430000</v>
      </c>
      <c r="D38" s="324">
        <f>430000</f>
        <v>430000</v>
      </c>
      <c r="E38" s="162"/>
      <c r="F38" s="284"/>
    </row>
    <row r="39" spans="1:6" s="245" customFormat="1" ht="12" customHeight="1" x14ac:dyDescent="0.2">
      <c r="A39" s="13" t="s">
        <v>180</v>
      </c>
      <c r="B39" s="247" t="s">
        <v>261</v>
      </c>
      <c r="C39" s="802">
        <f t="shared" si="0"/>
        <v>22018748</v>
      </c>
      <c r="D39" s="324"/>
      <c r="E39" s="162"/>
      <c r="F39" s="284">
        <f>23819682-1800934</f>
        <v>22018748</v>
      </c>
    </row>
    <row r="40" spans="1:6" s="245" customFormat="1" ht="12" customHeight="1" x14ac:dyDescent="0.2">
      <c r="A40" s="13" t="s">
        <v>181</v>
      </c>
      <c r="B40" s="247" t="s">
        <v>262</v>
      </c>
      <c r="C40" s="802">
        <f t="shared" si="0"/>
        <v>44142077</v>
      </c>
      <c r="D40" s="324">
        <f>3242000+5853000+378000+600000+1350000+270000+682000+47622+195228+206000+40410+27000-91096+189000-516228+1924793+81000</f>
        <v>14478729</v>
      </c>
      <c r="E40" s="162">
        <v>584500</v>
      </c>
      <c r="F40" s="284">
        <v>29078848</v>
      </c>
    </row>
    <row r="41" spans="1:6" s="245" customFormat="1" ht="12" customHeight="1" x14ac:dyDescent="0.2">
      <c r="A41" s="13" t="s">
        <v>182</v>
      </c>
      <c r="B41" s="247" t="s">
        <v>263</v>
      </c>
      <c r="C41" s="394">
        <f t="shared" si="0"/>
        <v>21672793</v>
      </c>
      <c r="D41" s="324">
        <f>1924793</f>
        <v>1924793</v>
      </c>
      <c r="E41" s="162"/>
      <c r="F41" s="284">
        <f>21034000-1286000</f>
        <v>19748000</v>
      </c>
    </row>
    <row r="42" spans="1:6" s="245" customFormat="1" ht="12" customHeight="1" x14ac:dyDescent="0.2">
      <c r="A42" s="13" t="s">
        <v>183</v>
      </c>
      <c r="B42" s="247" t="s">
        <v>647</v>
      </c>
      <c r="C42" s="418">
        <f t="shared" si="0"/>
        <v>10000</v>
      </c>
      <c r="D42" s="324"/>
      <c r="E42" s="162"/>
      <c r="F42" s="284">
        <v>10000</v>
      </c>
    </row>
    <row r="43" spans="1:6" s="245" customFormat="1" ht="12" customHeight="1" x14ac:dyDescent="0.2">
      <c r="A43" s="13" t="s">
        <v>255</v>
      </c>
      <c r="B43" s="247" t="s">
        <v>265</v>
      </c>
      <c r="C43" s="418">
        <f t="shared" si="0"/>
        <v>0</v>
      </c>
      <c r="D43" s="324"/>
      <c r="E43" s="162"/>
      <c r="F43" s="284"/>
    </row>
    <row r="44" spans="1:6" s="245" customFormat="1" ht="12" customHeight="1" x14ac:dyDescent="0.2">
      <c r="A44" s="15" t="s">
        <v>256</v>
      </c>
      <c r="B44" s="248" t="s">
        <v>533</v>
      </c>
      <c r="C44" s="418">
        <f t="shared" si="0"/>
        <v>500000</v>
      </c>
      <c r="D44" s="328">
        <f>500000</f>
        <v>500000</v>
      </c>
      <c r="E44" s="235"/>
      <c r="F44" s="235"/>
    </row>
    <row r="45" spans="1:6" s="245" customFormat="1" ht="12" customHeight="1" thickBot="1" x14ac:dyDescent="0.25">
      <c r="A45" s="15" t="s">
        <v>534</v>
      </c>
      <c r="B45" s="155" t="s">
        <v>266</v>
      </c>
      <c r="C45" s="804">
        <f t="shared" si="0"/>
        <v>2235902</v>
      </c>
      <c r="D45" s="328">
        <f>704000+200318+1020434+311150</f>
        <v>2235902</v>
      </c>
      <c r="E45" s="235"/>
      <c r="F45" s="341"/>
    </row>
    <row r="46" spans="1:6" s="245" customFormat="1" ht="12" customHeight="1" thickBot="1" x14ac:dyDescent="0.25">
      <c r="A46" s="19" t="s">
        <v>50</v>
      </c>
      <c r="B46" s="20" t="s">
        <v>267</v>
      </c>
      <c r="C46" s="158">
        <f t="shared" si="0"/>
        <v>47179000</v>
      </c>
      <c r="D46" s="351">
        <f>SUM(D47:D51)</f>
        <v>47179000</v>
      </c>
      <c r="E46" s="158">
        <f>SUM(E47:E51)</f>
        <v>0</v>
      </c>
      <c r="F46" s="158">
        <f>SUM(F47:F51)</f>
        <v>0</v>
      </c>
    </row>
    <row r="47" spans="1:6" s="245" customFormat="1" ht="12" customHeight="1" x14ac:dyDescent="0.2">
      <c r="A47" s="14" t="s">
        <v>117</v>
      </c>
      <c r="B47" s="246" t="s">
        <v>271</v>
      </c>
      <c r="C47" s="241">
        <f t="shared" si="0"/>
        <v>0</v>
      </c>
      <c r="D47" s="358"/>
      <c r="E47" s="284"/>
      <c r="F47" s="284"/>
    </row>
    <row r="48" spans="1:6" s="245" customFormat="1" ht="12" customHeight="1" x14ac:dyDescent="0.2">
      <c r="A48" s="13" t="s">
        <v>118</v>
      </c>
      <c r="B48" s="247" t="s">
        <v>272</v>
      </c>
      <c r="C48" s="418">
        <f t="shared" si="0"/>
        <v>47179000</v>
      </c>
      <c r="D48" s="324">
        <f>25179000+22000000</f>
        <v>47179000</v>
      </c>
      <c r="E48" s="162"/>
      <c r="F48" s="162"/>
    </row>
    <row r="49" spans="1:6" s="245" customFormat="1" ht="12" customHeight="1" x14ac:dyDescent="0.2">
      <c r="A49" s="13" t="s">
        <v>268</v>
      </c>
      <c r="B49" s="247" t="s">
        <v>273</v>
      </c>
      <c r="C49" s="418">
        <f t="shared" si="0"/>
        <v>0</v>
      </c>
      <c r="D49" s="324"/>
      <c r="E49" s="162"/>
      <c r="F49" s="162"/>
    </row>
    <row r="50" spans="1:6" s="245" customFormat="1" ht="12" customHeight="1" x14ac:dyDescent="0.2">
      <c r="A50" s="13" t="s">
        <v>269</v>
      </c>
      <c r="B50" s="247" t="s">
        <v>274</v>
      </c>
      <c r="C50" s="418">
        <f t="shared" si="0"/>
        <v>0</v>
      </c>
      <c r="D50" s="324"/>
      <c r="E50" s="162"/>
      <c r="F50" s="162"/>
    </row>
    <row r="51" spans="1:6" s="245" customFormat="1" ht="12" customHeight="1" thickBot="1" x14ac:dyDescent="0.25">
      <c r="A51" s="15" t="s">
        <v>270</v>
      </c>
      <c r="B51" s="155" t="s">
        <v>275</v>
      </c>
      <c r="C51" s="419">
        <f t="shared" si="0"/>
        <v>0</v>
      </c>
      <c r="D51" s="328"/>
      <c r="E51" s="235"/>
      <c r="F51" s="235"/>
    </row>
    <row r="52" spans="1:6" s="245" customFormat="1" ht="12" customHeight="1" thickBot="1" x14ac:dyDescent="0.25">
      <c r="A52" s="19" t="s">
        <v>184</v>
      </c>
      <c r="B52" s="20" t="s">
        <v>276</v>
      </c>
      <c r="C52" s="158">
        <f t="shared" si="0"/>
        <v>22678433</v>
      </c>
      <c r="D52" s="351">
        <f>SUM(D53:D55)</f>
        <v>22678433</v>
      </c>
      <c r="E52" s="158">
        <f>SUM(E53:E55)</f>
        <v>0</v>
      </c>
      <c r="F52" s="158">
        <f>SUM(F53:F55)</f>
        <v>0</v>
      </c>
    </row>
    <row r="53" spans="1:6" s="245" customFormat="1" ht="12" customHeight="1" x14ac:dyDescent="0.2">
      <c r="A53" s="14" t="s">
        <v>119</v>
      </c>
      <c r="B53" s="246" t="s">
        <v>277</v>
      </c>
      <c r="C53" s="241">
        <f t="shared" si="0"/>
        <v>0</v>
      </c>
      <c r="D53" s="353"/>
      <c r="E53" s="160"/>
      <c r="F53" s="160"/>
    </row>
    <row r="54" spans="1:6" s="245" customFormat="1" ht="12" customHeight="1" x14ac:dyDescent="0.2">
      <c r="A54" s="13" t="s">
        <v>120</v>
      </c>
      <c r="B54" s="247" t="s">
        <v>408</v>
      </c>
      <c r="C54" s="802">
        <f t="shared" si="0"/>
        <v>18383000</v>
      </c>
      <c r="D54" s="324">
        <f>383000+18000000</f>
        <v>18383000</v>
      </c>
      <c r="E54" s="162"/>
      <c r="F54" s="162"/>
    </row>
    <row r="55" spans="1:6" s="245" customFormat="1" ht="12" customHeight="1" x14ac:dyDescent="0.2">
      <c r="A55" s="13" t="s">
        <v>280</v>
      </c>
      <c r="B55" s="247" t="s">
        <v>278</v>
      </c>
      <c r="C55" s="394">
        <f t="shared" si="0"/>
        <v>4295433</v>
      </c>
      <c r="D55" s="324">
        <f>4075000+80000+140433</f>
        <v>4295433</v>
      </c>
      <c r="E55" s="162"/>
      <c r="F55" s="162"/>
    </row>
    <row r="56" spans="1:6" s="245" customFormat="1" ht="12" customHeight="1" thickBot="1" x14ac:dyDescent="0.25">
      <c r="A56" s="15" t="s">
        <v>281</v>
      </c>
      <c r="B56" s="155" t="s">
        <v>279</v>
      </c>
      <c r="C56" s="419">
        <f t="shared" si="0"/>
        <v>0</v>
      </c>
      <c r="D56" s="146"/>
      <c r="E56" s="161"/>
      <c r="F56" s="161"/>
    </row>
    <row r="57" spans="1:6" s="245" customFormat="1" ht="12" customHeight="1" thickBot="1" x14ac:dyDescent="0.25">
      <c r="A57" s="19" t="s">
        <v>52</v>
      </c>
      <c r="B57" s="153" t="s">
        <v>282</v>
      </c>
      <c r="C57" s="420">
        <f t="shared" si="0"/>
        <v>200000</v>
      </c>
      <c r="D57" s="351">
        <f>SUM(D58:D60)</f>
        <v>200000</v>
      </c>
      <c r="E57" s="158">
        <f>SUM(E58:E60)</f>
        <v>0</v>
      </c>
      <c r="F57" s="158">
        <f>SUM(F58:F60)</f>
        <v>0</v>
      </c>
    </row>
    <row r="58" spans="1:6" s="245" customFormat="1" ht="12" customHeight="1" x14ac:dyDescent="0.2">
      <c r="A58" s="14" t="s">
        <v>185</v>
      </c>
      <c r="B58" s="246" t="s">
        <v>284</v>
      </c>
      <c r="C58" s="241">
        <f t="shared" si="0"/>
        <v>0</v>
      </c>
      <c r="D58" s="324"/>
      <c r="E58" s="162"/>
      <c r="F58" s="162"/>
    </row>
    <row r="59" spans="1:6" s="245" customFormat="1" ht="12" customHeight="1" x14ac:dyDescent="0.2">
      <c r="A59" s="13" t="s">
        <v>186</v>
      </c>
      <c r="B59" s="247" t="s">
        <v>409</v>
      </c>
      <c r="C59" s="418">
        <f t="shared" si="0"/>
        <v>0</v>
      </c>
      <c r="D59" s="324"/>
      <c r="E59" s="162"/>
      <c r="F59" s="162"/>
    </row>
    <row r="60" spans="1:6" s="245" customFormat="1" ht="12" customHeight="1" x14ac:dyDescent="0.2">
      <c r="A60" s="13" t="s">
        <v>208</v>
      </c>
      <c r="B60" s="247" t="s">
        <v>285</v>
      </c>
      <c r="C60" s="802">
        <f t="shared" si="0"/>
        <v>200000</v>
      </c>
      <c r="D60" s="324">
        <v>200000</v>
      </c>
      <c r="E60" s="162"/>
      <c r="F60" s="162"/>
    </row>
    <row r="61" spans="1:6" s="245" customFormat="1" ht="12" customHeight="1" thickBot="1" x14ac:dyDescent="0.25">
      <c r="A61" s="15" t="s">
        <v>283</v>
      </c>
      <c r="B61" s="155" t="s">
        <v>286</v>
      </c>
      <c r="C61" s="419">
        <f t="shared" si="0"/>
        <v>0</v>
      </c>
      <c r="D61" s="324"/>
      <c r="E61" s="162"/>
      <c r="F61" s="162"/>
    </row>
    <row r="62" spans="1:6" s="245" customFormat="1" ht="12" customHeight="1" thickBot="1" x14ac:dyDescent="0.25">
      <c r="A62" s="306" t="s">
        <v>535</v>
      </c>
      <c r="B62" s="20" t="s">
        <v>287</v>
      </c>
      <c r="C62" s="158">
        <f t="shared" si="0"/>
        <v>2236595605</v>
      </c>
      <c r="D62" s="355">
        <f>+D5+D12+D19+D26+D34+D46+D52+D57</f>
        <v>2059302263</v>
      </c>
      <c r="E62" s="163">
        <f>+E5+E12+E19+E26+E34+E46+E52+E57</f>
        <v>2748500</v>
      </c>
      <c r="F62" s="163">
        <f>+F5+F12+F19+F26+F34+F46+F52+F57</f>
        <v>174544842</v>
      </c>
    </row>
    <row r="63" spans="1:6" s="245" customFormat="1" ht="12" customHeight="1" thickBot="1" x14ac:dyDescent="0.25">
      <c r="A63" s="307" t="s">
        <v>288</v>
      </c>
      <c r="B63" s="153" t="s">
        <v>289</v>
      </c>
      <c r="C63" s="420">
        <f t="shared" si="0"/>
        <v>5500000</v>
      </c>
      <c r="D63" s="351">
        <f>SUM(D64:D66)</f>
        <v>5500000</v>
      </c>
      <c r="E63" s="158">
        <f>SUM(E64:E66)</f>
        <v>0</v>
      </c>
      <c r="F63" s="158">
        <f>SUM(F64:F66)</f>
        <v>0</v>
      </c>
    </row>
    <row r="64" spans="1:6" s="245" customFormat="1" ht="12" customHeight="1" x14ac:dyDescent="0.2">
      <c r="A64" s="14" t="s">
        <v>320</v>
      </c>
      <c r="B64" s="246" t="s">
        <v>290</v>
      </c>
      <c r="C64" s="241">
        <f t="shared" si="0"/>
        <v>5500000</v>
      </c>
      <c r="D64" s="324">
        <v>5500000</v>
      </c>
      <c r="E64" s="162"/>
      <c r="F64" s="162"/>
    </row>
    <row r="65" spans="1:6" s="245" customFormat="1" ht="12" customHeight="1" x14ac:dyDescent="0.2">
      <c r="A65" s="13" t="s">
        <v>329</v>
      </c>
      <c r="B65" s="247" t="s">
        <v>291</v>
      </c>
      <c r="C65" s="418">
        <f t="shared" si="0"/>
        <v>0</v>
      </c>
      <c r="D65" s="324"/>
      <c r="E65" s="162"/>
      <c r="F65" s="162"/>
    </row>
    <row r="66" spans="1:6" s="245" customFormat="1" ht="12" customHeight="1" thickBot="1" x14ac:dyDescent="0.25">
      <c r="A66" s="15" t="s">
        <v>330</v>
      </c>
      <c r="B66" s="308" t="s">
        <v>536</v>
      </c>
      <c r="C66" s="419">
        <f t="shared" si="0"/>
        <v>0</v>
      </c>
      <c r="D66" s="324"/>
      <c r="E66" s="162"/>
      <c r="F66" s="162"/>
    </row>
    <row r="67" spans="1:6" s="245" customFormat="1" ht="12" customHeight="1" thickBot="1" x14ac:dyDescent="0.25">
      <c r="A67" s="307" t="s">
        <v>293</v>
      </c>
      <c r="B67" s="153" t="s">
        <v>294</v>
      </c>
      <c r="C67" s="420">
        <f t="shared" si="0"/>
        <v>0</v>
      </c>
      <c r="D67" s="351">
        <f>SUM(D68:D71)</f>
        <v>0</v>
      </c>
      <c r="E67" s="158">
        <f>SUM(E68:E71)</f>
        <v>0</v>
      </c>
      <c r="F67" s="158">
        <f>SUM(F68:F71)</f>
        <v>0</v>
      </c>
    </row>
    <row r="68" spans="1:6" s="245" customFormat="1" ht="12" customHeight="1" x14ac:dyDescent="0.2">
      <c r="A68" s="14" t="s">
        <v>165</v>
      </c>
      <c r="B68" s="246" t="s">
        <v>295</v>
      </c>
      <c r="C68" s="241">
        <f t="shared" si="0"/>
        <v>0</v>
      </c>
      <c r="D68" s="324"/>
      <c r="E68" s="162"/>
      <c r="F68" s="162"/>
    </row>
    <row r="69" spans="1:6" s="245" customFormat="1" ht="12" customHeight="1" x14ac:dyDescent="0.2">
      <c r="A69" s="13" t="s">
        <v>166</v>
      </c>
      <c r="B69" s="247" t="s">
        <v>296</v>
      </c>
      <c r="C69" s="418">
        <f t="shared" ref="C69:C87" si="1">SUM(D69:F69)</f>
        <v>0</v>
      </c>
      <c r="D69" s="324"/>
      <c r="E69" s="162"/>
      <c r="F69" s="162"/>
    </row>
    <row r="70" spans="1:6" s="245" customFormat="1" ht="12" customHeight="1" x14ac:dyDescent="0.2">
      <c r="A70" s="13" t="s">
        <v>321</v>
      </c>
      <c r="B70" s="247" t="s">
        <v>297</v>
      </c>
      <c r="C70" s="418">
        <f t="shared" si="1"/>
        <v>0</v>
      </c>
      <c r="D70" s="324"/>
      <c r="E70" s="162"/>
      <c r="F70" s="162"/>
    </row>
    <row r="71" spans="1:6" s="245" customFormat="1" ht="12" customHeight="1" thickBot="1" x14ac:dyDescent="0.25">
      <c r="A71" s="15" t="s">
        <v>322</v>
      </c>
      <c r="B71" s="155" t="s">
        <v>298</v>
      </c>
      <c r="C71" s="419">
        <f t="shared" si="1"/>
        <v>0</v>
      </c>
      <c r="D71" s="324"/>
      <c r="E71" s="162"/>
      <c r="F71" s="162"/>
    </row>
    <row r="72" spans="1:6" s="245" customFormat="1" ht="12" customHeight="1" thickBot="1" x14ac:dyDescent="0.25">
      <c r="A72" s="307" t="s">
        <v>299</v>
      </c>
      <c r="B72" s="153" t="s">
        <v>300</v>
      </c>
      <c r="C72" s="158">
        <f t="shared" si="1"/>
        <v>292133965</v>
      </c>
      <c r="D72" s="351">
        <f>SUM(D73:D74)</f>
        <v>289331423</v>
      </c>
      <c r="E72" s="158">
        <f>SUM(E73:E74)</f>
        <v>0</v>
      </c>
      <c r="F72" s="158">
        <f>SUM(F73:F74)</f>
        <v>2802542</v>
      </c>
    </row>
    <row r="73" spans="1:6" s="245" customFormat="1" ht="12" customHeight="1" x14ac:dyDescent="0.2">
      <c r="A73" s="14" t="s">
        <v>323</v>
      </c>
      <c r="B73" s="246" t="s">
        <v>301</v>
      </c>
      <c r="C73" s="241">
        <f t="shared" si="1"/>
        <v>292133965</v>
      </c>
      <c r="D73" s="324">
        <v>289331423</v>
      </c>
      <c r="E73" s="162"/>
      <c r="F73" s="162">
        <v>2802542</v>
      </c>
    </row>
    <row r="74" spans="1:6" s="245" customFormat="1" ht="12" customHeight="1" thickBot="1" x14ac:dyDescent="0.25">
      <c r="A74" s="15" t="s">
        <v>324</v>
      </c>
      <c r="B74" s="155" t="s">
        <v>302</v>
      </c>
      <c r="C74" s="419">
        <f t="shared" si="1"/>
        <v>0</v>
      </c>
      <c r="D74" s="324"/>
      <c r="E74" s="162"/>
      <c r="F74" s="162"/>
    </row>
    <row r="75" spans="1:6" s="245" customFormat="1" ht="12" customHeight="1" thickBot="1" x14ac:dyDescent="0.25">
      <c r="A75" s="307" t="s">
        <v>303</v>
      </c>
      <c r="B75" s="153" t="s">
        <v>304</v>
      </c>
      <c r="C75" s="420">
        <f t="shared" si="1"/>
        <v>0</v>
      </c>
      <c r="D75" s="351">
        <f>SUM(D76:D78)</f>
        <v>0</v>
      </c>
      <c r="E75" s="158">
        <f>SUM(E76:E78)</f>
        <v>0</v>
      </c>
      <c r="F75" s="158">
        <f>SUM(F76:F78)</f>
        <v>0</v>
      </c>
    </row>
    <row r="76" spans="1:6" s="245" customFormat="1" ht="12" customHeight="1" x14ac:dyDescent="0.2">
      <c r="A76" s="14" t="s">
        <v>325</v>
      </c>
      <c r="B76" s="246" t="s">
        <v>305</v>
      </c>
      <c r="C76" s="241">
        <f t="shared" si="1"/>
        <v>0</v>
      </c>
      <c r="D76" s="324"/>
      <c r="E76" s="162"/>
      <c r="F76" s="162"/>
    </row>
    <row r="77" spans="1:6" s="245" customFormat="1" ht="12" customHeight="1" x14ac:dyDescent="0.2">
      <c r="A77" s="13" t="s">
        <v>326</v>
      </c>
      <c r="B77" s="247" t="s">
        <v>306</v>
      </c>
      <c r="C77" s="418">
        <f t="shared" si="1"/>
        <v>0</v>
      </c>
      <c r="D77" s="324"/>
      <c r="E77" s="162"/>
      <c r="F77" s="162"/>
    </row>
    <row r="78" spans="1:6" s="245" customFormat="1" ht="12" customHeight="1" thickBot="1" x14ac:dyDescent="0.25">
      <c r="A78" s="15" t="s">
        <v>327</v>
      </c>
      <c r="B78" s="155" t="s">
        <v>307</v>
      </c>
      <c r="C78" s="419">
        <f t="shared" si="1"/>
        <v>0</v>
      </c>
      <c r="D78" s="324"/>
      <c r="E78" s="162"/>
      <c r="F78" s="162"/>
    </row>
    <row r="79" spans="1:6" s="245" customFormat="1" ht="12" customHeight="1" thickBot="1" x14ac:dyDescent="0.25">
      <c r="A79" s="307" t="s">
        <v>308</v>
      </c>
      <c r="B79" s="153" t="s">
        <v>328</v>
      </c>
      <c r="C79" s="420">
        <f t="shared" si="1"/>
        <v>0</v>
      </c>
      <c r="D79" s="351">
        <f>SUM(D80:D83)</f>
        <v>0</v>
      </c>
      <c r="E79" s="158">
        <f>SUM(E80:E83)</f>
        <v>0</v>
      </c>
      <c r="F79" s="158">
        <f>SUM(F80:F83)</f>
        <v>0</v>
      </c>
    </row>
    <row r="80" spans="1:6" s="245" customFormat="1" ht="12" customHeight="1" x14ac:dyDescent="0.2">
      <c r="A80" s="250" t="s">
        <v>309</v>
      </c>
      <c r="B80" s="246" t="s">
        <v>310</v>
      </c>
      <c r="C80" s="241">
        <f t="shared" si="1"/>
        <v>0</v>
      </c>
      <c r="D80" s="324"/>
      <c r="E80" s="162"/>
      <c r="F80" s="162"/>
    </row>
    <row r="81" spans="1:6" s="245" customFormat="1" ht="12" customHeight="1" x14ac:dyDescent="0.2">
      <c r="A81" s="251" t="s">
        <v>311</v>
      </c>
      <c r="B81" s="247" t="s">
        <v>312</v>
      </c>
      <c r="C81" s="418">
        <f t="shared" si="1"/>
        <v>0</v>
      </c>
      <c r="D81" s="324"/>
      <c r="E81" s="162"/>
      <c r="F81" s="162"/>
    </row>
    <row r="82" spans="1:6" s="245" customFormat="1" ht="12" customHeight="1" x14ac:dyDescent="0.2">
      <c r="A82" s="251" t="s">
        <v>313</v>
      </c>
      <c r="B82" s="247" t="s">
        <v>314</v>
      </c>
      <c r="C82" s="418">
        <f t="shared" si="1"/>
        <v>0</v>
      </c>
      <c r="D82" s="324"/>
      <c r="E82" s="162"/>
      <c r="F82" s="162"/>
    </row>
    <row r="83" spans="1:6" s="245" customFormat="1" ht="12" customHeight="1" thickBot="1" x14ac:dyDescent="0.25">
      <c r="A83" s="252" t="s">
        <v>315</v>
      </c>
      <c r="B83" s="155" t="s">
        <v>316</v>
      </c>
      <c r="C83" s="419">
        <f t="shared" si="1"/>
        <v>0</v>
      </c>
      <c r="D83" s="324"/>
      <c r="E83" s="162"/>
      <c r="F83" s="162"/>
    </row>
    <row r="84" spans="1:6" s="245" customFormat="1" ht="12" customHeight="1" thickBot="1" x14ac:dyDescent="0.25">
      <c r="A84" s="307" t="s">
        <v>317</v>
      </c>
      <c r="B84" s="153" t="s">
        <v>537</v>
      </c>
      <c r="C84" s="643">
        <f t="shared" si="1"/>
        <v>0</v>
      </c>
      <c r="D84" s="359"/>
      <c r="E84" s="285"/>
      <c r="F84" s="285"/>
    </row>
    <row r="85" spans="1:6" s="245" customFormat="1" ht="13.5" customHeight="1" thickBot="1" x14ac:dyDescent="0.25">
      <c r="A85" s="307" t="s">
        <v>319</v>
      </c>
      <c r="B85" s="153" t="s">
        <v>318</v>
      </c>
      <c r="C85" s="420">
        <f t="shared" si="1"/>
        <v>0</v>
      </c>
      <c r="D85" s="359"/>
      <c r="E85" s="285"/>
      <c r="F85" s="285"/>
    </row>
    <row r="86" spans="1:6" s="245" customFormat="1" ht="15.75" customHeight="1" thickBot="1" x14ac:dyDescent="0.25">
      <c r="A86" s="307" t="s">
        <v>331</v>
      </c>
      <c r="B86" s="253" t="s">
        <v>538</v>
      </c>
      <c r="C86" s="158">
        <f t="shared" si="1"/>
        <v>297633965</v>
      </c>
      <c r="D86" s="355">
        <f>+D63+D67+D72+D75+D79+D85+D84</f>
        <v>294831423</v>
      </c>
      <c r="E86" s="163">
        <f>+E63+E67+E72+E75+E79+E85+E84</f>
        <v>0</v>
      </c>
      <c r="F86" s="163">
        <f>+F63+F67+F72+F75+F79+F85+F84</f>
        <v>2802542</v>
      </c>
    </row>
    <row r="87" spans="1:6" s="245" customFormat="1" ht="16.5" customHeight="1" thickBot="1" x14ac:dyDescent="0.25">
      <c r="A87" s="309" t="s">
        <v>539</v>
      </c>
      <c r="B87" s="254" t="s">
        <v>540</v>
      </c>
      <c r="C87" s="313">
        <f t="shared" si="1"/>
        <v>2534229570</v>
      </c>
      <c r="D87" s="355">
        <f>+D62+D86</f>
        <v>2354133686</v>
      </c>
      <c r="E87" s="163">
        <f>+E62+E86</f>
        <v>2748500</v>
      </c>
      <c r="F87" s="163">
        <f>+F62+F86</f>
        <v>177347384</v>
      </c>
    </row>
    <row r="88" spans="1:6" s="245" customFormat="1" ht="83.25" customHeight="1" x14ac:dyDescent="0.2">
      <c r="A88" s="4"/>
      <c r="B88" s="5"/>
      <c r="C88" s="164"/>
    </row>
    <row r="89" spans="1:6" ht="16.5" customHeight="1" x14ac:dyDescent="0.25">
      <c r="A89" s="954" t="s">
        <v>74</v>
      </c>
      <c r="B89" s="954"/>
      <c r="C89" s="954"/>
    </row>
    <row r="90" spans="1:6" s="255" customFormat="1" ht="16.5" customHeight="1" thickBot="1" x14ac:dyDescent="0.3">
      <c r="A90" s="955" t="s">
        <v>168</v>
      </c>
      <c r="B90" s="955"/>
      <c r="C90" s="86" t="s">
        <v>676</v>
      </c>
    </row>
    <row r="91" spans="1:6" ht="38.1" customHeight="1" thickBot="1" x14ac:dyDescent="0.3">
      <c r="A91" s="22" t="s">
        <v>96</v>
      </c>
      <c r="B91" s="23" t="s">
        <v>75</v>
      </c>
      <c r="C91" s="35" t="str">
        <f>+C3</f>
        <v>2017. évi előirányzat</v>
      </c>
    </row>
    <row r="92" spans="1:6" s="244" customFormat="1" ht="12" customHeight="1" thickBot="1" x14ac:dyDescent="0.25">
      <c r="A92" s="31" t="s">
        <v>524</v>
      </c>
      <c r="B92" s="32" t="s">
        <v>525</v>
      </c>
      <c r="C92" s="240" t="s">
        <v>526</v>
      </c>
    </row>
    <row r="93" spans="1:6" ht="12" customHeight="1" thickBot="1" x14ac:dyDescent="0.3">
      <c r="A93" s="21" t="s">
        <v>45</v>
      </c>
      <c r="B93" s="25" t="s">
        <v>578</v>
      </c>
      <c r="C93" s="158">
        <f t="shared" ref="C93:C154" si="2">SUM(D93:F93)</f>
        <v>1687995429</v>
      </c>
      <c r="D93" s="363">
        <f>+D94+D95+D96+D97+D98+D111</f>
        <v>803820265</v>
      </c>
      <c r="E93" s="157">
        <f>+E94+E95+E96+E97+E98+E111</f>
        <v>26260350</v>
      </c>
      <c r="F93" s="385">
        <f>F94+F95+F96+F97+F98+F111</f>
        <v>857914814</v>
      </c>
    </row>
    <row r="94" spans="1:6" ht="12" customHeight="1" x14ac:dyDescent="0.25">
      <c r="A94" s="16" t="s">
        <v>121</v>
      </c>
      <c r="B94" s="9" t="s">
        <v>76</v>
      </c>
      <c r="C94" s="803">
        <f t="shared" si="2"/>
        <v>645810582</v>
      </c>
      <c r="D94" s="388">
        <f>25364000+1932000+165142000+105000+48000+8381882+232903371+281000+326126+85501355+54000-231000-1302308+140000+50000+124089+1643675-132000-1343902+1090963-199331+2037000+101222+240000-395935-18339-279139483-198000-80000+444000+80000-388424+1577323+136000</f>
        <v>244274284</v>
      </c>
      <c r="E94" s="333">
        <v>579000</v>
      </c>
      <c r="F94" s="357">
        <f>400743120+112360+2034476-1932658</f>
        <v>400957298</v>
      </c>
    </row>
    <row r="95" spans="1:6" ht="12" customHeight="1" x14ac:dyDescent="0.25">
      <c r="A95" s="13" t="s">
        <v>122</v>
      </c>
      <c r="B95" s="7" t="s">
        <v>187</v>
      </c>
      <c r="C95" s="802">
        <f t="shared" si="2"/>
        <v>126290483</v>
      </c>
      <c r="D95" s="324">
        <f>5239000+425000+14000+19299000+23000+10000+922005+25618911+31000+35874+9405149+12000-45738-286508+51864+21830+69499+315700-26136-235888+208612+21425+448140+47520-65445-31590193-39204+388424+312310+720912+165768</f>
        <v>31517831</v>
      </c>
      <c r="E95" s="162">
        <v>231000</v>
      </c>
      <c r="F95" s="356">
        <f>94550329+22247+440742-471666</f>
        <v>94541652</v>
      </c>
    </row>
    <row r="96" spans="1:6" ht="12" customHeight="1" x14ac:dyDescent="0.25">
      <c r="A96" s="13" t="s">
        <v>123</v>
      </c>
      <c r="B96" s="7" t="s">
        <v>157</v>
      </c>
      <c r="C96" s="802">
        <f t="shared" si="2"/>
        <v>667455797</v>
      </c>
      <c r="D96" s="328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+600000-191864+30000+706000+361225+6840000+918292+13500+137360+2710661+209000-133428+570939+108500+433000+46000+8760131+1174136-2866987+1246500+68374+300000+199094+214000-4705000+254000+381000+2749550+394000+326000+454000+2267725-558800+1524000+1905000-2694940+2837893+896339-31916082+1924793+5080000+1028360+1000000-100000-201000+837694+1565437+1430020+127000+521001-53340+956299+151130+7533000</f>
        <v>303839583</v>
      </c>
      <c r="E96" s="235">
        <f>1141350+59000</f>
        <v>1200350</v>
      </c>
      <c r="F96" s="356">
        <f>377214048+80000-14878184</f>
        <v>362415864</v>
      </c>
    </row>
    <row r="97" spans="1:6" ht="12" customHeight="1" x14ac:dyDescent="0.25">
      <c r="A97" s="13" t="s">
        <v>124</v>
      </c>
      <c r="B97" s="7" t="s">
        <v>188</v>
      </c>
      <c r="C97" s="802">
        <f t="shared" si="2"/>
        <v>79248740</v>
      </c>
      <c r="D97" s="328">
        <f>70980000+5000-6906260-5080000-4000000</f>
        <v>54998740</v>
      </c>
      <c r="E97" s="235">
        <v>24250000</v>
      </c>
      <c r="F97" s="356"/>
    </row>
    <row r="98" spans="1:6" ht="12" customHeight="1" x14ac:dyDescent="0.25">
      <c r="A98" s="13" t="s">
        <v>135</v>
      </c>
      <c r="B98" s="6" t="s">
        <v>189</v>
      </c>
      <c r="C98" s="394">
        <f t="shared" si="2"/>
        <v>71420007</v>
      </c>
      <c r="D98" s="328">
        <f>SUM(D99:D110)</f>
        <v>71420007</v>
      </c>
      <c r="E98" s="235">
        <f>SUM(E99:E110)</f>
        <v>0</v>
      </c>
      <c r="F98" s="235"/>
    </row>
    <row r="99" spans="1:6" ht="12" customHeight="1" x14ac:dyDescent="0.25">
      <c r="A99" s="13" t="s">
        <v>125</v>
      </c>
      <c r="B99" s="7" t="s">
        <v>541</v>
      </c>
      <c r="C99" s="394">
        <f t="shared" si="2"/>
        <v>7358007</v>
      </c>
      <c r="D99" s="328">
        <f>1500+6098534+1143510+114463</f>
        <v>7358007</v>
      </c>
      <c r="E99" s="235"/>
      <c r="F99" s="235"/>
    </row>
    <row r="100" spans="1:6" ht="12" customHeight="1" x14ac:dyDescent="0.25">
      <c r="A100" s="13" t="s">
        <v>126</v>
      </c>
      <c r="B100" s="90" t="s">
        <v>542</v>
      </c>
      <c r="C100" s="394">
        <f t="shared" si="2"/>
        <v>0</v>
      </c>
      <c r="D100" s="328"/>
      <c r="E100" s="235"/>
      <c r="F100" s="235"/>
    </row>
    <row r="101" spans="1:6" ht="12" customHeight="1" x14ac:dyDescent="0.25">
      <c r="A101" s="13" t="s">
        <v>136</v>
      </c>
      <c r="B101" s="90" t="s">
        <v>543</v>
      </c>
      <c r="C101" s="394">
        <f t="shared" si="2"/>
        <v>0</v>
      </c>
      <c r="D101" s="328"/>
      <c r="E101" s="235"/>
      <c r="F101" s="235"/>
    </row>
    <row r="102" spans="1:6" ht="12" customHeight="1" x14ac:dyDescent="0.25">
      <c r="A102" s="13" t="s">
        <v>137</v>
      </c>
      <c r="B102" s="88" t="s">
        <v>334</v>
      </c>
      <c r="C102" s="394">
        <f t="shared" si="2"/>
        <v>0</v>
      </c>
      <c r="D102" s="328"/>
      <c r="E102" s="235"/>
      <c r="F102" s="235"/>
    </row>
    <row r="103" spans="1:6" ht="12" customHeight="1" x14ac:dyDescent="0.25">
      <c r="A103" s="13" t="s">
        <v>138</v>
      </c>
      <c r="B103" s="89" t="s">
        <v>335</v>
      </c>
      <c r="C103" s="394">
        <f t="shared" si="2"/>
        <v>0</v>
      </c>
      <c r="D103" s="328"/>
      <c r="E103" s="235"/>
      <c r="F103" s="235"/>
    </row>
    <row r="104" spans="1:6" ht="12" customHeight="1" x14ac:dyDescent="0.25">
      <c r="A104" s="13" t="s">
        <v>139</v>
      </c>
      <c r="B104" s="89" t="s">
        <v>336</v>
      </c>
      <c r="C104" s="394">
        <f t="shared" si="2"/>
        <v>0</v>
      </c>
      <c r="D104" s="328"/>
      <c r="E104" s="235"/>
      <c r="F104" s="235"/>
    </row>
    <row r="105" spans="1:6" ht="12" customHeight="1" x14ac:dyDescent="0.25">
      <c r="A105" s="13" t="s">
        <v>141</v>
      </c>
      <c r="B105" s="88" t="s">
        <v>337</v>
      </c>
      <c r="C105" s="394">
        <f t="shared" si="2"/>
        <v>0</v>
      </c>
      <c r="D105" s="328">
        <f>60754-60754</f>
        <v>0</v>
      </c>
      <c r="E105" s="235"/>
      <c r="F105" s="235"/>
    </row>
    <row r="106" spans="1:6" ht="12" customHeight="1" x14ac:dyDescent="0.25">
      <c r="A106" s="13" t="s">
        <v>190</v>
      </c>
      <c r="B106" s="88" t="s">
        <v>338</v>
      </c>
      <c r="C106" s="394">
        <f t="shared" si="2"/>
        <v>0</v>
      </c>
      <c r="D106" s="392"/>
      <c r="E106" s="235"/>
      <c r="F106" s="235"/>
    </row>
    <row r="107" spans="1:6" ht="12" customHeight="1" x14ac:dyDescent="0.25">
      <c r="A107" s="13" t="s">
        <v>332</v>
      </c>
      <c r="B107" s="89" t="s">
        <v>339</v>
      </c>
      <c r="C107" s="394">
        <f t="shared" si="2"/>
        <v>0</v>
      </c>
      <c r="D107" s="328"/>
      <c r="E107" s="235"/>
      <c r="F107" s="235"/>
    </row>
    <row r="108" spans="1:6" ht="12" customHeight="1" x14ac:dyDescent="0.25">
      <c r="A108" s="12" t="s">
        <v>333</v>
      </c>
      <c r="B108" s="90" t="s">
        <v>340</v>
      </c>
      <c r="C108" s="394">
        <f t="shared" si="2"/>
        <v>0</v>
      </c>
      <c r="D108" s="328"/>
      <c r="E108" s="235"/>
      <c r="F108" s="235"/>
    </row>
    <row r="109" spans="1:6" ht="12" customHeight="1" x14ac:dyDescent="0.25">
      <c r="A109" s="13" t="s">
        <v>544</v>
      </c>
      <c r="B109" s="90" t="s">
        <v>341</v>
      </c>
      <c r="C109" s="394">
        <f t="shared" si="2"/>
        <v>0</v>
      </c>
      <c r="D109" s="328"/>
      <c r="E109" s="235"/>
      <c r="F109" s="235"/>
    </row>
    <row r="110" spans="1:6" ht="12" customHeight="1" x14ac:dyDescent="0.25">
      <c r="A110" s="15" t="s">
        <v>545</v>
      </c>
      <c r="B110" s="90" t="s">
        <v>342</v>
      </c>
      <c r="C110" s="394">
        <f t="shared" si="2"/>
        <v>64062000</v>
      </c>
      <c r="D110" s="324">
        <f>536000+1500000+500000+4000000+200000+189000+7562000+16678000+3500000+6600000+2000000+4000000+7351000+2875000+250000+3000000+60000+3261000</f>
        <v>64062000</v>
      </c>
      <c r="E110" s="162"/>
      <c r="F110" s="235"/>
    </row>
    <row r="111" spans="1:6" ht="12" customHeight="1" x14ac:dyDescent="0.25">
      <c r="A111" s="13" t="s">
        <v>546</v>
      </c>
      <c r="B111" s="7" t="s">
        <v>77</v>
      </c>
      <c r="C111" s="394">
        <f t="shared" si="2"/>
        <v>97769820</v>
      </c>
      <c r="D111" s="324">
        <f>SUM(D112:D113)</f>
        <v>97769820</v>
      </c>
      <c r="E111" s="162"/>
      <c r="F111" s="162">
        <f>SUM(F112:F113)</f>
        <v>0</v>
      </c>
    </row>
    <row r="112" spans="1:6" ht="12" customHeight="1" x14ac:dyDescent="0.25">
      <c r="A112" s="13" t="s">
        <v>547</v>
      </c>
      <c r="B112" s="7" t="s">
        <v>548</v>
      </c>
      <c r="C112" s="802">
        <f t="shared" si="2"/>
        <v>30975496</v>
      </c>
      <c r="D112" s="328">
        <f>20000000-9172313+8719388-4010722-1042502-1846399+5485909+1656508+8185627+3000000</f>
        <v>30975496</v>
      </c>
      <c r="E112" s="235"/>
      <c r="F112" s="162"/>
    </row>
    <row r="113" spans="1:6" ht="12" customHeight="1" thickBot="1" x14ac:dyDescent="0.3">
      <c r="A113" s="17" t="s">
        <v>549</v>
      </c>
      <c r="B113" s="310" t="s">
        <v>550</v>
      </c>
      <c r="C113" s="804">
        <f t="shared" si="2"/>
        <v>66794324</v>
      </c>
      <c r="D113" s="389">
        <f>111113300-8373330-1600000-8539600-6323156-7948000-7343244+31158286-32066515+411581-3261000-433998</f>
        <v>66794324</v>
      </c>
      <c r="E113" s="345"/>
      <c r="F113" s="345"/>
    </row>
    <row r="114" spans="1:6" ht="12" customHeight="1" thickBot="1" x14ac:dyDescent="0.3">
      <c r="A114" s="311" t="s">
        <v>46</v>
      </c>
      <c r="B114" s="312" t="s">
        <v>343</v>
      </c>
      <c r="C114" s="158">
        <f t="shared" si="2"/>
        <v>508553917</v>
      </c>
      <c r="D114" s="351">
        <f>+D115+D117+D119</f>
        <v>502101497</v>
      </c>
      <c r="E114" s="158">
        <f>+E115+E117+E119</f>
        <v>0</v>
      </c>
      <c r="F114" s="313">
        <f>+F115+F117+F119</f>
        <v>6452420</v>
      </c>
    </row>
    <row r="115" spans="1:6" ht="18.75" customHeight="1" x14ac:dyDescent="0.25">
      <c r="A115" s="14" t="s">
        <v>127</v>
      </c>
      <c r="B115" s="7" t="s">
        <v>207</v>
      </c>
      <c r="C115" s="803">
        <f t="shared" si="2"/>
        <v>352545199</v>
      </c>
      <c r="D115" s="358">
        <f>6621000+787402+10624171+3081125+529000+1654000+447000+2237000+6604000+204000+15179276+979170-1000000+90000+2160000+4226991+40000+71809476+15956160+214128350+180000+1238248+151042-2768918+2707800+12700+370002+35000+349250-127000-254000+5001260+2694940+11000-979170-14894286+95000-1889633+421433+133000+100000+2959448+359410+253340+561000+360045-6245860</f>
        <v>347193172</v>
      </c>
      <c r="E115" s="284"/>
      <c r="F115" s="284">
        <f>5617027-265000</f>
        <v>5352027</v>
      </c>
    </row>
    <row r="116" spans="1:6" ht="12" customHeight="1" x14ac:dyDescent="0.25">
      <c r="A116" s="14" t="s">
        <v>128</v>
      </c>
      <c r="B116" s="11" t="s">
        <v>347</v>
      </c>
      <c r="C116" s="802">
        <f t="shared" si="2"/>
        <v>318346132</v>
      </c>
      <c r="D116" s="358">
        <f>14492698-1000000+71809476+15956160+214128350+2959448</f>
        <v>318346132</v>
      </c>
      <c r="E116" s="284"/>
      <c r="F116" s="284"/>
    </row>
    <row r="117" spans="1:6" ht="12" customHeight="1" x14ac:dyDescent="0.25">
      <c r="A117" s="14" t="s">
        <v>129</v>
      </c>
      <c r="B117" s="11" t="s">
        <v>191</v>
      </c>
      <c r="C117" s="394">
        <f t="shared" si="2"/>
        <v>108104218</v>
      </c>
      <c r="D117" s="324">
        <f>53340000+1513000+2996000+809000+7509510+1000000-60160+600000+18459450+2866987+5566352+3795044+200000+5929-203244-1286510+558800+9053657+200000+80010</f>
        <v>107003825</v>
      </c>
      <c r="E117" s="162"/>
      <c r="F117" s="162">
        <f>500000-134607+578000+157000</f>
        <v>1100393</v>
      </c>
    </row>
    <row r="118" spans="1:6" ht="12" customHeight="1" x14ac:dyDescent="0.25">
      <c r="A118" s="14" t="s">
        <v>130</v>
      </c>
      <c r="B118" s="11" t="s">
        <v>348</v>
      </c>
      <c r="C118" s="394">
        <f t="shared" si="2"/>
        <v>57931800</v>
      </c>
      <c r="D118" s="324">
        <f>53340000+1000000+3795044-203244</f>
        <v>57931800</v>
      </c>
      <c r="E118" s="337"/>
      <c r="F118" s="337"/>
    </row>
    <row r="119" spans="1:6" ht="12" customHeight="1" x14ac:dyDescent="0.25">
      <c r="A119" s="14" t="s">
        <v>131</v>
      </c>
      <c r="B119" s="155" t="s">
        <v>209</v>
      </c>
      <c r="C119" s="394">
        <f t="shared" si="2"/>
        <v>47904500</v>
      </c>
      <c r="D119" s="328">
        <f>SUM(D120:D127)</f>
        <v>47904500</v>
      </c>
      <c r="E119" s="324"/>
      <c r="F119" s="324"/>
    </row>
    <row r="120" spans="1:6" ht="12" customHeight="1" x14ac:dyDescent="0.25">
      <c r="A120" s="14" t="s">
        <v>140</v>
      </c>
      <c r="B120" s="154" t="s">
        <v>410</v>
      </c>
      <c r="C120" s="394">
        <f t="shared" si="2"/>
        <v>0</v>
      </c>
      <c r="D120" s="145"/>
      <c r="E120" s="145"/>
      <c r="F120" s="145"/>
    </row>
    <row r="121" spans="1:6" ht="12" customHeight="1" x14ac:dyDescent="0.25">
      <c r="A121" s="14" t="s">
        <v>142</v>
      </c>
      <c r="B121" s="242" t="s">
        <v>353</v>
      </c>
      <c r="C121" s="418">
        <f t="shared" si="2"/>
        <v>0</v>
      </c>
      <c r="D121" s="145"/>
      <c r="E121" s="145"/>
      <c r="F121" s="145"/>
    </row>
    <row r="122" spans="1:6" x14ac:dyDescent="0.25">
      <c r="A122" s="14" t="s">
        <v>192</v>
      </c>
      <c r="B122" s="89" t="s">
        <v>336</v>
      </c>
      <c r="C122" s="418">
        <f t="shared" si="2"/>
        <v>0</v>
      </c>
      <c r="D122" s="145"/>
      <c r="E122" s="145"/>
      <c r="F122" s="145"/>
    </row>
    <row r="123" spans="1:6" ht="12" customHeight="1" x14ac:dyDescent="0.25">
      <c r="A123" s="14" t="s">
        <v>193</v>
      </c>
      <c r="B123" s="89" t="s">
        <v>352</v>
      </c>
      <c r="C123" s="418">
        <f t="shared" si="2"/>
        <v>0</v>
      </c>
      <c r="D123" s="145"/>
      <c r="E123" s="145"/>
      <c r="F123" s="145"/>
    </row>
    <row r="124" spans="1:6" ht="12" customHeight="1" x14ac:dyDescent="0.25">
      <c r="A124" s="14" t="s">
        <v>194</v>
      </c>
      <c r="B124" s="89" t="s">
        <v>351</v>
      </c>
      <c r="C124" s="418">
        <f t="shared" si="2"/>
        <v>0</v>
      </c>
      <c r="D124" s="145"/>
      <c r="E124" s="145"/>
      <c r="F124" s="145"/>
    </row>
    <row r="125" spans="1:6" ht="12" customHeight="1" x14ac:dyDescent="0.25">
      <c r="A125" s="14" t="s">
        <v>344</v>
      </c>
      <c r="B125" s="89" t="s">
        <v>339</v>
      </c>
      <c r="C125" s="418">
        <f t="shared" si="2"/>
        <v>5000</v>
      </c>
      <c r="D125" s="145">
        <v>5000</v>
      </c>
      <c r="E125" s="145"/>
      <c r="F125" s="145"/>
    </row>
    <row r="126" spans="1:6" ht="12" customHeight="1" x14ac:dyDescent="0.25">
      <c r="A126" s="14" t="s">
        <v>345</v>
      </c>
      <c r="B126" s="89" t="s">
        <v>350</v>
      </c>
      <c r="C126" s="418">
        <f t="shared" si="2"/>
        <v>0</v>
      </c>
      <c r="D126" s="145"/>
      <c r="E126" s="145"/>
      <c r="F126" s="145"/>
    </row>
    <row r="127" spans="1:6" ht="16.5" thickBot="1" x14ac:dyDescent="0.3">
      <c r="A127" s="12" t="s">
        <v>346</v>
      </c>
      <c r="B127" s="89" t="s">
        <v>349</v>
      </c>
      <c r="C127" s="804">
        <f t="shared" si="2"/>
        <v>47899500</v>
      </c>
      <c r="D127" s="146">
        <f>42072000+2400000+1348000+1079500+1000000</f>
        <v>47899500</v>
      </c>
      <c r="E127" s="328"/>
      <c r="F127" s="146"/>
    </row>
    <row r="128" spans="1:6" ht="12" customHeight="1" thickBot="1" x14ac:dyDescent="0.3">
      <c r="A128" s="19" t="s">
        <v>47</v>
      </c>
      <c r="B128" s="84" t="s">
        <v>551</v>
      </c>
      <c r="C128" s="158">
        <f t="shared" si="2"/>
        <v>2196549346</v>
      </c>
      <c r="D128" s="351">
        <f>+D93+D114</f>
        <v>1305921762</v>
      </c>
      <c r="E128" s="158">
        <f>+E93+E114</f>
        <v>26260350</v>
      </c>
      <c r="F128" s="158">
        <f>+F93+F114</f>
        <v>864367234</v>
      </c>
    </row>
    <row r="129" spans="1:6" ht="12" customHeight="1" thickBot="1" x14ac:dyDescent="0.3">
      <c r="A129" s="19" t="s">
        <v>48</v>
      </c>
      <c r="B129" s="84" t="s">
        <v>552</v>
      </c>
      <c r="C129" s="420">
        <f t="shared" si="2"/>
        <v>0</v>
      </c>
      <c r="D129" s="351">
        <f>+D130+D131+D132</f>
        <v>0</v>
      </c>
      <c r="E129" s="158">
        <f>+E130+E131+E132</f>
        <v>0</v>
      </c>
      <c r="F129" s="158">
        <f>+F130+F131+F132</f>
        <v>0</v>
      </c>
    </row>
    <row r="130" spans="1:6" ht="12" customHeight="1" x14ac:dyDescent="0.25">
      <c r="A130" s="14" t="s">
        <v>244</v>
      </c>
      <c r="B130" s="11" t="s">
        <v>553</v>
      </c>
      <c r="C130" s="241">
        <f t="shared" si="2"/>
        <v>0</v>
      </c>
      <c r="D130" s="324"/>
      <c r="E130" s="324"/>
      <c r="F130" s="324"/>
    </row>
    <row r="131" spans="1:6" ht="12" customHeight="1" x14ac:dyDescent="0.25">
      <c r="A131" s="14" t="s">
        <v>247</v>
      </c>
      <c r="B131" s="11" t="s">
        <v>554</v>
      </c>
      <c r="C131" s="418">
        <f t="shared" si="2"/>
        <v>0</v>
      </c>
      <c r="D131" s="145"/>
      <c r="E131" s="145"/>
      <c r="F131" s="145"/>
    </row>
    <row r="132" spans="1:6" ht="12" customHeight="1" thickBot="1" x14ac:dyDescent="0.3">
      <c r="A132" s="12" t="s">
        <v>248</v>
      </c>
      <c r="B132" s="11" t="s">
        <v>555</v>
      </c>
      <c r="C132" s="419">
        <f t="shared" si="2"/>
        <v>0</v>
      </c>
      <c r="D132" s="145"/>
      <c r="E132" s="145"/>
      <c r="F132" s="145"/>
    </row>
    <row r="133" spans="1:6" ht="12" customHeight="1" thickBot="1" x14ac:dyDescent="0.3">
      <c r="A133" s="19" t="s">
        <v>49</v>
      </c>
      <c r="B133" s="84" t="s">
        <v>556</v>
      </c>
      <c r="C133" s="420">
        <f t="shared" si="2"/>
        <v>0</v>
      </c>
      <c r="D133" s="351">
        <f>+D134+D135+D136+D137+D138+D139</f>
        <v>0</v>
      </c>
      <c r="E133" s="158">
        <f>+E134+E135+E136+E137+E138+E139</f>
        <v>0</v>
      </c>
      <c r="F133" s="158">
        <f>SUM(F134:F139)</f>
        <v>0</v>
      </c>
    </row>
    <row r="134" spans="1:6" ht="12" customHeight="1" x14ac:dyDescent="0.25">
      <c r="A134" s="14" t="s">
        <v>114</v>
      </c>
      <c r="B134" s="8" t="s">
        <v>557</v>
      </c>
      <c r="C134" s="241">
        <f t="shared" si="2"/>
        <v>0</v>
      </c>
      <c r="D134" s="145"/>
      <c r="E134" s="145"/>
      <c r="F134" s="145"/>
    </row>
    <row r="135" spans="1:6" ht="12" customHeight="1" x14ac:dyDescent="0.25">
      <c r="A135" s="14" t="s">
        <v>115</v>
      </c>
      <c r="B135" s="8" t="s">
        <v>558</v>
      </c>
      <c r="C135" s="418">
        <f t="shared" si="2"/>
        <v>0</v>
      </c>
      <c r="D135" s="145"/>
      <c r="E135" s="145"/>
      <c r="F135" s="145"/>
    </row>
    <row r="136" spans="1:6" ht="12" customHeight="1" x14ac:dyDescent="0.25">
      <c r="A136" s="14" t="s">
        <v>116</v>
      </c>
      <c r="B136" s="8" t="s">
        <v>559</v>
      </c>
      <c r="C136" s="418">
        <f t="shared" si="2"/>
        <v>0</v>
      </c>
      <c r="D136" s="145"/>
      <c r="E136" s="145"/>
      <c r="F136" s="145"/>
    </row>
    <row r="137" spans="1:6" ht="12" customHeight="1" x14ac:dyDescent="0.25">
      <c r="A137" s="14" t="s">
        <v>179</v>
      </c>
      <c r="B137" s="8" t="s">
        <v>560</v>
      </c>
      <c r="C137" s="418">
        <f t="shared" si="2"/>
        <v>0</v>
      </c>
      <c r="D137" s="145"/>
      <c r="E137" s="145"/>
      <c r="F137" s="145"/>
    </row>
    <row r="138" spans="1:6" ht="12" customHeight="1" x14ac:dyDescent="0.25">
      <c r="A138" s="14" t="s">
        <v>180</v>
      </c>
      <c r="B138" s="8" t="s">
        <v>561</v>
      </c>
      <c r="C138" s="418">
        <f t="shared" si="2"/>
        <v>0</v>
      </c>
      <c r="D138" s="145"/>
      <c r="E138" s="145"/>
      <c r="F138" s="145"/>
    </row>
    <row r="139" spans="1:6" ht="12" customHeight="1" thickBot="1" x14ac:dyDescent="0.3">
      <c r="A139" s="12" t="s">
        <v>181</v>
      </c>
      <c r="B139" s="8" t="s">
        <v>562</v>
      </c>
      <c r="C139" s="419">
        <f t="shared" si="2"/>
        <v>0</v>
      </c>
      <c r="D139" s="145"/>
      <c r="E139" s="145"/>
      <c r="F139" s="145"/>
    </row>
    <row r="140" spans="1:6" ht="12" customHeight="1" thickBot="1" x14ac:dyDescent="0.3">
      <c r="A140" s="19" t="s">
        <v>50</v>
      </c>
      <c r="B140" s="84" t="s">
        <v>563</v>
      </c>
      <c r="C140" s="158">
        <f t="shared" si="2"/>
        <v>35164932</v>
      </c>
      <c r="D140" s="355">
        <f>+D141+D142+D143+D144</f>
        <v>35164932</v>
      </c>
      <c r="E140" s="163">
        <f>+E141+E142+E143+E144</f>
        <v>0</v>
      </c>
      <c r="F140" s="163">
        <f>+F141+F142+F143+F144</f>
        <v>0</v>
      </c>
    </row>
    <row r="141" spans="1:6" ht="12" customHeight="1" x14ac:dyDescent="0.25">
      <c r="A141" s="14" t="s">
        <v>117</v>
      </c>
      <c r="B141" s="8" t="s">
        <v>354</v>
      </c>
      <c r="C141" s="241">
        <f t="shared" si="2"/>
        <v>0</v>
      </c>
      <c r="D141" s="145"/>
      <c r="E141" s="145"/>
      <c r="F141" s="145"/>
    </row>
    <row r="142" spans="1:6" ht="12" customHeight="1" x14ac:dyDescent="0.25">
      <c r="A142" s="14" t="s">
        <v>118</v>
      </c>
      <c r="B142" s="8" t="s">
        <v>355</v>
      </c>
      <c r="C142" s="418">
        <f t="shared" si="2"/>
        <v>35164932</v>
      </c>
      <c r="D142" s="145">
        <v>35164932</v>
      </c>
      <c r="E142" s="145"/>
      <c r="F142" s="145"/>
    </row>
    <row r="143" spans="1:6" ht="12" customHeight="1" x14ac:dyDescent="0.25">
      <c r="A143" s="14" t="s">
        <v>268</v>
      </c>
      <c r="B143" s="8" t="s">
        <v>564</v>
      </c>
      <c r="C143" s="418">
        <f t="shared" si="2"/>
        <v>0</v>
      </c>
      <c r="D143" s="145"/>
      <c r="E143" s="145"/>
      <c r="F143" s="145"/>
    </row>
    <row r="144" spans="1:6" ht="12" customHeight="1" thickBot="1" x14ac:dyDescent="0.3">
      <c r="A144" s="12" t="s">
        <v>269</v>
      </c>
      <c r="B144" s="6" t="s">
        <v>373</v>
      </c>
      <c r="C144" s="419">
        <f t="shared" si="2"/>
        <v>0</v>
      </c>
      <c r="D144" s="145"/>
      <c r="E144" s="145"/>
      <c r="F144" s="145"/>
    </row>
    <row r="145" spans="1:9" ht="12" customHeight="1" thickBot="1" x14ac:dyDescent="0.3">
      <c r="A145" s="19" t="s">
        <v>51</v>
      </c>
      <c r="B145" s="84" t="s">
        <v>565</v>
      </c>
      <c r="C145" s="420">
        <f t="shared" si="2"/>
        <v>0</v>
      </c>
      <c r="D145" s="366">
        <f>+D146+D147+D148+D149+D150</f>
        <v>0</v>
      </c>
      <c r="E145" s="166">
        <f>+E146+E147+E148+E149+E150</f>
        <v>0</v>
      </c>
      <c r="F145" s="166">
        <f>SUM(F146:F150)</f>
        <v>0</v>
      </c>
    </row>
    <row r="146" spans="1:9" ht="12" customHeight="1" x14ac:dyDescent="0.25">
      <c r="A146" s="14" t="s">
        <v>119</v>
      </c>
      <c r="B146" s="8" t="s">
        <v>566</v>
      </c>
      <c r="C146" s="241">
        <f t="shared" si="2"/>
        <v>0</v>
      </c>
      <c r="D146" s="145"/>
      <c r="E146" s="145"/>
      <c r="F146" s="145"/>
    </row>
    <row r="147" spans="1:9" ht="12" customHeight="1" x14ac:dyDescent="0.25">
      <c r="A147" s="14" t="s">
        <v>120</v>
      </c>
      <c r="B147" s="8" t="s">
        <v>567</v>
      </c>
      <c r="C147" s="418">
        <f t="shared" si="2"/>
        <v>0</v>
      </c>
      <c r="D147" s="145"/>
      <c r="E147" s="145"/>
      <c r="F147" s="145"/>
    </row>
    <row r="148" spans="1:9" ht="12" customHeight="1" x14ac:dyDescent="0.25">
      <c r="A148" s="14" t="s">
        <v>280</v>
      </c>
      <c r="B148" s="8" t="s">
        <v>568</v>
      </c>
      <c r="C148" s="418">
        <f t="shared" si="2"/>
        <v>0</v>
      </c>
      <c r="D148" s="145"/>
      <c r="E148" s="145"/>
      <c r="F148" s="145"/>
    </row>
    <row r="149" spans="1:9" ht="12" customHeight="1" x14ac:dyDescent="0.25">
      <c r="A149" s="14" t="s">
        <v>281</v>
      </c>
      <c r="B149" s="8" t="s">
        <v>569</v>
      </c>
      <c r="C149" s="418">
        <f t="shared" si="2"/>
        <v>0</v>
      </c>
      <c r="D149" s="145"/>
      <c r="E149" s="145"/>
      <c r="F149" s="145"/>
    </row>
    <row r="150" spans="1:9" ht="12" customHeight="1" thickBot="1" x14ac:dyDescent="0.3">
      <c r="A150" s="14" t="s">
        <v>570</v>
      </c>
      <c r="B150" s="8" t="s">
        <v>571</v>
      </c>
      <c r="C150" s="419">
        <f t="shared" si="2"/>
        <v>0</v>
      </c>
      <c r="D150" s="146"/>
      <c r="E150" s="146"/>
      <c r="F150" s="145"/>
    </row>
    <row r="151" spans="1:9" ht="12" customHeight="1" thickBot="1" x14ac:dyDescent="0.3">
      <c r="A151" s="19" t="s">
        <v>52</v>
      </c>
      <c r="B151" s="84" t="s">
        <v>572</v>
      </c>
      <c r="C151" s="158">
        <f t="shared" si="2"/>
        <v>0</v>
      </c>
      <c r="D151" s="366"/>
      <c r="E151" s="166"/>
      <c r="F151" s="314"/>
    </row>
    <row r="152" spans="1:9" ht="12" customHeight="1" thickBot="1" x14ac:dyDescent="0.3">
      <c r="A152" s="19" t="s">
        <v>53</v>
      </c>
      <c r="B152" s="84" t="s">
        <v>573</v>
      </c>
      <c r="C152" s="157">
        <f t="shared" si="2"/>
        <v>0</v>
      </c>
      <c r="D152" s="366"/>
      <c r="E152" s="166"/>
      <c r="F152" s="314"/>
    </row>
    <row r="153" spans="1:9" ht="15" customHeight="1" thickBot="1" x14ac:dyDescent="0.3">
      <c r="A153" s="19" t="s">
        <v>54</v>
      </c>
      <c r="B153" s="84" t="s">
        <v>574</v>
      </c>
      <c r="C153" s="157">
        <f t="shared" si="2"/>
        <v>35164932</v>
      </c>
      <c r="D153" s="369">
        <f>+D129+D133+D140+D145+D151+D152</f>
        <v>35164932</v>
      </c>
      <c r="E153" s="256">
        <f>+E129+E133+E140+E145+E151+E152</f>
        <v>0</v>
      </c>
      <c r="F153" s="256">
        <f>+F129+F133+F140+F145+F151+F152</f>
        <v>0</v>
      </c>
      <c r="G153" s="257"/>
      <c r="H153" s="257"/>
      <c r="I153" s="257"/>
    </row>
    <row r="154" spans="1:9" s="245" customFormat="1" ht="12.95" customHeight="1" thickBot="1" x14ac:dyDescent="0.25">
      <c r="A154" s="156" t="s">
        <v>55</v>
      </c>
      <c r="B154" s="231" t="s">
        <v>575</v>
      </c>
      <c r="C154" s="158">
        <f t="shared" si="2"/>
        <v>2231714278</v>
      </c>
      <c r="D154" s="369">
        <f>+D128+D153</f>
        <v>1341086694</v>
      </c>
      <c r="E154" s="256">
        <f>+E128+E153</f>
        <v>26260350</v>
      </c>
      <c r="F154" s="256">
        <f>+F128+F153</f>
        <v>864367234</v>
      </c>
    </row>
    <row r="155" spans="1:9" ht="7.5" customHeight="1" x14ac:dyDescent="0.25"/>
    <row r="156" spans="1:9" x14ac:dyDescent="0.25">
      <c r="A156" s="956" t="s">
        <v>356</v>
      </c>
      <c r="B156" s="956"/>
      <c r="C156" s="956"/>
    </row>
    <row r="157" spans="1:9" ht="15" customHeight="1" thickBot="1" x14ac:dyDescent="0.3">
      <c r="A157" s="953" t="s">
        <v>169</v>
      </c>
      <c r="B157" s="953"/>
      <c r="C157" s="167" t="s">
        <v>676</v>
      </c>
    </row>
    <row r="158" spans="1:9" ht="13.5" customHeight="1" thickBot="1" x14ac:dyDescent="0.3">
      <c r="A158" s="19">
        <v>1</v>
      </c>
      <c r="B158" s="24" t="s">
        <v>576</v>
      </c>
      <c r="C158" s="158">
        <f>+C62-C128</f>
        <v>40046259</v>
      </c>
    </row>
    <row r="159" spans="1:9" ht="27.75" customHeight="1" thickBot="1" x14ac:dyDescent="0.3">
      <c r="A159" s="19" t="s">
        <v>46</v>
      </c>
      <c r="B159" s="24" t="s">
        <v>577</v>
      </c>
      <c r="C159" s="158">
        <f>+C86-C153</f>
        <v>262469033</v>
      </c>
    </row>
    <row r="160" spans="1:9" x14ac:dyDescent="0.25">
      <c r="F160" s="428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KÖTELEZŐ FELADATAINAK MÉRLEGE &amp;R&amp;"Times New Roman CE,Félkövér dőlt"&amp;11 2. melléklet a  30/2017.(XI.30.)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1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278"/>
    </row>
    <row r="2" spans="1:3" s="279" customFormat="1" ht="33.75" customHeight="1" x14ac:dyDescent="0.2">
      <c r="A2" s="236" t="s">
        <v>201</v>
      </c>
      <c r="B2" s="209" t="s">
        <v>620</v>
      </c>
      <c r="C2" s="223" t="s">
        <v>89</v>
      </c>
    </row>
    <row r="3" spans="1:3" s="279" customFormat="1" ht="24.75" thickBot="1" x14ac:dyDescent="0.25">
      <c r="A3" s="272" t="s">
        <v>200</v>
      </c>
      <c r="B3" s="210" t="s">
        <v>400</v>
      </c>
      <c r="C3" s="224" t="s">
        <v>89</v>
      </c>
    </row>
    <row r="4" spans="1:3" s="280" customFormat="1" ht="15.95" customHeight="1" thickBot="1" x14ac:dyDescent="0.3">
      <c r="A4" s="122"/>
      <c r="B4" s="122"/>
      <c r="C4" s="123" t="s">
        <v>677</v>
      </c>
    </row>
    <row r="5" spans="1:3" ht="13.5" thickBot="1" x14ac:dyDescent="0.25">
      <c r="A5" s="237" t="s">
        <v>202</v>
      </c>
      <c r="B5" s="124" t="s">
        <v>82</v>
      </c>
      <c r="C5" s="125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98" t="s">
        <v>526</v>
      </c>
    </row>
    <row r="7" spans="1:3" s="281" customFormat="1" ht="15.95" customHeight="1" thickBot="1" x14ac:dyDescent="0.25">
      <c r="A7" s="126"/>
      <c r="B7" s="127" t="s">
        <v>84</v>
      </c>
      <c r="C7" s="128"/>
    </row>
    <row r="8" spans="1:3" s="225" customFormat="1" ht="12" customHeight="1" thickBot="1" x14ac:dyDescent="0.25">
      <c r="A8" s="96" t="s">
        <v>45</v>
      </c>
      <c r="B8" s="129" t="s">
        <v>606</v>
      </c>
      <c r="C8" s="174">
        <f>SUM(C9:C19)</f>
        <v>20300646</v>
      </c>
    </row>
    <row r="9" spans="1:3" s="225" customFormat="1" ht="12" customHeight="1" x14ac:dyDescent="0.2">
      <c r="A9" s="273" t="s">
        <v>121</v>
      </c>
      <c r="B9" s="9" t="s">
        <v>257</v>
      </c>
      <c r="C9" s="214">
        <v>52677</v>
      </c>
    </row>
    <row r="10" spans="1:3" s="225" customFormat="1" ht="12" customHeight="1" x14ac:dyDescent="0.2">
      <c r="A10" s="274" t="s">
        <v>122</v>
      </c>
      <c r="B10" s="7" t="s">
        <v>258</v>
      </c>
      <c r="C10" s="172">
        <f>16701996+3500000</f>
        <v>20201996</v>
      </c>
    </row>
    <row r="11" spans="1:3" s="225" customFormat="1" ht="12" customHeight="1" x14ac:dyDescent="0.2">
      <c r="A11" s="274" t="s">
        <v>123</v>
      </c>
      <c r="B11" s="7" t="s">
        <v>259</v>
      </c>
      <c r="C11" s="172">
        <v>25000</v>
      </c>
    </row>
    <row r="12" spans="1:3" s="225" customFormat="1" ht="12" customHeight="1" x14ac:dyDescent="0.2">
      <c r="A12" s="274" t="s">
        <v>124</v>
      </c>
      <c r="B12" s="7" t="s">
        <v>260</v>
      </c>
      <c r="C12" s="172"/>
    </row>
    <row r="13" spans="1:3" s="225" customFormat="1" ht="12" customHeight="1" x14ac:dyDescent="0.2">
      <c r="A13" s="274" t="s">
        <v>164</v>
      </c>
      <c r="B13" s="7" t="s">
        <v>261</v>
      </c>
      <c r="C13" s="172"/>
    </row>
    <row r="14" spans="1:3" s="225" customFormat="1" ht="12" customHeight="1" x14ac:dyDescent="0.2">
      <c r="A14" s="274" t="s">
        <v>125</v>
      </c>
      <c r="B14" s="7" t="s">
        <v>382</v>
      </c>
      <c r="C14" s="172">
        <f>6750+14223</f>
        <v>20973</v>
      </c>
    </row>
    <row r="15" spans="1:3" s="225" customFormat="1" ht="12" customHeight="1" x14ac:dyDescent="0.2">
      <c r="A15" s="274" t="s">
        <v>126</v>
      </c>
      <c r="B15" s="6" t="s">
        <v>383</v>
      </c>
      <c r="C15" s="172"/>
    </row>
    <row r="16" spans="1:3" s="225" customFormat="1" ht="12" customHeight="1" x14ac:dyDescent="0.2">
      <c r="A16" s="274" t="s">
        <v>136</v>
      </c>
      <c r="B16" s="7" t="s">
        <v>264</v>
      </c>
      <c r="C16" s="215"/>
    </row>
    <row r="17" spans="1:3" s="282" customFormat="1" ht="12" customHeight="1" x14ac:dyDescent="0.2">
      <c r="A17" s="274" t="s">
        <v>137</v>
      </c>
      <c r="B17" s="7" t="s">
        <v>265</v>
      </c>
      <c r="C17" s="172"/>
    </row>
    <row r="18" spans="1:3" s="282" customFormat="1" ht="12" customHeight="1" x14ac:dyDescent="0.2">
      <c r="A18" s="274" t="s">
        <v>138</v>
      </c>
      <c r="B18" s="7" t="s">
        <v>533</v>
      </c>
      <c r="C18" s="173"/>
    </row>
    <row r="19" spans="1:3" s="282" customFormat="1" ht="12" customHeight="1" thickBot="1" x14ac:dyDescent="0.25">
      <c r="A19" s="274" t="s">
        <v>139</v>
      </c>
      <c r="B19" s="6" t="s">
        <v>266</v>
      </c>
      <c r="C19" s="173"/>
    </row>
    <row r="20" spans="1:3" s="225" customFormat="1" ht="12" customHeight="1" thickBot="1" x14ac:dyDescent="0.25">
      <c r="A20" s="96" t="s">
        <v>46</v>
      </c>
      <c r="B20" s="129" t="s">
        <v>384</v>
      </c>
      <c r="C20" s="17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172"/>
    </row>
    <row r="22" spans="1:3" s="282" customFormat="1" ht="12" customHeight="1" x14ac:dyDescent="0.2">
      <c r="A22" s="274" t="s">
        <v>128</v>
      </c>
      <c r="B22" s="7" t="s">
        <v>385</v>
      </c>
      <c r="C22" s="172"/>
    </row>
    <row r="23" spans="1:3" s="282" customFormat="1" ht="12" customHeight="1" x14ac:dyDescent="0.2">
      <c r="A23" s="274" t="s">
        <v>129</v>
      </c>
      <c r="B23" s="7" t="s">
        <v>386</v>
      </c>
      <c r="C23" s="172"/>
    </row>
    <row r="24" spans="1:3" s="282" customFormat="1" ht="12" customHeight="1" thickBot="1" x14ac:dyDescent="0.25">
      <c r="A24" s="274" t="s">
        <v>130</v>
      </c>
      <c r="B24" s="7" t="s">
        <v>616</v>
      </c>
      <c r="C24" s="172"/>
    </row>
    <row r="25" spans="1:3" s="282" customFormat="1" ht="12" customHeight="1" thickBot="1" x14ac:dyDescent="0.25">
      <c r="A25" s="99" t="s">
        <v>47</v>
      </c>
      <c r="B25" s="84" t="s">
        <v>178</v>
      </c>
      <c r="C25" s="199"/>
    </row>
    <row r="26" spans="1:3" s="282" customFormat="1" ht="12" customHeight="1" thickBot="1" x14ac:dyDescent="0.25">
      <c r="A26" s="99" t="s">
        <v>48</v>
      </c>
      <c r="B26" s="84" t="s">
        <v>617</v>
      </c>
      <c r="C26" s="174">
        <f>+C27+C28</f>
        <v>0</v>
      </c>
    </row>
    <row r="27" spans="1:3" s="282" customFormat="1" ht="12" customHeight="1" x14ac:dyDescent="0.2">
      <c r="A27" s="275" t="s">
        <v>244</v>
      </c>
      <c r="B27" s="276" t="s">
        <v>385</v>
      </c>
      <c r="C27" s="50"/>
    </row>
    <row r="28" spans="1:3" s="282" customFormat="1" ht="12" customHeight="1" x14ac:dyDescent="0.2">
      <c r="A28" s="275" t="s">
        <v>247</v>
      </c>
      <c r="B28" s="277" t="s">
        <v>387</v>
      </c>
      <c r="C28" s="175"/>
    </row>
    <row r="29" spans="1:3" s="282" customFormat="1" ht="12" customHeight="1" thickBot="1" x14ac:dyDescent="0.25">
      <c r="A29" s="274" t="s">
        <v>248</v>
      </c>
      <c r="B29" s="87" t="s">
        <v>618</v>
      </c>
      <c r="C29" s="53"/>
    </row>
    <row r="30" spans="1:3" s="282" customFormat="1" ht="12" customHeight="1" thickBot="1" x14ac:dyDescent="0.25">
      <c r="A30" s="99" t="s">
        <v>49</v>
      </c>
      <c r="B30" s="84" t="s">
        <v>388</v>
      </c>
      <c r="C30" s="174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50"/>
    </row>
    <row r="32" spans="1:3" s="282" customFormat="1" ht="12" customHeight="1" x14ac:dyDescent="0.2">
      <c r="A32" s="275" t="s">
        <v>115</v>
      </c>
      <c r="B32" s="277" t="s">
        <v>272</v>
      </c>
      <c r="C32" s="175"/>
    </row>
    <row r="33" spans="1:3" s="282" customFormat="1" ht="12" customHeight="1" thickBot="1" x14ac:dyDescent="0.25">
      <c r="A33" s="274" t="s">
        <v>116</v>
      </c>
      <c r="B33" s="87" t="s">
        <v>273</v>
      </c>
      <c r="C33" s="53"/>
    </row>
    <row r="34" spans="1:3" s="225" customFormat="1" ht="12" customHeight="1" thickBot="1" x14ac:dyDescent="0.25">
      <c r="A34" s="99" t="s">
        <v>50</v>
      </c>
      <c r="B34" s="84" t="s">
        <v>359</v>
      </c>
      <c r="C34" s="199"/>
    </row>
    <row r="35" spans="1:3" s="225" customFormat="1" ht="12" customHeight="1" thickBot="1" x14ac:dyDescent="0.25">
      <c r="A35" s="99" t="s">
        <v>51</v>
      </c>
      <c r="B35" s="84" t="s">
        <v>389</v>
      </c>
      <c r="C35" s="216"/>
    </row>
    <row r="36" spans="1:3" s="225" customFormat="1" ht="12" customHeight="1" thickBot="1" x14ac:dyDescent="0.25">
      <c r="A36" s="96" t="s">
        <v>52</v>
      </c>
      <c r="B36" s="84" t="s">
        <v>619</v>
      </c>
      <c r="C36" s="217">
        <f>+C8+C20+C25+C26+C30+C34+C35</f>
        <v>20300646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217">
        <f>+C38+C39+C40</f>
        <v>7477638</v>
      </c>
    </row>
    <row r="38" spans="1:3" s="225" customFormat="1" ht="12" customHeight="1" x14ac:dyDescent="0.2">
      <c r="A38" s="275" t="s">
        <v>392</v>
      </c>
      <c r="B38" s="276" t="s">
        <v>216</v>
      </c>
      <c r="C38" s="50"/>
    </row>
    <row r="39" spans="1:3" s="225" customFormat="1" ht="12" customHeight="1" x14ac:dyDescent="0.2">
      <c r="A39" s="275" t="s">
        <v>393</v>
      </c>
      <c r="B39" s="277" t="s">
        <v>35</v>
      </c>
      <c r="C39" s="175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9381830+71808-3500000+254000+1270000</f>
        <v>7477638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20">
        <f>+C36+C37</f>
        <v>27778284</v>
      </c>
    </row>
    <row r="42" spans="1:3" s="282" customFormat="1" ht="15" customHeight="1" x14ac:dyDescent="0.2">
      <c r="A42" s="132"/>
      <c r="B42" s="133"/>
      <c r="C42" s="218"/>
    </row>
    <row r="43" spans="1:3" ht="13.5" thickBot="1" x14ac:dyDescent="0.25">
      <c r="A43" s="134"/>
      <c r="B43" s="135"/>
      <c r="C43" s="219"/>
    </row>
    <row r="44" spans="1:3" s="281" customFormat="1" ht="16.5" customHeight="1" thickBot="1" x14ac:dyDescent="0.25">
      <c r="A44" s="136"/>
      <c r="B44" s="137" t="s">
        <v>85</v>
      </c>
      <c r="C44" s="220"/>
    </row>
    <row r="45" spans="1:3" s="283" customFormat="1" ht="12" customHeight="1" thickBot="1" x14ac:dyDescent="0.25">
      <c r="A45" s="99" t="s">
        <v>45</v>
      </c>
      <c r="B45" s="84" t="s">
        <v>397</v>
      </c>
      <c r="C45" s="174">
        <f>SUM(C46:C50)</f>
        <v>27711384</v>
      </c>
    </row>
    <row r="46" spans="1:3" ht="12" customHeight="1" x14ac:dyDescent="0.2">
      <c r="A46" s="274" t="s">
        <v>121</v>
      </c>
      <c r="B46" s="8" t="s">
        <v>76</v>
      </c>
      <c r="C46" s="50">
        <f>5490499+59808</f>
        <v>5550307</v>
      </c>
    </row>
    <row r="47" spans="1:3" ht="12" customHeight="1" x14ac:dyDescent="0.2">
      <c r="A47" s="274" t="s">
        <v>122</v>
      </c>
      <c r="B47" s="7" t="s">
        <v>187</v>
      </c>
      <c r="C47" s="52">
        <f>1227785+12000</f>
        <v>1239785</v>
      </c>
    </row>
    <row r="48" spans="1:3" ht="12" customHeight="1" x14ac:dyDescent="0.2">
      <c r="A48" s="274" t="s">
        <v>123</v>
      </c>
      <c r="B48" s="7" t="s">
        <v>157</v>
      </c>
      <c r="C48" s="817">
        <f>19397292+254000+1270000</f>
        <v>20921292</v>
      </c>
    </row>
    <row r="49" spans="1:3" ht="12" customHeight="1" x14ac:dyDescent="0.2">
      <c r="A49" s="274" t="s">
        <v>124</v>
      </c>
      <c r="B49" s="7" t="s">
        <v>188</v>
      </c>
      <c r="C49" s="52"/>
    </row>
    <row r="50" spans="1:3" ht="12" customHeight="1" thickBot="1" x14ac:dyDescent="0.25">
      <c r="A50" s="274" t="s">
        <v>164</v>
      </c>
      <c r="B50" s="7" t="s">
        <v>189</v>
      </c>
      <c r="C50" s="52"/>
    </row>
    <row r="51" spans="1:3" ht="12" customHeight="1" thickBot="1" x14ac:dyDescent="0.25">
      <c r="A51" s="99" t="s">
        <v>46</v>
      </c>
      <c r="B51" s="84" t="s">
        <v>398</v>
      </c>
      <c r="C51" s="174">
        <f>SUM(C52:C54)</f>
        <v>66900</v>
      </c>
    </row>
    <row r="52" spans="1:3" s="283" customFormat="1" ht="12" customHeight="1" x14ac:dyDescent="0.2">
      <c r="A52" s="274" t="s">
        <v>127</v>
      </c>
      <c r="B52" s="8" t="s">
        <v>207</v>
      </c>
      <c r="C52" s="50">
        <v>66900</v>
      </c>
    </row>
    <row r="53" spans="1:3" ht="12" customHeight="1" x14ac:dyDescent="0.2">
      <c r="A53" s="274" t="s">
        <v>128</v>
      </c>
      <c r="B53" s="7" t="s">
        <v>191</v>
      </c>
      <c r="C53" s="52"/>
    </row>
    <row r="54" spans="1:3" ht="12" customHeight="1" x14ac:dyDescent="0.2">
      <c r="A54" s="274" t="s">
        <v>129</v>
      </c>
      <c r="B54" s="7" t="s">
        <v>86</v>
      </c>
      <c r="C54" s="52"/>
    </row>
    <row r="55" spans="1:3" ht="12" customHeight="1" thickBot="1" x14ac:dyDescent="0.25">
      <c r="A55" s="274" t="s">
        <v>130</v>
      </c>
      <c r="B55" s="7" t="s">
        <v>610</v>
      </c>
      <c r="C55" s="52"/>
    </row>
    <row r="56" spans="1:3" ht="15" customHeight="1" thickBot="1" x14ac:dyDescent="0.25">
      <c r="A56" s="99" t="s">
        <v>47</v>
      </c>
      <c r="B56" s="84" t="s">
        <v>39</v>
      </c>
      <c r="C56" s="199"/>
    </row>
    <row r="57" spans="1:3" ht="13.5" thickBot="1" x14ac:dyDescent="0.25">
      <c r="A57" s="99" t="s">
        <v>48</v>
      </c>
      <c r="B57" s="138" t="s">
        <v>611</v>
      </c>
      <c r="C57" s="221">
        <f>+C45+C51+C56</f>
        <v>27778284</v>
      </c>
    </row>
    <row r="58" spans="1:3" ht="15" customHeight="1" thickBot="1" x14ac:dyDescent="0.25">
      <c r="C58" s="222"/>
    </row>
    <row r="59" spans="1:3" ht="14.25" customHeight="1" thickBot="1" x14ac:dyDescent="0.25">
      <c r="A59" s="141" t="s">
        <v>603</v>
      </c>
      <c r="B59" s="142"/>
      <c r="C59" s="322">
        <v>3.5</v>
      </c>
    </row>
    <row r="60" spans="1:3" ht="13.5" thickBot="1" x14ac:dyDescent="0.25">
      <c r="A60" s="141" t="s">
        <v>203</v>
      </c>
      <c r="B60" s="142"/>
      <c r="C60" s="8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&amp;R20. melléklet a 30/2017.(XI.30.)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5"/>
  <sheetViews>
    <sheetView view="pageLayout" zoomScaleNormal="130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3.75" customHeight="1" x14ac:dyDescent="0.2">
      <c r="A2" s="236" t="s">
        <v>201</v>
      </c>
      <c r="B2" s="209" t="s">
        <v>653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381</v>
      </c>
      <c r="C3" s="719" t="s">
        <v>81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197246808</v>
      </c>
    </row>
    <row r="9" spans="1:3" s="225" customFormat="1" ht="12" customHeight="1" x14ac:dyDescent="0.2">
      <c r="A9" s="273" t="s">
        <v>121</v>
      </c>
      <c r="B9" s="9" t="s">
        <v>257</v>
      </c>
      <c r="C9" s="725"/>
    </row>
    <row r="10" spans="1:3" s="225" customFormat="1" ht="12" customHeight="1" x14ac:dyDescent="0.2">
      <c r="A10" s="274" t="s">
        <v>122</v>
      </c>
      <c r="B10" s="7" t="s">
        <v>258</v>
      </c>
      <c r="C10" s="726">
        <f>24562736-4705056-1200000+490000</f>
        <v>19147680</v>
      </c>
    </row>
    <row r="11" spans="1:3" s="225" customFormat="1" ht="12" customHeight="1" x14ac:dyDescent="0.2">
      <c r="A11" s="274" t="s">
        <v>123</v>
      </c>
      <c r="B11" s="7" t="s">
        <v>259</v>
      </c>
      <c r="C11" s="813">
        <f>10500000+1946520</f>
        <v>12446520</v>
      </c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726">
        <v>158991720</v>
      </c>
    </row>
    <row r="14" spans="1:3" s="225" customFormat="1" ht="12" customHeight="1" x14ac:dyDescent="0.2">
      <c r="A14" s="274" t="s">
        <v>125</v>
      </c>
      <c r="B14" s="7" t="s">
        <v>382</v>
      </c>
      <c r="C14" s="726">
        <f>3217536+3804538-1221150+132300</f>
        <v>5933224</v>
      </c>
    </row>
    <row r="15" spans="1:3" s="225" customFormat="1" ht="12" customHeight="1" x14ac:dyDescent="0.2">
      <c r="A15" s="274" t="s">
        <v>126</v>
      </c>
      <c r="B15" s="6" t="s">
        <v>383</v>
      </c>
      <c r="C15" s="726"/>
    </row>
    <row r="16" spans="1:3" s="225" customFormat="1" ht="12" customHeight="1" x14ac:dyDescent="0.2">
      <c r="A16" s="274" t="s">
        <v>136</v>
      </c>
      <c r="B16" s="7" t="s">
        <v>264</v>
      </c>
      <c r="C16" s="727"/>
    </row>
    <row r="17" spans="1:3" s="282" customFormat="1" ht="12" customHeight="1" x14ac:dyDescent="0.2">
      <c r="A17" s="274" t="s">
        <v>137</v>
      </c>
      <c r="B17" s="7" t="s">
        <v>265</v>
      </c>
      <c r="C17" s="726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819">
        <f>416514+311150</f>
        <v>727664</v>
      </c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27807178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>
        <f>5485000+374405+5445044+16502729</f>
        <v>27807178</v>
      </c>
    </row>
    <row r="24" spans="1:3" s="282" customFormat="1" ht="12" customHeight="1" thickBot="1" x14ac:dyDescent="0.25">
      <c r="A24" s="274" t="s">
        <v>130</v>
      </c>
      <c r="B24" s="7" t="s">
        <v>616</v>
      </c>
      <c r="C24" s="726">
        <f>374405+16502729</f>
        <v>16877134</v>
      </c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724">
        <f>+C27+C28</f>
        <v>5095118</v>
      </c>
    </row>
    <row r="27" spans="1:3" s="282" customFormat="1" ht="12" customHeight="1" x14ac:dyDescent="0.2">
      <c r="A27" s="275" t="s">
        <v>244</v>
      </c>
      <c r="B27" s="276" t="s">
        <v>385</v>
      </c>
      <c r="C27" s="730"/>
    </row>
    <row r="28" spans="1:3" s="282" customFormat="1" ht="12" customHeight="1" x14ac:dyDescent="0.2">
      <c r="A28" s="275" t="s">
        <v>247</v>
      </c>
      <c r="B28" s="277" t="s">
        <v>387</v>
      </c>
      <c r="C28" s="731">
        <f>2665000+2430118</f>
        <v>5095118</v>
      </c>
    </row>
    <row r="29" spans="1:3" s="282" customFormat="1" ht="12" customHeight="1" thickBot="1" x14ac:dyDescent="0.25">
      <c r="A29" s="274" t="s">
        <v>248</v>
      </c>
      <c r="B29" s="87" t="s">
        <v>618</v>
      </c>
      <c r="C29" s="732">
        <v>2430118</v>
      </c>
    </row>
    <row r="30" spans="1:3" s="282" customFormat="1" ht="12" customHeight="1" thickBot="1" x14ac:dyDescent="0.25">
      <c r="A30" s="99" t="s">
        <v>49</v>
      </c>
      <c r="B30" s="84" t="s">
        <v>388</v>
      </c>
      <c r="C30" s="724">
        <f>+C31+C32+C33</f>
        <v>250000</v>
      </c>
    </row>
    <row r="31" spans="1:3" s="282" customFormat="1" ht="12" customHeight="1" x14ac:dyDescent="0.2">
      <c r="A31" s="275" t="s">
        <v>114</v>
      </c>
      <c r="B31" s="276" t="s">
        <v>271</v>
      </c>
      <c r="C31" s="730"/>
    </row>
    <row r="32" spans="1:3" s="282" customFormat="1" ht="12" customHeight="1" x14ac:dyDescent="0.2">
      <c r="A32" s="275" t="s">
        <v>115</v>
      </c>
      <c r="B32" s="277" t="s">
        <v>272</v>
      </c>
      <c r="C32" s="731"/>
    </row>
    <row r="33" spans="1:3" s="282" customFormat="1" ht="12" customHeight="1" thickBot="1" x14ac:dyDescent="0.25">
      <c r="A33" s="274" t="s">
        <v>116</v>
      </c>
      <c r="B33" s="87" t="s">
        <v>273</v>
      </c>
      <c r="C33" s="732">
        <v>250000</v>
      </c>
    </row>
    <row r="34" spans="1:3" s="225" customFormat="1" ht="12" customHeight="1" thickBot="1" x14ac:dyDescent="0.25">
      <c r="A34" s="99" t="s">
        <v>50</v>
      </c>
      <c r="B34" s="84" t="s">
        <v>359</v>
      </c>
      <c r="C34" s="729"/>
    </row>
    <row r="35" spans="1:3" s="225" customFormat="1" ht="12" customHeight="1" thickBot="1" x14ac:dyDescent="0.25">
      <c r="A35" s="99" t="s">
        <v>51</v>
      </c>
      <c r="B35" s="84" t="s">
        <v>389</v>
      </c>
      <c r="C35" s="733">
        <v>1200000</v>
      </c>
    </row>
    <row r="36" spans="1:3" s="225" customFormat="1" ht="12" customHeight="1" thickBot="1" x14ac:dyDescent="0.25">
      <c r="A36" s="96" t="s">
        <v>52</v>
      </c>
      <c r="B36" s="84" t="s">
        <v>619</v>
      </c>
      <c r="C36" s="734">
        <f>+C8+C20+C25+C26+C30+C34+C35</f>
        <v>231599104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734">
        <f>+C38+C39+C40</f>
        <v>459126966</v>
      </c>
    </row>
    <row r="38" spans="1:3" s="225" customFormat="1" ht="12" customHeight="1" x14ac:dyDescent="0.2">
      <c r="A38" s="275" t="s">
        <v>392</v>
      </c>
      <c r="B38" s="276" t="s">
        <v>216</v>
      </c>
      <c r="C38" s="730">
        <v>418046</v>
      </c>
    </row>
    <row r="39" spans="1:3" s="225" customFormat="1" ht="12" customHeight="1" x14ac:dyDescent="0.2">
      <c r="A39" s="275" t="s">
        <v>393</v>
      </c>
      <c r="B39" s="277" t="s">
        <v>35</v>
      </c>
      <c r="C39" s="731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373234311+10002440+50810206+1956276+3921310+310040-1200000+11446758+3087000+115500+1200000+3825079</f>
        <v>458708920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17">
        <f>+C36+C37</f>
        <v>690726070</v>
      </c>
    </row>
    <row r="42" spans="1:3" s="282" customFormat="1" ht="15" customHeight="1" x14ac:dyDescent="0.2">
      <c r="A42" s="132"/>
      <c r="B42" s="133"/>
      <c r="C42" s="784"/>
    </row>
    <row r="43" spans="1:3" ht="13.5" thickBot="1" x14ac:dyDescent="0.25">
      <c r="A43" s="134"/>
      <c r="B43" s="135"/>
      <c r="C43" s="785"/>
    </row>
    <row r="44" spans="1:3" s="281" customFormat="1" ht="16.5" customHeight="1" thickBot="1" x14ac:dyDescent="0.25">
      <c r="A44" s="136"/>
      <c r="B44" s="137" t="s">
        <v>85</v>
      </c>
      <c r="C44" s="217"/>
    </row>
    <row r="45" spans="1:3" s="283" customFormat="1" ht="12" customHeight="1" thickBot="1" x14ac:dyDescent="0.25">
      <c r="A45" s="99" t="s">
        <v>45</v>
      </c>
      <c r="B45" s="84" t="s">
        <v>397</v>
      </c>
      <c r="C45" s="174">
        <f>SUM(C46:C50)</f>
        <v>679871566</v>
      </c>
    </row>
    <row r="46" spans="1:3" ht="12" customHeight="1" x14ac:dyDescent="0.2">
      <c r="A46" s="274" t="s">
        <v>121</v>
      </c>
      <c r="B46" s="8" t="s">
        <v>76</v>
      </c>
      <c r="C46" s="50">
        <f>312180187+7690498+41704739+3188310+416250+3193542+6730000-1000000</f>
        <v>374103526</v>
      </c>
    </row>
    <row r="47" spans="1:3" ht="12" customHeight="1" x14ac:dyDescent="0.2">
      <c r="A47" s="274" t="s">
        <v>122</v>
      </c>
      <c r="B47" s="7" t="s">
        <v>187</v>
      </c>
      <c r="C47" s="52">
        <f>72296262+1676942+8976967+693000-41845+761502+1460052+633000+1000000</f>
        <v>87455880</v>
      </c>
    </row>
    <row r="48" spans="1:3" ht="12" customHeight="1" x14ac:dyDescent="0.2">
      <c r="A48" s="274" t="s">
        <v>123</v>
      </c>
      <c r="B48" s="7" t="s">
        <v>157</v>
      </c>
      <c r="C48" s="817">
        <f>188712640+635000-59900+128500+977900+254400-29210+1490000-170000-1221150+9140000+215900+485640+8729191+2454000+400000+115500+4107229+1946520</f>
        <v>218312160</v>
      </c>
    </row>
    <row r="49" spans="1:3" ht="12" customHeight="1" x14ac:dyDescent="0.2">
      <c r="A49" s="274" t="s">
        <v>124</v>
      </c>
      <c r="B49" s="7" t="s">
        <v>188</v>
      </c>
      <c r="C49" s="52"/>
    </row>
    <row r="50" spans="1:3" ht="12" customHeight="1" thickBot="1" x14ac:dyDescent="0.25">
      <c r="A50" s="274" t="s">
        <v>164</v>
      </c>
      <c r="B50" s="7" t="s">
        <v>189</v>
      </c>
      <c r="C50" s="52"/>
    </row>
    <row r="51" spans="1:3" ht="12" customHeight="1" thickBot="1" x14ac:dyDescent="0.25">
      <c r="A51" s="99" t="s">
        <v>46</v>
      </c>
      <c r="B51" s="84" t="s">
        <v>398</v>
      </c>
      <c r="C51" s="174">
        <f>SUM(C52:C54)</f>
        <v>10854504</v>
      </c>
    </row>
    <row r="52" spans="1:3" s="283" customFormat="1" ht="12" customHeight="1" x14ac:dyDescent="0.2">
      <c r="A52" s="274" t="s">
        <v>127</v>
      </c>
      <c r="B52" s="8" t="s">
        <v>207</v>
      </c>
      <c r="C52" s="816">
        <f>3220260+59900+973976+40000+29210+310040+2665000+170000+127000+2430118-400000+1200000+29000</f>
        <v>10854504</v>
      </c>
    </row>
    <row r="53" spans="1:3" ht="12" customHeight="1" x14ac:dyDescent="0.2">
      <c r="A53" s="274" t="s">
        <v>128</v>
      </c>
      <c r="B53" s="7" t="s">
        <v>191</v>
      </c>
      <c r="C53" s="52"/>
    </row>
    <row r="54" spans="1:3" ht="12" customHeight="1" x14ac:dyDescent="0.2">
      <c r="A54" s="274" t="s">
        <v>129</v>
      </c>
      <c r="B54" s="7" t="s">
        <v>86</v>
      </c>
      <c r="C54" s="52"/>
    </row>
    <row r="55" spans="1:3" ht="12" customHeight="1" thickBot="1" x14ac:dyDescent="0.25">
      <c r="A55" s="274" t="s">
        <v>130</v>
      </c>
      <c r="B55" s="7" t="s">
        <v>610</v>
      </c>
      <c r="C55" s="52"/>
    </row>
    <row r="56" spans="1:3" ht="15" customHeight="1" thickBot="1" x14ac:dyDescent="0.25">
      <c r="A56" s="99" t="s">
        <v>47</v>
      </c>
      <c r="B56" s="84" t="s">
        <v>39</v>
      </c>
      <c r="C56" s="199"/>
    </row>
    <row r="57" spans="1:3" ht="13.5" thickBot="1" x14ac:dyDescent="0.25">
      <c r="A57" s="99" t="s">
        <v>48</v>
      </c>
      <c r="B57" s="138" t="s">
        <v>611</v>
      </c>
      <c r="C57" s="174">
        <f>+C45+C51+C56</f>
        <v>690726070</v>
      </c>
    </row>
    <row r="58" spans="1:3" ht="15" customHeight="1" thickBot="1" x14ac:dyDescent="0.25">
      <c r="C58" s="618"/>
    </row>
    <row r="59" spans="1:3" ht="14.25" customHeight="1" x14ac:dyDescent="0.2">
      <c r="A59" s="620" t="s">
        <v>603</v>
      </c>
      <c r="B59" s="621"/>
      <c r="C59" s="788">
        <v>142.80000000000001</v>
      </c>
    </row>
    <row r="60" spans="1:3" x14ac:dyDescent="0.2">
      <c r="A60" s="622" t="s">
        <v>632</v>
      </c>
      <c r="B60" s="623"/>
      <c r="C60" s="789">
        <v>4</v>
      </c>
    </row>
    <row r="61" spans="1:3" s="740" customFormat="1" x14ac:dyDescent="0.2">
      <c r="A61" s="743" t="s">
        <v>634</v>
      </c>
      <c r="B61" s="744"/>
      <c r="C61" s="789">
        <v>61</v>
      </c>
    </row>
    <row r="62" spans="1:3" s="740" customFormat="1" x14ac:dyDescent="0.2">
      <c r="A62" s="988" t="s">
        <v>635</v>
      </c>
      <c r="B62" s="989"/>
      <c r="C62" s="789">
        <v>5</v>
      </c>
    </row>
    <row r="63" spans="1:3" s="740" customFormat="1" ht="19.899999999999999" customHeight="1" thickBot="1" x14ac:dyDescent="0.25">
      <c r="A63" s="990" t="s">
        <v>762</v>
      </c>
      <c r="B63" s="991"/>
      <c r="C63" s="820">
        <v>2</v>
      </c>
    </row>
    <row r="64" spans="1:3" x14ac:dyDescent="0.2">
      <c r="C64" s="619"/>
    </row>
    <row r="65" spans="3:3" x14ac:dyDescent="0.2">
      <c r="C65" s="619"/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&amp;R21. melléklet a 30/2017.(XI.30.)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0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5.25" customHeight="1" x14ac:dyDescent="0.2">
      <c r="A2" s="236" t="s">
        <v>201</v>
      </c>
      <c r="B2" s="209" t="s">
        <v>653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399</v>
      </c>
      <c r="C3" s="719" t="s">
        <v>88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2110486</v>
      </c>
    </row>
    <row r="9" spans="1:3" s="225" customFormat="1" ht="12" customHeight="1" x14ac:dyDescent="0.2">
      <c r="A9" s="273" t="s">
        <v>121</v>
      </c>
      <c r="B9" s="9" t="s">
        <v>257</v>
      </c>
      <c r="C9" s="725"/>
    </row>
    <row r="10" spans="1:3" s="225" customFormat="1" ht="12" customHeight="1" x14ac:dyDescent="0.2">
      <c r="A10" s="274" t="s">
        <v>122</v>
      </c>
      <c r="B10" s="7" t="s">
        <v>258</v>
      </c>
      <c r="C10" s="726">
        <v>1416800</v>
      </c>
    </row>
    <row r="11" spans="1:3" s="225" customFormat="1" ht="12" customHeight="1" x14ac:dyDescent="0.2">
      <c r="A11" s="274" t="s">
        <v>123</v>
      </c>
      <c r="B11" s="7" t="s">
        <v>259</v>
      </c>
      <c r="C11" s="726"/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726"/>
    </row>
    <row r="14" spans="1:3" s="225" customFormat="1" ht="12" customHeight="1" x14ac:dyDescent="0.2">
      <c r="A14" s="274" t="s">
        <v>125</v>
      </c>
      <c r="B14" s="7" t="s">
        <v>382</v>
      </c>
      <c r="C14" s="726">
        <v>382536</v>
      </c>
    </row>
    <row r="15" spans="1:3" s="225" customFormat="1" ht="12" customHeight="1" x14ac:dyDescent="0.2">
      <c r="A15" s="274" t="s">
        <v>126</v>
      </c>
      <c r="B15" s="6" t="s">
        <v>383</v>
      </c>
      <c r="C15" s="726"/>
    </row>
    <row r="16" spans="1:3" s="225" customFormat="1" ht="12" customHeight="1" x14ac:dyDescent="0.2">
      <c r="A16" s="274" t="s">
        <v>136</v>
      </c>
      <c r="B16" s="7" t="s">
        <v>264</v>
      </c>
      <c r="C16" s="727"/>
    </row>
    <row r="17" spans="1:3" s="282" customFormat="1" ht="12" customHeight="1" x14ac:dyDescent="0.2">
      <c r="A17" s="274" t="s">
        <v>137</v>
      </c>
      <c r="B17" s="7" t="s">
        <v>265</v>
      </c>
      <c r="C17" s="726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819">
        <v>311150</v>
      </c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/>
    </row>
    <row r="24" spans="1:3" s="282" customFormat="1" ht="12" customHeight="1" thickBot="1" x14ac:dyDescent="0.25">
      <c r="A24" s="274" t="s">
        <v>130</v>
      </c>
      <c r="B24" s="7" t="s">
        <v>616</v>
      </c>
      <c r="C24" s="726"/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724">
        <f>+C27+C28</f>
        <v>0</v>
      </c>
    </row>
    <row r="27" spans="1:3" s="282" customFormat="1" ht="12" customHeight="1" x14ac:dyDescent="0.2">
      <c r="A27" s="275" t="s">
        <v>244</v>
      </c>
      <c r="B27" s="276" t="s">
        <v>385</v>
      </c>
      <c r="C27" s="730"/>
    </row>
    <row r="28" spans="1:3" s="282" customFormat="1" ht="12" customHeight="1" x14ac:dyDescent="0.2">
      <c r="A28" s="275" t="s">
        <v>247</v>
      </c>
      <c r="B28" s="277" t="s">
        <v>387</v>
      </c>
      <c r="C28" s="731"/>
    </row>
    <row r="29" spans="1:3" s="282" customFormat="1" ht="12" customHeight="1" thickBot="1" x14ac:dyDescent="0.25">
      <c r="A29" s="274" t="s">
        <v>248</v>
      </c>
      <c r="B29" s="87" t="s">
        <v>618</v>
      </c>
      <c r="C29" s="732"/>
    </row>
    <row r="30" spans="1:3" s="282" customFormat="1" ht="12" customHeight="1" thickBot="1" x14ac:dyDescent="0.25">
      <c r="A30" s="99" t="s">
        <v>49</v>
      </c>
      <c r="B30" s="84" t="s">
        <v>388</v>
      </c>
      <c r="C30" s="724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730"/>
    </row>
    <row r="32" spans="1:3" s="282" customFormat="1" ht="12" customHeight="1" x14ac:dyDescent="0.2">
      <c r="A32" s="275" t="s">
        <v>115</v>
      </c>
      <c r="B32" s="277" t="s">
        <v>272</v>
      </c>
      <c r="C32" s="731"/>
    </row>
    <row r="33" spans="1:3" s="282" customFormat="1" ht="12" customHeight="1" thickBot="1" x14ac:dyDescent="0.25">
      <c r="A33" s="274" t="s">
        <v>116</v>
      </c>
      <c r="B33" s="87" t="s">
        <v>273</v>
      </c>
      <c r="C33" s="732"/>
    </row>
    <row r="34" spans="1:3" s="225" customFormat="1" ht="12" customHeight="1" thickBot="1" x14ac:dyDescent="0.25">
      <c r="A34" s="99" t="s">
        <v>50</v>
      </c>
      <c r="B34" s="84" t="s">
        <v>359</v>
      </c>
      <c r="C34" s="729"/>
    </row>
    <row r="35" spans="1:3" s="225" customFormat="1" ht="12" customHeight="1" thickBot="1" x14ac:dyDescent="0.25">
      <c r="A35" s="99" t="s">
        <v>51</v>
      </c>
      <c r="B35" s="84" t="s">
        <v>389</v>
      </c>
      <c r="C35" s="733"/>
    </row>
    <row r="36" spans="1:3" s="225" customFormat="1" ht="12" customHeight="1" thickBot="1" x14ac:dyDescent="0.25">
      <c r="A36" s="96" t="s">
        <v>52</v>
      </c>
      <c r="B36" s="84" t="s">
        <v>619</v>
      </c>
      <c r="C36" s="734">
        <f>+C8+C20+C25+C26+C30+C34+C35</f>
        <v>2110486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734">
        <f>+C38+C39+C40</f>
        <v>99877913</v>
      </c>
    </row>
    <row r="38" spans="1:3" s="225" customFormat="1" ht="12" customHeight="1" x14ac:dyDescent="0.2">
      <c r="A38" s="275" t="s">
        <v>392</v>
      </c>
      <c r="B38" s="276" t="s">
        <v>216</v>
      </c>
      <c r="C38" s="730"/>
    </row>
    <row r="39" spans="1:3" s="225" customFormat="1" ht="12" customHeight="1" x14ac:dyDescent="0.2">
      <c r="A39" s="275" t="s">
        <v>393</v>
      </c>
      <c r="B39" s="277" t="s">
        <v>35</v>
      </c>
      <c r="C39" s="731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82063132+15757091+601216+40000+7662+768600+49073+343560+218579+29000</f>
        <v>99877913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17">
        <f>+C36+C37</f>
        <v>101988399</v>
      </c>
    </row>
    <row r="42" spans="1:3" s="282" customFormat="1" ht="15" customHeight="1" x14ac:dyDescent="0.2">
      <c r="A42" s="132"/>
      <c r="B42" s="133"/>
      <c r="C42" s="784"/>
    </row>
    <row r="43" spans="1:3" ht="13.5" thickBot="1" x14ac:dyDescent="0.25">
      <c r="A43" s="134"/>
      <c r="B43" s="135"/>
      <c r="C43" s="785"/>
    </row>
    <row r="44" spans="1:3" s="281" customFormat="1" ht="16.5" customHeight="1" thickBot="1" x14ac:dyDescent="0.25">
      <c r="A44" s="136"/>
      <c r="B44" s="137" t="s">
        <v>85</v>
      </c>
      <c r="C44" s="217"/>
    </row>
    <row r="45" spans="1:3" s="283" customFormat="1" ht="12" customHeight="1" thickBot="1" x14ac:dyDescent="0.25">
      <c r="A45" s="99" t="s">
        <v>45</v>
      </c>
      <c r="B45" s="84" t="s">
        <v>397</v>
      </c>
      <c r="C45" s="174">
        <f>SUM(C46:C50)</f>
        <v>101854399</v>
      </c>
    </row>
    <row r="46" spans="1:3" ht="12" customHeight="1" x14ac:dyDescent="0.2">
      <c r="A46" s="274" t="s">
        <v>121</v>
      </c>
      <c r="B46" s="8" t="s">
        <v>76</v>
      </c>
      <c r="C46" s="50">
        <f>59218235+12959485+492800+7662+630000-242106</f>
        <v>73066076</v>
      </c>
    </row>
    <row r="47" spans="1:3" ht="12" customHeight="1" x14ac:dyDescent="0.2">
      <c r="A47" s="274" t="s">
        <v>122</v>
      </c>
      <c r="B47" s="7" t="s">
        <v>187</v>
      </c>
      <c r="C47" s="52">
        <f>13243515+2797606+108416+138600-3565</f>
        <v>16284572</v>
      </c>
    </row>
    <row r="48" spans="1:3" ht="12" customHeight="1" x14ac:dyDescent="0.2">
      <c r="A48" s="274" t="s">
        <v>123</v>
      </c>
      <c r="B48" s="7" t="s">
        <v>157</v>
      </c>
      <c r="C48" s="817">
        <f>11335718+294744+343560+529729</f>
        <v>12503751</v>
      </c>
    </row>
    <row r="49" spans="1:3" ht="12" customHeight="1" x14ac:dyDescent="0.2">
      <c r="A49" s="274" t="s">
        <v>124</v>
      </c>
      <c r="B49" s="7" t="s">
        <v>188</v>
      </c>
      <c r="C49" s="52"/>
    </row>
    <row r="50" spans="1:3" ht="12" customHeight="1" thickBot="1" x14ac:dyDescent="0.25">
      <c r="A50" s="274" t="s">
        <v>164</v>
      </c>
      <c r="B50" s="7" t="s">
        <v>189</v>
      </c>
      <c r="C50" s="52"/>
    </row>
    <row r="51" spans="1:3" ht="12" customHeight="1" thickBot="1" x14ac:dyDescent="0.25">
      <c r="A51" s="99" t="s">
        <v>46</v>
      </c>
      <c r="B51" s="84" t="s">
        <v>398</v>
      </c>
      <c r="C51" s="174">
        <f>SUM(C52:C54)</f>
        <v>134000</v>
      </c>
    </row>
    <row r="52" spans="1:3" s="283" customFormat="1" ht="12" customHeight="1" x14ac:dyDescent="0.2">
      <c r="A52" s="274" t="s">
        <v>127</v>
      </c>
      <c r="B52" s="8" t="s">
        <v>207</v>
      </c>
      <c r="C52" s="816">
        <f>65000+40000+29000</f>
        <v>134000</v>
      </c>
    </row>
    <row r="53" spans="1:3" ht="12" customHeight="1" x14ac:dyDescent="0.2">
      <c r="A53" s="274" t="s">
        <v>128</v>
      </c>
      <c r="B53" s="7" t="s">
        <v>191</v>
      </c>
      <c r="C53" s="52"/>
    </row>
    <row r="54" spans="1:3" ht="12" customHeight="1" x14ac:dyDescent="0.2">
      <c r="A54" s="274" t="s">
        <v>129</v>
      </c>
      <c r="B54" s="7" t="s">
        <v>86</v>
      </c>
      <c r="C54" s="52"/>
    </row>
    <row r="55" spans="1:3" ht="12" customHeight="1" thickBot="1" x14ac:dyDescent="0.25">
      <c r="A55" s="274" t="s">
        <v>130</v>
      </c>
      <c r="B55" s="7" t="s">
        <v>610</v>
      </c>
      <c r="C55" s="52"/>
    </row>
    <row r="56" spans="1:3" ht="15" customHeight="1" thickBot="1" x14ac:dyDescent="0.25">
      <c r="A56" s="99" t="s">
        <v>47</v>
      </c>
      <c r="B56" s="84" t="s">
        <v>39</v>
      </c>
      <c r="C56" s="199"/>
    </row>
    <row r="57" spans="1:3" ht="13.5" thickBot="1" x14ac:dyDescent="0.25">
      <c r="A57" s="99" t="s">
        <v>48</v>
      </c>
      <c r="B57" s="138" t="s">
        <v>611</v>
      </c>
      <c r="C57" s="174">
        <f>+C45+C51+C56</f>
        <v>101988399</v>
      </c>
    </row>
    <row r="58" spans="1:3" ht="15" customHeight="1" thickBot="1" x14ac:dyDescent="0.25">
      <c r="C58" s="618"/>
    </row>
    <row r="59" spans="1:3" ht="14.25" customHeight="1" thickBot="1" x14ac:dyDescent="0.25">
      <c r="A59" s="141" t="s">
        <v>603</v>
      </c>
      <c r="B59" s="142"/>
      <c r="C59" s="787">
        <v>27</v>
      </c>
    </row>
    <row r="60" spans="1:3" ht="13.5" thickBot="1" x14ac:dyDescent="0.25">
      <c r="A60" s="141" t="s">
        <v>203</v>
      </c>
      <c r="B60" s="142"/>
      <c r="C60" s="78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&amp;R22. melléklet a 30/2017.(XI.30.) 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3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4.5" customHeight="1" x14ac:dyDescent="0.2">
      <c r="A2" s="236" t="s">
        <v>201</v>
      </c>
      <c r="B2" s="209" t="s">
        <v>653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400</v>
      </c>
      <c r="C3" s="719" t="s">
        <v>89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195136322</v>
      </c>
    </row>
    <row r="9" spans="1:3" s="225" customFormat="1" ht="12" customHeight="1" x14ac:dyDescent="0.2">
      <c r="A9" s="273" t="s">
        <v>121</v>
      </c>
      <c r="B9" s="9" t="s">
        <v>257</v>
      </c>
      <c r="C9" s="725"/>
    </row>
    <row r="10" spans="1:3" s="225" customFormat="1" ht="12" customHeight="1" x14ac:dyDescent="0.2">
      <c r="A10" s="274" t="s">
        <v>122</v>
      </c>
      <c r="B10" s="7" t="s">
        <v>258</v>
      </c>
      <c r="C10" s="726">
        <f>23145936-4705056-1200000+490000</f>
        <v>17730880</v>
      </c>
    </row>
    <row r="11" spans="1:3" s="225" customFormat="1" ht="12" customHeight="1" x14ac:dyDescent="0.2">
      <c r="A11" s="274" t="s">
        <v>123</v>
      </c>
      <c r="B11" s="7" t="s">
        <v>259</v>
      </c>
      <c r="C11" s="813">
        <f>10500000+1946520</f>
        <v>12446520</v>
      </c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726">
        <v>158991720</v>
      </c>
    </row>
    <row r="14" spans="1:3" s="225" customFormat="1" ht="12" customHeight="1" x14ac:dyDescent="0.2">
      <c r="A14" s="274" t="s">
        <v>125</v>
      </c>
      <c r="B14" s="7" t="s">
        <v>382</v>
      </c>
      <c r="C14" s="726">
        <f>2835000+3804538-1221150+132300</f>
        <v>5550688</v>
      </c>
    </row>
    <row r="15" spans="1:3" s="225" customFormat="1" ht="12" customHeight="1" x14ac:dyDescent="0.2">
      <c r="A15" s="274" t="s">
        <v>126</v>
      </c>
      <c r="B15" s="6" t="s">
        <v>383</v>
      </c>
      <c r="C15" s="726"/>
    </row>
    <row r="16" spans="1:3" s="225" customFormat="1" ht="12" customHeight="1" x14ac:dyDescent="0.2">
      <c r="A16" s="274" t="s">
        <v>136</v>
      </c>
      <c r="B16" s="7" t="s">
        <v>264</v>
      </c>
      <c r="C16" s="727"/>
    </row>
    <row r="17" spans="1:3" s="282" customFormat="1" ht="12" customHeight="1" x14ac:dyDescent="0.2">
      <c r="A17" s="274" t="s">
        <v>137</v>
      </c>
      <c r="B17" s="7" t="s">
        <v>265</v>
      </c>
      <c r="C17" s="726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728">
        <v>416514</v>
      </c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27807178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>
        <f>5485000+374405+5445044+16502729</f>
        <v>27807178</v>
      </c>
    </row>
    <row r="24" spans="1:3" s="282" customFormat="1" ht="12" customHeight="1" thickBot="1" x14ac:dyDescent="0.25">
      <c r="A24" s="274" t="s">
        <v>130</v>
      </c>
      <c r="B24" s="7" t="s">
        <v>616</v>
      </c>
      <c r="C24" s="726">
        <f>374405+16502729</f>
        <v>16877134</v>
      </c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724">
        <f>+C27+C28</f>
        <v>5095118</v>
      </c>
    </row>
    <row r="27" spans="1:3" s="282" customFormat="1" ht="12" customHeight="1" x14ac:dyDescent="0.2">
      <c r="A27" s="275" t="s">
        <v>244</v>
      </c>
      <c r="B27" s="276" t="s">
        <v>385</v>
      </c>
      <c r="C27" s="730"/>
    </row>
    <row r="28" spans="1:3" s="282" customFormat="1" ht="12" customHeight="1" x14ac:dyDescent="0.2">
      <c r="A28" s="275" t="s">
        <v>247</v>
      </c>
      <c r="B28" s="277" t="s">
        <v>387</v>
      </c>
      <c r="C28" s="731">
        <f>2665000+2430118</f>
        <v>5095118</v>
      </c>
    </row>
    <row r="29" spans="1:3" s="282" customFormat="1" ht="12" customHeight="1" thickBot="1" x14ac:dyDescent="0.25">
      <c r="A29" s="274" t="s">
        <v>248</v>
      </c>
      <c r="B29" s="87" t="s">
        <v>618</v>
      </c>
      <c r="C29" s="732">
        <v>2430118</v>
      </c>
    </row>
    <row r="30" spans="1:3" s="282" customFormat="1" ht="12" customHeight="1" thickBot="1" x14ac:dyDescent="0.25">
      <c r="A30" s="99" t="s">
        <v>49</v>
      </c>
      <c r="B30" s="84" t="s">
        <v>388</v>
      </c>
      <c r="C30" s="724">
        <f>+C31+C32+C33</f>
        <v>250000</v>
      </c>
    </row>
    <row r="31" spans="1:3" s="282" customFormat="1" ht="12" customHeight="1" x14ac:dyDescent="0.2">
      <c r="A31" s="275" t="s">
        <v>114</v>
      </c>
      <c r="B31" s="276" t="s">
        <v>271</v>
      </c>
      <c r="C31" s="730"/>
    </row>
    <row r="32" spans="1:3" s="282" customFormat="1" ht="12" customHeight="1" x14ac:dyDescent="0.2">
      <c r="A32" s="275" t="s">
        <v>115</v>
      </c>
      <c r="B32" s="277" t="s">
        <v>272</v>
      </c>
      <c r="C32" s="731"/>
    </row>
    <row r="33" spans="1:3" s="282" customFormat="1" ht="12" customHeight="1" thickBot="1" x14ac:dyDescent="0.25">
      <c r="A33" s="274" t="s">
        <v>116</v>
      </c>
      <c r="B33" s="87" t="s">
        <v>273</v>
      </c>
      <c r="C33" s="732">
        <v>250000</v>
      </c>
    </row>
    <row r="34" spans="1:3" s="225" customFormat="1" ht="12" customHeight="1" thickBot="1" x14ac:dyDescent="0.25">
      <c r="A34" s="99" t="s">
        <v>50</v>
      </c>
      <c r="B34" s="84" t="s">
        <v>359</v>
      </c>
      <c r="C34" s="729"/>
    </row>
    <row r="35" spans="1:3" s="225" customFormat="1" ht="12" customHeight="1" thickBot="1" x14ac:dyDescent="0.25">
      <c r="A35" s="99" t="s">
        <v>51</v>
      </c>
      <c r="B35" s="84" t="s">
        <v>389</v>
      </c>
      <c r="C35" s="733">
        <v>1200000</v>
      </c>
    </row>
    <row r="36" spans="1:3" s="225" customFormat="1" ht="12" customHeight="1" thickBot="1" x14ac:dyDescent="0.25">
      <c r="A36" s="96" t="s">
        <v>52</v>
      </c>
      <c r="B36" s="84" t="s">
        <v>619</v>
      </c>
      <c r="C36" s="734">
        <f>+C8+C20+C25+C26+C30+C34+C35</f>
        <v>229488618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734">
        <f>+C38+C39+C40</f>
        <v>359249053</v>
      </c>
    </row>
    <row r="38" spans="1:3" s="225" customFormat="1" ht="12" customHeight="1" x14ac:dyDescent="0.2">
      <c r="A38" s="275" t="s">
        <v>392</v>
      </c>
      <c r="B38" s="276" t="s">
        <v>216</v>
      </c>
      <c r="C38" s="730">
        <v>418046</v>
      </c>
    </row>
    <row r="39" spans="1:3" s="225" customFormat="1" ht="12" customHeight="1" x14ac:dyDescent="0.2">
      <c r="A39" s="275" t="s">
        <v>393</v>
      </c>
      <c r="B39" s="277" t="s">
        <v>35</v>
      </c>
      <c r="C39" s="731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291171179+10002440+128500+32617351+1706048+1956276+30648+3074400+310040-49073-1200000+11446758+2110440+633000+115500+1200000+3577500</f>
        <v>358831007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17">
        <f>+C36+C37</f>
        <v>588737671</v>
      </c>
    </row>
    <row r="42" spans="1:3" s="282" customFormat="1" ht="15" customHeight="1" x14ac:dyDescent="0.2">
      <c r="A42" s="132"/>
      <c r="B42" s="133"/>
      <c r="C42" s="784"/>
    </row>
    <row r="43" spans="1:3" ht="13.5" thickBot="1" x14ac:dyDescent="0.25">
      <c r="A43" s="134"/>
      <c r="B43" s="135"/>
      <c r="C43" s="785"/>
    </row>
    <row r="44" spans="1:3" s="281" customFormat="1" ht="16.5" customHeight="1" thickBot="1" x14ac:dyDescent="0.25">
      <c r="A44" s="136"/>
      <c r="B44" s="137" t="s">
        <v>85</v>
      </c>
      <c r="C44" s="217"/>
    </row>
    <row r="45" spans="1:3" s="283" customFormat="1" ht="12" customHeight="1" thickBot="1" x14ac:dyDescent="0.25">
      <c r="A45" s="99" t="s">
        <v>45</v>
      </c>
      <c r="B45" s="84" t="s">
        <v>397</v>
      </c>
      <c r="C45" s="174">
        <f>SUM(C46:C50)</f>
        <v>578017167</v>
      </c>
    </row>
    <row r="46" spans="1:3" ht="12" customHeight="1" x14ac:dyDescent="0.2">
      <c r="A46" s="274" t="s">
        <v>121</v>
      </c>
      <c r="B46" s="8" t="s">
        <v>76</v>
      </c>
      <c r="C46" s="50">
        <f>252961952+7690498+26854054+1398400+30648+2520000+416250+3193542+242106+6730000-1000000</f>
        <v>301037450</v>
      </c>
    </row>
    <row r="47" spans="1:3" ht="12" customHeight="1" x14ac:dyDescent="0.2">
      <c r="A47" s="274" t="s">
        <v>122</v>
      </c>
      <c r="B47" s="7" t="s">
        <v>187</v>
      </c>
      <c r="C47" s="52">
        <f>59052747+1676942+5763297+307648+554400-41845+761502+3565+1460052+633000+1000000</f>
        <v>71171308</v>
      </c>
    </row>
    <row r="48" spans="1:3" ht="12" customHeight="1" x14ac:dyDescent="0.2">
      <c r="A48" s="274" t="s">
        <v>123</v>
      </c>
      <c r="B48" s="7" t="s">
        <v>157</v>
      </c>
      <c r="C48" s="817">
        <f>176076922+1300000+635000-59900+128500+977900+254400-29210+1490000-170000-294744+8729191+8620390+2110440+400000+115500+3577500+1946520</f>
        <v>205808409</v>
      </c>
    </row>
    <row r="49" spans="1:4" ht="12" customHeight="1" x14ac:dyDescent="0.2">
      <c r="A49" s="274" t="s">
        <v>124</v>
      </c>
      <c r="B49" s="7" t="s">
        <v>188</v>
      </c>
      <c r="C49" s="52"/>
    </row>
    <row r="50" spans="1:4" ht="12" customHeight="1" thickBot="1" x14ac:dyDescent="0.25">
      <c r="A50" s="274" t="s">
        <v>164</v>
      </c>
      <c r="B50" s="7" t="s">
        <v>189</v>
      </c>
      <c r="C50" s="52"/>
    </row>
    <row r="51" spans="1:4" ht="12" customHeight="1" thickBot="1" x14ac:dyDescent="0.25">
      <c r="A51" s="99" t="s">
        <v>46</v>
      </c>
      <c r="B51" s="84" t="s">
        <v>398</v>
      </c>
      <c r="C51" s="174">
        <f>SUM(C52:C54)</f>
        <v>10720504</v>
      </c>
    </row>
    <row r="52" spans="1:4" s="283" customFormat="1" ht="12" customHeight="1" x14ac:dyDescent="0.2">
      <c r="A52" s="274" t="s">
        <v>127</v>
      </c>
      <c r="B52" s="8" t="s">
        <v>207</v>
      </c>
      <c r="C52" s="50">
        <f>3155260+59900+973976+29210+310040+2665000+170000+2430118+127000-400000+1200000</f>
        <v>10720504</v>
      </c>
    </row>
    <row r="53" spans="1:4" ht="12" customHeight="1" x14ac:dyDescent="0.2">
      <c r="A53" s="274" t="s">
        <v>128</v>
      </c>
      <c r="B53" s="7" t="s">
        <v>191</v>
      </c>
      <c r="C53" s="52"/>
    </row>
    <row r="54" spans="1:4" ht="12" customHeight="1" x14ac:dyDescent="0.2">
      <c r="A54" s="274" t="s">
        <v>129</v>
      </c>
      <c r="B54" s="7" t="s">
        <v>86</v>
      </c>
      <c r="C54" s="52"/>
    </row>
    <row r="55" spans="1:4" ht="12" customHeight="1" thickBot="1" x14ac:dyDescent="0.25">
      <c r="A55" s="274" t="s">
        <v>130</v>
      </c>
      <c r="B55" s="7" t="s">
        <v>610</v>
      </c>
      <c r="C55" s="52"/>
    </row>
    <row r="56" spans="1:4" ht="15" customHeight="1" thickBot="1" x14ac:dyDescent="0.25">
      <c r="A56" s="99" t="s">
        <v>47</v>
      </c>
      <c r="B56" s="84" t="s">
        <v>39</v>
      </c>
      <c r="C56" s="199"/>
    </row>
    <row r="57" spans="1:4" ht="13.5" thickBot="1" x14ac:dyDescent="0.25">
      <c r="A57" s="99" t="s">
        <v>48</v>
      </c>
      <c r="B57" s="138" t="s">
        <v>611</v>
      </c>
      <c r="C57" s="174">
        <f>+C45+C51+C56</f>
        <v>588737671</v>
      </c>
    </row>
    <row r="58" spans="1:4" ht="15" customHeight="1" thickBot="1" x14ac:dyDescent="0.25">
      <c r="C58" s="618"/>
    </row>
    <row r="59" spans="1:4" ht="14.25" customHeight="1" thickBot="1" x14ac:dyDescent="0.25">
      <c r="A59" s="141" t="s">
        <v>603</v>
      </c>
      <c r="B59" s="142"/>
      <c r="C59" s="787">
        <v>115.8</v>
      </c>
    </row>
    <row r="60" spans="1:4" ht="13.5" thickBot="1" x14ac:dyDescent="0.25">
      <c r="A60" s="141" t="s">
        <v>632</v>
      </c>
      <c r="B60" s="142"/>
      <c r="C60" s="786">
        <v>4</v>
      </c>
    </row>
    <row r="61" spans="1:4" ht="13.5" thickBot="1" x14ac:dyDescent="0.25">
      <c r="A61" s="141" t="s">
        <v>634</v>
      </c>
      <c r="B61" s="142"/>
      <c r="C61" s="786">
        <v>61</v>
      </c>
      <c r="D61" s="624"/>
    </row>
    <row r="62" spans="1:4" ht="13.5" thickBot="1" x14ac:dyDescent="0.25">
      <c r="A62" s="992" t="s">
        <v>635</v>
      </c>
      <c r="B62" s="993"/>
      <c r="C62" s="786">
        <v>5</v>
      </c>
    </row>
    <row r="63" spans="1:4" ht="13.5" thickBot="1" x14ac:dyDescent="0.25">
      <c r="A63" s="994" t="s">
        <v>762</v>
      </c>
      <c r="B63" s="995"/>
      <c r="C63" s="821">
        <v>2</v>
      </c>
      <c r="D63" s="624"/>
    </row>
  </sheetData>
  <sheetProtection formatCells="0"/>
  <mergeCells count="2">
    <mergeCell ref="A62:B62"/>
    <mergeCell ref="A63:B6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&amp;R23. melléklet a 30/2017.(XI.30.)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2"/>
  <sheetViews>
    <sheetView view="pageLayout" zoomScaleNormal="145" workbookViewId="0">
      <selection activeCell="C1" sqref="C1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740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717"/>
    </row>
    <row r="2" spans="1:3" s="279" customFormat="1" ht="36" customHeight="1" x14ac:dyDescent="0.2">
      <c r="A2" s="236" t="s">
        <v>201</v>
      </c>
      <c r="B2" s="209" t="s">
        <v>621</v>
      </c>
      <c r="C2" s="718" t="s">
        <v>89</v>
      </c>
    </row>
    <row r="3" spans="1:3" s="279" customFormat="1" ht="24.75" thickBot="1" x14ac:dyDescent="0.25">
      <c r="A3" s="272" t="s">
        <v>200</v>
      </c>
      <c r="B3" s="210" t="s">
        <v>381</v>
      </c>
      <c r="C3" s="719" t="s">
        <v>81</v>
      </c>
    </row>
    <row r="4" spans="1:3" s="280" customFormat="1" ht="15.95" customHeight="1" thickBot="1" x14ac:dyDescent="0.3">
      <c r="A4" s="122"/>
      <c r="B4" s="122"/>
      <c r="C4" s="720" t="s">
        <v>677</v>
      </c>
    </row>
    <row r="5" spans="1:3" ht="13.5" thickBot="1" x14ac:dyDescent="0.25">
      <c r="A5" s="237" t="s">
        <v>202</v>
      </c>
      <c r="B5" s="124" t="s">
        <v>82</v>
      </c>
      <c r="C5" s="721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722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24">
        <f>SUM(C9:C19)</f>
        <v>4095774</v>
      </c>
    </row>
    <row r="9" spans="1:3" s="225" customFormat="1" ht="12" customHeight="1" x14ac:dyDescent="0.2">
      <c r="A9" s="273" t="s">
        <v>121</v>
      </c>
      <c r="B9" s="9" t="s">
        <v>257</v>
      </c>
      <c r="C9" s="725"/>
    </row>
    <row r="10" spans="1:3" s="225" customFormat="1" ht="12" customHeight="1" x14ac:dyDescent="0.2">
      <c r="A10" s="274" t="s">
        <v>122</v>
      </c>
      <c r="B10" s="7" t="s">
        <v>258</v>
      </c>
      <c r="C10" s="726">
        <f>1416800-360800+140000</f>
        <v>1196000</v>
      </c>
    </row>
    <row r="11" spans="1:3" s="225" customFormat="1" ht="12" customHeight="1" x14ac:dyDescent="0.2">
      <c r="A11" s="274" t="s">
        <v>123</v>
      </c>
      <c r="B11" s="7" t="s">
        <v>259</v>
      </c>
      <c r="C11" s="726"/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726">
        <v>1871280</v>
      </c>
    </row>
    <row r="14" spans="1:3" s="225" customFormat="1" ht="12" customHeight="1" x14ac:dyDescent="0.2">
      <c r="A14" s="274" t="s">
        <v>125</v>
      </c>
      <c r="B14" s="7" t="s">
        <v>382</v>
      </c>
      <c r="C14" s="726">
        <f>887792-97416+37800</f>
        <v>828176</v>
      </c>
    </row>
    <row r="15" spans="1:3" s="225" customFormat="1" ht="12" customHeight="1" x14ac:dyDescent="0.2">
      <c r="A15" s="274" t="s">
        <v>126</v>
      </c>
      <c r="B15" s="6" t="s">
        <v>383</v>
      </c>
      <c r="C15" s="726"/>
    </row>
    <row r="16" spans="1:3" s="225" customFormat="1" ht="12" customHeight="1" x14ac:dyDescent="0.2">
      <c r="A16" s="274" t="s">
        <v>136</v>
      </c>
      <c r="B16" s="7" t="s">
        <v>264</v>
      </c>
      <c r="C16" s="727"/>
    </row>
    <row r="17" spans="1:3" s="282" customFormat="1" ht="12" customHeight="1" x14ac:dyDescent="0.2">
      <c r="A17" s="274" t="s">
        <v>137</v>
      </c>
      <c r="B17" s="7" t="s">
        <v>265</v>
      </c>
      <c r="C17" s="726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728">
        <v>200318</v>
      </c>
    </row>
    <row r="20" spans="1:3" s="225" customFormat="1" ht="12" customHeight="1" thickBot="1" x14ac:dyDescent="0.25">
      <c r="A20" s="96" t="s">
        <v>46</v>
      </c>
      <c r="B20" s="129" t="s">
        <v>384</v>
      </c>
      <c r="C20" s="724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/>
    </row>
    <row r="24" spans="1:3" s="282" customFormat="1" ht="12" customHeight="1" thickBot="1" x14ac:dyDescent="0.25">
      <c r="A24" s="274" t="s">
        <v>130</v>
      </c>
      <c r="B24" s="7" t="s">
        <v>616</v>
      </c>
      <c r="C24" s="726"/>
    </row>
    <row r="25" spans="1:3" s="282" customFormat="1" ht="12" customHeight="1" thickBot="1" x14ac:dyDescent="0.25">
      <c r="A25" s="99" t="s">
        <v>47</v>
      </c>
      <c r="B25" s="84" t="s">
        <v>178</v>
      </c>
      <c r="C25" s="729"/>
    </row>
    <row r="26" spans="1:3" s="282" customFormat="1" ht="12" customHeight="1" thickBot="1" x14ac:dyDescent="0.25">
      <c r="A26" s="99" t="s">
        <v>48</v>
      </c>
      <c r="B26" s="84" t="s">
        <v>617</v>
      </c>
      <c r="C26" s="724">
        <f>+C27+C28</f>
        <v>0</v>
      </c>
    </row>
    <row r="27" spans="1:3" s="282" customFormat="1" ht="12" customHeight="1" x14ac:dyDescent="0.2">
      <c r="A27" s="275" t="s">
        <v>244</v>
      </c>
      <c r="B27" s="276" t="s">
        <v>385</v>
      </c>
      <c r="C27" s="730"/>
    </row>
    <row r="28" spans="1:3" s="282" customFormat="1" ht="12" customHeight="1" x14ac:dyDescent="0.2">
      <c r="A28" s="275" t="s">
        <v>247</v>
      </c>
      <c r="B28" s="277" t="s">
        <v>387</v>
      </c>
      <c r="C28" s="822"/>
    </row>
    <row r="29" spans="1:3" s="282" customFormat="1" ht="12" customHeight="1" thickBot="1" x14ac:dyDescent="0.25">
      <c r="A29" s="274" t="s">
        <v>248</v>
      </c>
      <c r="B29" s="87" t="s">
        <v>618</v>
      </c>
      <c r="C29" s="732"/>
    </row>
    <row r="30" spans="1:3" s="282" customFormat="1" ht="12" customHeight="1" thickBot="1" x14ac:dyDescent="0.25">
      <c r="A30" s="99" t="s">
        <v>49</v>
      </c>
      <c r="B30" s="84" t="s">
        <v>388</v>
      </c>
      <c r="C30" s="724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730"/>
    </row>
    <row r="32" spans="1:3" s="282" customFormat="1" ht="12" customHeight="1" x14ac:dyDescent="0.2">
      <c r="A32" s="275" t="s">
        <v>115</v>
      </c>
      <c r="B32" s="277" t="s">
        <v>272</v>
      </c>
      <c r="C32" s="731"/>
    </row>
    <row r="33" spans="1:3" s="282" customFormat="1" ht="12" customHeight="1" thickBot="1" x14ac:dyDescent="0.25">
      <c r="A33" s="274" t="s">
        <v>116</v>
      </c>
      <c r="B33" s="87" t="s">
        <v>273</v>
      </c>
      <c r="C33" s="732"/>
    </row>
    <row r="34" spans="1:3" s="225" customFormat="1" ht="12" customHeight="1" thickBot="1" x14ac:dyDescent="0.25">
      <c r="A34" s="99" t="s">
        <v>50</v>
      </c>
      <c r="B34" s="84" t="s">
        <v>359</v>
      </c>
      <c r="C34" s="729"/>
    </row>
    <row r="35" spans="1:3" s="225" customFormat="1" ht="12" customHeight="1" thickBot="1" x14ac:dyDescent="0.25">
      <c r="A35" s="99" t="s">
        <v>51</v>
      </c>
      <c r="B35" s="84" t="s">
        <v>389</v>
      </c>
      <c r="C35" s="823">
        <v>200000</v>
      </c>
    </row>
    <row r="36" spans="1:3" s="225" customFormat="1" ht="12" customHeight="1" thickBot="1" x14ac:dyDescent="0.25">
      <c r="A36" s="96" t="s">
        <v>52</v>
      </c>
      <c r="B36" s="84" t="s">
        <v>619</v>
      </c>
      <c r="C36" s="734">
        <f>+C8+C20+C25+C26+C30+C34+C35</f>
        <v>4295774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217">
        <f>+C38+C39+C40</f>
        <v>75641692</v>
      </c>
    </row>
    <row r="38" spans="1:3" s="225" customFormat="1" ht="12" customHeight="1" x14ac:dyDescent="0.2">
      <c r="A38" s="275" t="s">
        <v>392</v>
      </c>
      <c r="B38" s="276" t="s">
        <v>216</v>
      </c>
      <c r="C38" s="50">
        <v>66655</v>
      </c>
    </row>
    <row r="39" spans="1:3" s="225" customFormat="1" ht="12" customHeight="1" x14ac:dyDescent="0.2">
      <c r="A39" s="275" t="s">
        <v>393</v>
      </c>
      <c r="B39" s="277" t="s">
        <v>35</v>
      </c>
      <c r="C39" s="175"/>
    </row>
    <row r="40" spans="1:3" s="282" customFormat="1" ht="12" customHeight="1" thickBot="1" x14ac:dyDescent="0.25">
      <c r="A40" s="274" t="s">
        <v>394</v>
      </c>
      <c r="B40" s="87" t="s">
        <v>395</v>
      </c>
      <c r="C40" s="814">
        <f>69071526+1512159+184245+90000+2357850+322520+193947+1000000+256930+585860</f>
        <v>75575037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17">
        <f>+C36+C37</f>
        <v>79937466</v>
      </c>
    </row>
    <row r="42" spans="1:3" s="282" customFormat="1" ht="15" customHeight="1" x14ac:dyDescent="0.2">
      <c r="A42" s="132"/>
      <c r="B42" s="133"/>
      <c r="C42" s="784"/>
    </row>
    <row r="43" spans="1:3" ht="13.5" thickBot="1" x14ac:dyDescent="0.25">
      <c r="A43" s="134"/>
      <c r="B43" s="135"/>
      <c r="C43" s="785"/>
    </row>
    <row r="44" spans="1:3" s="281" customFormat="1" ht="16.5" customHeight="1" thickBot="1" x14ac:dyDescent="0.25">
      <c r="A44" s="136"/>
      <c r="B44" s="137" t="s">
        <v>85</v>
      </c>
      <c r="C44" s="217"/>
    </row>
    <row r="45" spans="1:3" s="283" customFormat="1" ht="12" customHeight="1" thickBot="1" x14ac:dyDescent="0.25">
      <c r="A45" s="99" t="s">
        <v>45</v>
      </c>
      <c r="B45" s="84" t="s">
        <v>397</v>
      </c>
      <c r="C45" s="174">
        <f>SUM(C46:C50)</f>
        <v>79247966</v>
      </c>
    </row>
    <row r="46" spans="1:3" ht="12" customHeight="1" x14ac:dyDescent="0.2">
      <c r="A46" s="274" t="s">
        <v>121</v>
      </c>
      <c r="B46" s="8" t="s">
        <v>76</v>
      </c>
      <c r="C46" s="816">
        <f>49257950+1239474+151021+240000+104217-100000</f>
        <v>50892662</v>
      </c>
    </row>
    <row r="47" spans="1:3" ht="12" customHeight="1" x14ac:dyDescent="0.2">
      <c r="A47" s="274" t="s">
        <v>122</v>
      </c>
      <c r="B47" s="7" t="s">
        <v>187</v>
      </c>
      <c r="C47" s="817">
        <f>11047568+272685+33224+47520+22928-22000</f>
        <v>11401925</v>
      </c>
    </row>
    <row r="48" spans="1:3" ht="12" customHeight="1" x14ac:dyDescent="0.2">
      <c r="A48" s="274" t="s">
        <v>123</v>
      </c>
      <c r="B48" s="7" t="s">
        <v>157</v>
      </c>
      <c r="C48" s="817">
        <f>12658535+2558168-213614+1000000+256930+693360</f>
        <v>16953379</v>
      </c>
    </row>
    <row r="49" spans="1:3" ht="12" customHeight="1" x14ac:dyDescent="0.2">
      <c r="A49" s="274" t="s">
        <v>124</v>
      </c>
      <c r="B49" s="7" t="s">
        <v>188</v>
      </c>
      <c r="C49" s="52"/>
    </row>
    <row r="50" spans="1:3" ht="12" customHeight="1" thickBot="1" x14ac:dyDescent="0.25">
      <c r="A50" s="274" t="s">
        <v>164</v>
      </c>
      <c r="B50" s="7" t="s">
        <v>189</v>
      </c>
      <c r="C50" s="52"/>
    </row>
    <row r="51" spans="1:3" ht="12" customHeight="1" thickBot="1" x14ac:dyDescent="0.25">
      <c r="A51" s="99" t="s">
        <v>46</v>
      </c>
      <c r="B51" s="84" t="s">
        <v>398</v>
      </c>
      <c r="C51" s="174">
        <f>SUM(C52:C54)</f>
        <v>689500</v>
      </c>
    </row>
    <row r="52" spans="1:3" s="283" customFormat="1" ht="12" customHeight="1" x14ac:dyDescent="0.2">
      <c r="A52" s="274" t="s">
        <v>127</v>
      </c>
      <c r="B52" s="8" t="s">
        <v>207</v>
      </c>
      <c r="C52" s="816">
        <f>350000+90000+35000+14500+200000</f>
        <v>689500</v>
      </c>
    </row>
    <row r="53" spans="1:3" ht="12" customHeight="1" x14ac:dyDescent="0.2">
      <c r="A53" s="274" t="s">
        <v>128</v>
      </c>
      <c r="B53" s="7" t="s">
        <v>191</v>
      </c>
      <c r="C53" s="52"/>
    </row>
    <row r="54" spans="1:3" ht="12" customHeight="1" x14ac:dyDescent="0.2">
      <c r="A54" s="274" t="s">
        <v>129</v>
      </c>
      <c r="B54" s="7" t="s">
        <v>86</v>
      </c>
      <c r="C54" s="52"/>
    </row>
    <row r="55" spans="1:3" ht="12" customHeight="1" thickBot="1" x14ac:dyDescent="0.25">
      <c r="A55" s="274" t="s">
        <v>130</v>
      </c>
      <c r="B55" s="7" t="s">
        <v>610</v>
      </c>
      <c r="C55" s="52"/>
    </row>
    <row r="56" spans="1:3" ht="15" customHeight="1" thickBot="1" x14ac:dyDescent="0.25">
      <c r="A56" s="99" t="s">
        <v>47</v>
      </c>
      <c r="B56" s="84" t="s">
        <v>39</v>
      </c>
      <c r="C56" s="199"/>
    </row>
    <row r="57" spans="1:3" ht="13.5" thickBot="1" x14ac:dyDescent="0.25">
      <c r="A57" s="99" t="s">
        <v>48</v>
      </c>
      <c r="B57" s="138" t="s">
        <v>611</v>
      </c>
      <c r="C57" s="174">
        <f>+C45+C51+C56</f>
        <v>79937466</v>
      </c>
    </row>
    <row r="58" spans="1:3" ht="15" customHeight="1" thickBot="1" x14ac:dyDescent="0.25">
      <c r="C58" s="618"/>
    </row>
    <row r="59" spans="1:3" ht="14.25" customHeight="1" thickBot="1" x14ac:dyDescent="0.25">
      <c r="A59" s="141" t="s">
        <v>603</v>
      </c>
      <c r="B59" s="142"/>
      <c r="C59" s="901">
        <v>22</v>
      </c>
    </row>
    <row r="60" spans="1:3" ht="13.5" thickBot="1" x14ac:dyDescent="0.25">
      <c r="A60" s="141" t="s">
        <v>203</v>
      </c>
      <c r="B60" s="142"/>
      <c r="C60" s="786">
        <v>0</v>
      </c>
    </row>
    <row r="61" spans="1:3" x14ac:dyDescent="0.2">
      <c r="C61" s="619"/>
    </row>
    <row r="62" spans="1:3" x14ac:dyDescent="0.2">
      <c r="C62" s="61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30/2017.(XI.30.)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8"/>
  <sheetViews>
    <sheetView view="pageLayout" zoomScaleNormal="145" workbookViewId="0">
      <selection activeCell="A18" sqref="A18"/>
    </sheetView>
  </sheetViews>
  <sheetFormatPr defaultRowHeight="12.75" x14ac:dyDescent="0.2"/>
  <cols>
    <col min="1" max="1" width="13.83203125" style="139" customWidth="1"/>
    <col min="2" max="2" width="79.1640625" style="140" customWidth="1"/>
    <col min="3" max="3" width="25" style="441" customWidth="1"/>
    <col min="4" max="256" width="9.33203125" style="140"/>
    <col min="257" max="257" width="13.83203125" style="140" customWidth="1"/>
    <col min="258" max="258" width="79.1640625" style="140" customWidth="1"/>
    <col min="259" max="259" width="25" style="140" customWidth="1"/>
    <col min="260" max="512" width="9.33203125" style="140"/>
    <col min="513" max="513" width="13.83203125" style="140" customWidth="1"/>
    <col min="514" max="514" width="79.1640625" style="140" customWidth="1"/>
    <col min="515" max="515" width="25" style="140" customWidth="1"/>
    <col min="516" max="768" width="9.33203125" style="140"/>
    <col min="769" max="769" width="13.83203125" style="140" customWidth="1"/>
    <col min="770" max="770" width="79.1640625" style="140" customWidth="1"/>
    <col min="771" max="771" width="25" style="140" customWidth="1"/>
    <col min="772" max="1024" width="9.33203125" style="140"/>
    <col min="1025" max="1025" width="13.83203125" style="140" customWidth="1"/>
    <col min="1026" max="1026" width="79.1640625" style="140" customWidth="1"/>
    <col min="1027" max="1027" width="25" style="140" customWidth="1"/>
    <col min="1028" max="1280" width="9.33203125" style="140"/>
    <col min="1281" max="1281" width="13.83203125" style="140" customWidth="1"/>
    <col min="1282" max="1282" width="79.1640625" style="140" customWidth="1"/>
    <col min="1283" max="1283" width="25" style="140" customWidth="1"/>
    <col min="1284" max="1536" width="9.33203125" style="140"/>
    <col min="1537" max="1537" width="13.83203125" style="140" customWidth="1"/>
    <col min="1538" max="1538" width="79.1640625" style="140" customWidth="1"/>
    <col min="1539" max="1539" width="25" style="140" customWidth="1"/>
    <col min="1540" max="1792" width="9.33203125" style="140"/>
    <col min="1793" max="1793" width="13.83203125" style="140" customWidth="1"/>
    <col min="1794" max="1794" width="79.1640625" style="140" customWidth="1"/>
    <col min="1795" max="1795" width="25" style="140" customWidth="1"/>
    <col min="1796" max="2048" width="9.33203125" style="140"/>
    <col min="2049" max="2049" width="13.83203125" style="140" customWidth="1"/>
    <col min="2050" max="2050" width="79.1640625" style="140" customWidth="1"/>
    <col min="2051" max="2051" width="25" style="140" customWidth="1"/>
    <col min="2052" max="2304" width="9.33203125" style="140"/>
    <col min="2305" max="2305" width="13.83203125" style="140" customWidth="1"/>
    <col min="2306" max="2306" width="79.1640625" style="140" customWidth="1"/>
    <col min="2307" max="2307" width="25" style="140" customWidth="1"/>
    <col min="2308" max="2560" width="9.33203125" style="140"/>
    <col min="2561" max="2561" width="13.83203125" style="140" customWidth="1"/>
    <col min="2562" max="2562" width="79.1640625" style="140" customWidth="1"/>
    <col min="2563" max="2563" width="25" style="140" customWidth="1"/>
    <col min="2564" max="2816" width="9.33203125" style="140"/>
    <col min="2817" max="2817" width="13.83203125" style="140" customWidth="1"/>
    <col min="2818" max="2818" width="79.1640625" style="140" customWidth="1"/>
    <col min="2819" max="2819" width="25" style="140" customWidth="1"/>
    <col min="2820" max="3072" width="9.33203125" style="140"/>
    <col min="3073" max="3073" width="13.83203125" style="140" customWidth="1"/>
    <col min="3074" max="3074" width="79.1640625" style="140" customWidth="1"/>
    <col min="3075" max="3075" width="25" style="140" customWidth="1"/>
    <col min="3076" max="3328" width="9.33203125" style="140"/>
    <col min="3329" max="3329" width="13.83203125" style="140" customWidth="1"/>
    <col min="3330" max="3330" width="79.1640625" style="140" customWidth="1"/>
    <col min="3331" max="3331" width="25" style="140" customWidth="1"/>
    <col min="3332" max="3584" width="9.33203125" style="140"/>
    <col min="3585" max="3585" width="13.83203125" style="140" customWidth="1"/>
    <col min="3586" max="3586" width="79.1640625" style="140" customWidth="1"/>
    <col min="3587" max="3587" width="25" style="140" customWidth="1"/>
    <col min="3588" max="3840" width="9.33203125" style="140"/>
    <col min="3841" max="3841" width="13.83203125" style="140" customWidth="1"/>
    <col min="3842" max="3842" width="79.1640625" style="140" customWidth="1"/>
    <col min="3843" max="3843" width="25" style="140" customWidth="1"/>
    <col min="3844" max="4096" width="9.33203125" style="140"/>
    <col min="4097" max="4097" width="13.83203125" style="140" customWidth="1"/>
    <col min="4098" max="4098" width="79.1640625" style="140" customWidth="1"/>
    <col min="4099" max="4099" width="25" style="140" customWidth="1"/>
    <col min="4100" max="4352" width="9.33203125" style="140"/>
    <col min="4353" max="4353" width="13.83203125" style="140" customWidth="1"/>
    <col min="4354" max="4354" width="79.1640625" style="140" customWidth="1"/>
    <col min="4355" max="4355" width="25" style="140" customWidth="1"/>
    <col min="4356" max="4608" width="9.33203125" style="140"/>
    <col min="4609" max="4609" width="13.83203125" style="140" customWidth="1"/>
    <col min="4610" max="4610" width="79.1640625" style="140" customWidth="1"/>
    <col min="4611" max="4611" width="25" style="140" customWidth="1"/>
    <col min="4612" max="4864" width="9.33203125" style="140"/>
    <col min="4865" max="4865" width="13.83203125" style="140" customWidth="1"/>
    <col min="4866" max="4866" width="79.1640625" style="140" customWidth="1"/>
    <col min="4867" max="4867" width="25" style="140" customWidth="1"/>
    <col min="4868" max="5120" width="9.33203125" style="140"/>
    <col min="5121" max="5121" width="13.83203125" style="140" customWidth="1"/>
    <col min="5122" max="5122" width="79.1640625" style="140" customWidth="1"/>
    <col min="5123" max="5123" width="25" style="140" customWidth="1"/>
    <col min="5124" max="5376" width="9.33203125" style="140"/>
    <col min="5377" max="5377" width="13.83203125" style="140" customWidth="1"/>
    <col min="5378" max="5378" width="79.1640625" style="140" customWidth="1"/>
    <col min="5379" max="5379" width="25" style="140" customWidth="1"/>
    <col min="5380" max="5632" width="9.33203125" style="140"/>
    <col min="5633" max="5633" width="13.83203125" style="140" customWidth="1"/>
    <col min="5634" max="5634" width="79.1640625" style="140" customWidth="1"/>
    <col min="5635" max="5635" width="25" style="140" customWidth="1"/>
    <col min="5636" max="5888" width="9.33203125" style="140"/>
    <col min="5889" max="5889" width="13.83203125" style="140" customWidth="1"/>
    <col min="5890" max="5890" width="79.1640625" style="140" customWidth="1"/>
    <col min="5891" max="5891" width="25" style="140" customWidth="1"/>
    <col min="5892" max="6144" width="9.33203125" style="140"/>
    <col min="6145" max="6145" width="13.83203125" style="140" customWidth="1"/>
    <col min="6146" max="6146" width="79.1640625" style="140" customWidth="1"/>
    <col min="6147" max="6147" width="25" style="140" customWidth="1"/>
    <col min="6148" max="6400" width="9.33203125" style="140"/>
    <col min="6401" max="6401" width="13.83203125" style="140" customWidth="1"/>
    <col min="6402" max="6402" width="79.1640625" style="140" customWidth="1"/>
    <col min="6403" max="6403" width="25" style="140" customWidth="1"/>
    <col min="6404" max="6656" width="9.33203125" style="140"/>
    <col min="6657" max="6657" width="13.83203125" style="140" customWidth="1"/>
    <col min="6658" max="6658" width="79.1640625" style="140" customWidth="1"/>
    <col min="6659" max="6659" width="25" style="140" customWidth="1"/>
    <col min="6660" max="6912" width="9.33203125" style="140"/>
    <col min="6913" max="6913" width="13.83203125" style="140" customWidth="1"/>
    <col min="6914" max="6914" width="79.1640625" style="140" customWidth="1"/>
    <col min="6915" max="6915" width="25" style="140" customWidth="1"/>
    <col min="6916" max="7168" width="9.33203125" style="140"/>
    <col min="7169" max="7169" width="13.83203125" style="140" customWidth="1"/>
    <col min="7170" max="7170" width="79.1640625" style="140" customWidth="1"/>
    <col min="7171" max="7171" width="25" style="140" customWidth="1"/>
    <col min="7172" max="7424" width="9.33203125" style="140"/>
    <col min="7425" max="7425" width="13.83203125" style="140" customWidth="1"/>
    <col min="7426" max="7426" width="79.1640625" style="140" customWidth="1"/>
    <col min="7427" max="7427" width="25" style="140" customWidth="1"/>
    <col min="7428" max="7680" width="9.33203125" style="140"/>
    <col min="7681" max="7681" width="13.83203125" style="140" customWidth="1"/>
    <col min="7682" max="7682" width="79.1640625" style="140" customWidth="1"/>
    <col min="7683" max="7683" width="25" style="140" customWidth="1"/>
    <col min="7684" max="7936" width="9.33203125" style="140"/>
    <col min="7937" max="7937" width="13.83203125" style="140" customWidth="1"/>
    <col min="7938" max="7938" width="79.1640625" style="140" customWidth="1"/>
    <col min="7939" max="7939" width="25" style="140" customWidth="1"/>
    <col min="7940" max="8192" width="9.33203125" style="140"/>
    <col min="8193" max="8193" width="13.83203125" style="140" customWidth="1"/>
    <col min="8194" max="8194" width="79.1640625" style="140" customWidth="1"/>
    <col min="8195" max="8195" width="25" style="140" customWidth="1"/>
    <col min="8196" max="8448" width="9.33203125" style="140"/>
    <col min="8449" max="8449" width="13.83203125" style="140" customWidth="1"/>
    <col min="8450" max="8450" width="79.1640625" style="140" customWidth="1"/>
    <col min="8451" max="8451" width="25" style="140" customWidth="1"/>
    <col min="8452" max="8704" width="9.33203125" style="140"/>
    <col min="8705" max="8705" width="13.83203125" style="140" customWidth="1"/>
    <col min="8706" max="8706" width="79.1640625" style="140" customWidth="1"/>
    <col min="8707" max="8707" width="25" style="140" customWidth="1"/>
    <col min="8708" max="8960" width="9.33203125" style="140"/>
    <col min="8961" max="8961" width="13.83203125" style="140" customWidth="1"/>
    <col min="8962" max="8962" width="79.1640625" style="140" customWidth="1"/>
    <col min="8963" max="8963" width="25" style="140" customWidth="1"/>
    <col min="8964" max="9216" width="9.33203125" style="140"/>
    <col min="9217" max="9217" width="13.83203125" style="140" customWidth="1"/>
    <col min="9218" max="9218" width="79.1640625" style="140" customWidth="1"/>
    <col min="9219" max="9219" width="25" style="140" customWidth="1"/>
    <col min="9220" max="9472" width="9.33203125" style="140"/>
    <col min="9473" max="9473" width="13.83203125" style="140" customWidth="1"/>
    <col min="9474" max="9474" width="79.1640625" style="140" customWidth="1"/>
    <col min="9475" max="9475" width="25" style="140" customWidth="1"/>
    <col min="9476" max="9728" width="9.33203125" style="140"/>
    <col min="9729" max="9729" width="13.83203125" style="140" customWidth="1"/>
    <col min="9730" max="9730" width="79.1640625" style="140" customWidth="1"/>
    <col min="9731" max="9731" width="25" style="140" customWidth="1"/>
    <col min="9732" max="9984" width="9.33203125" style="140"/>
    <col min="9985" max="9985" width="13.83203125" style="140" customWidth="1"/>
    <col min="9986" max="9986" width="79.1640625" style="140" customWidth="1"/>
    <col min="9987" max="9987" width="25" style="140" customWidth="1"/>
    <col min="9988" max="10240" width="9.33203125" style="140"/>
    <col min="10241" max="10241" width="13.83203125" style="140" customWidth="1"/>
    <col min="10242" max="10242" width="79.1640625" style="140" customWidth="1"/>
    <col min="10243" max="10243" width="25" style="140" customWidth="1"/>
    <col min="10244" max="10496" width="9.33203125" style="140"/>
    <col min="10497" max="10497" width="13.83203125" style="140" customWidth="1"/>
    <col min="10498" max="10498" width="79.1640625" style="140" customWidth="1"/>
    <col min="10499" max="10499" width="25" style="140" customWidth="1"/>
    <col min="10500" max="10752" width="9.33203125" style="140"/>
    <col min="10753" max="10753" width="13.83203125" style="140" customWidth="1"/>
    <col min="10754" max="10754" width="79.1640625" style="140" customWidth="1"/>
    <col min="10755" max="10755" width="25" style="140" customWidth="1"/>
    <col min="10756" max="11008" width="9.33203125" style="140"/>
    <col min="11009" max="11009" width="13.83203125" style="140" customWidth="1"/>
    <col min="11010" max="11010" width="79.1640625" style="140" customWidth="1"/>
    <col min="11011" max="11011" width="25" style="140" customWidth="1"/>
    <col min="11012" max="11264" width="9.33203125" style="140"/>
    <col min="11265" max="11265" width="13.83203125" style="140" customWidth="1"/>
    <col min="11266" max="11266" width="79.1640625" style="140" customWidth="1"/>
    <col min="11267" max="11267" width="25" style="140" customWidth="1"/>
    <col min="11268" max="11520" width="9.33203125" style="140"/>
    <col min="11521" max="11521" width="13.83203125" style="140" customWidth="1"/>
    <col min="11522" max="11522" width="79.1640625" style="140" customWidth="1"/>
    <col min="11523" max="11523" width="25" style="140" customWidth="1"/>
    <col min="11524" max="11776" width="9.33203125" style="140"/>
    <col min="11777" max="11777" width="13.83203125" style="140" customWidth="1"/>
    <col min="11778" max="11778" width="79.1640625" style="140" customWidth="1"/>
    <col min="11779" max="11779" width="25" style="140" customWidth="1"/>
    <col min="11780" max="12032" width="9.33203125" style="140"/>
    <col min="12033" max="12033" width="13.83203125" style="140" customWidth="1"/>
    <col min="12034" max="12034" width="79.1640625" style="140" customWidth="1"/>
    <col min="12035" max="12035" width="25" style="140" customWidth="1"/>
    <col min="12036" max="12288" width="9.33203125" style="140"/>
    <col min="12289" max="12289" width="13.83203125" style="140" customWidth="1"/>
    <col min="12290" max="12290" width="79.1640625" style="140" customWidth="1"/>
    <col min="12291" max="12291" width="25" style="140" customWidth="1"/>
    <col min="12292" max="12544" width="9.33203125" style="140"/>
    <col min="12545" max="12545" width="13.83203125" style="140" customWidth="1"/>
    <col min="12546" max="12546" width="79.1640625" style="140" customWidth="1"/>
    <col min="12547" max="12547" width="25" style="140" customWidth="1"/>
    <col min="12548" max="12800" width="9.33203125" style="140"/>
    <col min="12801" max="12801" width="13.83203125" style="140" customWidth="1"/>
    <col min="12802" max="12802" width="79.1640625" style="140" customWidth="1"/>
    <col min="12803" max="12803" width="25" style="140" customWidth="1"/>
    <col min="12804" max="13056" width="9.33203125" style="140"/>
    <col min="13057" max="13057" width="13.83203125" style="140" customWidth="1"/>
    <col min="13058" max="13058" width="79.1640625" style="140" customWidth="1"/>
    <col min="13059" max="13059" width="25" style="140" customWidth="1"/>
    <col min="13060" max="13312" width="9.33203125" style="140"/>
    <col min="13313" max="13313" width="13.83203125" style="140" customWidth="1"/>
    <col min="13314" max="13314" width="79.1640625" style="140" customWidth="1"/>
    <col min="13315" max="13315" width="25" style="140" customWidth="1"/>
    <col min="13316" max="13568" width="9.33203125" style="140"/>
    <col min="13569" max="13569" width="13.83203125" style="140" customWidth="1"/>
    <col min="13570" max="13570" width="79.1640625" style="140" customWidth="1"/>
    <col min="13571" max="13571" width="25" style="140" customWidth="1"/>
    <col min="13572" max="13824" width="9.33203125" style="140"/>
    <col min="13825" max="13825" width="13.83203125" style="140" customWidth="1"/>
    <col min="13826" max="13826" width="79.1640625" style="140" customWidth="1"/>
    <col min="13827" max="13827" width="25" style="140" customWidth="1"/>
    <col min="13828" max="14080" width="9.33203125" style="140"/>
    <col min="14081" max="14081" width="13.83203125" style="140" customWidth="1"/>
    <col min="14082" max="14082" width="79.1640625" style="140" customWidth="1"/>
    <col min="14083" max="14083" width="25" style="140" customWidth="1"/>
    <col min="14084" max="14336" width="9.33203125" style="140"/>
    <col min="14337" max="14337" width="13.83203125" style="140" customWidth="1"/>
    <col min="14338" max="14338" width="79.1640625" style="140" customWidth="1"/>
    <col min="14339" max="14339" width="25" style="140" customWidth="1"/>
    <col min="14340" max="14592" width="9.33203125" style="140"/>
    <col min="14593" max="14593" width="13.83203125" style="140" customWidth="1"/>
    <col min="14594" max="14594" width="79.1640625" style="140" customWidth="1"/>
    <col min="14595" max="14595" width="25" style="140" customWidth="1"/>
    <col min="14596" max="14848" width="9.33203125" style="140"/>
    <col min="14849" max="14849" width="13.83203125" style="140" customWidth="1"/>
    <col min="14850" max="14850" width="79.1640625" style="140" customWidth="1"/>
    <col min="14851" max="14851" width="25" style="140" customWidth="1"/>
    <col min="14852" max="15104" width="9.33203125" style="140"/>
    <col min="15105" max="15105" width="13.83203125" style="140" customWidth="1"/>
    <col min="15106" max="15106" width="79.1640625" style="140" customWidth="1"/>
    <col min="15107" max="15107" width="25" style="140" customWidth="1"/>
    <col min="15108" max="15360" width="9.33203125" style="140"/>
    <col min="15361" max="15361" width="13.83203125" style="140" customWidth="1"/>
    <col min="15362" max="15362" width="79.1640625" style="140" customWidth="1"/>
    <col min="15363" max="15363" width="25" style="140" customWidth="1"/>
    <col min="15364" max="15616" width="9.33203125" style="140"/>
    <col min="15617" max="15617" width="13.83203125" style="140" customWidth="1"/>
    <col min="15618" max="15618" width="79.1640625" style="140" customWidth="1"/>
    <col min="15619" max="15619" width="25" style="140" customWidth="1"/>
    <col min="15620" max="15872" width="9.33203125" style="140"/>
    <col min="15873" max="15873" width="13.83203125" style="140" customWidth="1"/>
    <col min="15874" max="15874" width="79.1640625" style="140" customWidth="1"/>
    <col min="15875" max="15875" width="25" style="140" customWidth="1"/>
    <col min="15876" max="16128" width="9.33203125" style="140"/>
    <col min="16129" max="16129" width="13.83203125" style="140" customWidth="1"/>
    <col min="16130" max="16130" width="79.1640625" style="140" customWidth="1"/>
    <col min="16131" max="16131" width="25" style="140" customWidth="1"/>
    <col min="16132" max="16384" width="9.33203125" style="140"/>
  </cols>
  <sheetData>
    <row r="1" spans="1:3" s="119" customFormat="1" ht="21" customHeight="1" thickBot="1" x14ac:dyDescent="0.25">
      <c r="A1" s="118"/>
      <c r="B1" s="120"/>
      <c r="C1" s="435"/>
    </row>
    <row r="2" spans="1:3" s="279" customFormat="1" ht="36" customHeight="1" x14ac:dyDescent="0.2">
      <c r="A2" s="236" t="s">
        <v>201</v>
      </c>
      <c r="B2" s="209" t="s">
        <v>621</v>
      </c>
      <c r="C2" s="436" t="s">
        <v>89</v>
      </c>
    </row>
    <row r="3" spans="1:3" s="279" customFormat="1" ht="24.75" thickBot="1" x14ac:dyDescent="0.25">
      <c r="A3" s="272" t="s">
        <v>200</v>
      </c>
      <c r="B3" s="210" t="s">
        <v>399</v>
      </c>
      <c r="C3" s="437" t="s">
        <v>88</v>
      </c>
    </row>
    <row r="4" spans="1:3" s="280" customFormat="1" ht="15.95" customHeight="1" thickBot="1" x14ac:dyDescent="0.3">
      <c r="A4" s="122"/>
      <c r="B4" s="122"/>
      <c r="C4" s="438" t="s">
        <v>677</v>
      </c>
    </row>
    <row r="5" spans="1:3" ht="13.5" thickBot="1" x14ac:dyDescent="0.25">
      <c r="A5" s="237" t="s">
        <v>202</v>
      </c>
      <c r="B5" s="124" t="s">
        <v>82</v>
      </c>
      <c r="C5" s="439" t="s">
        <v>83</v>
      </c>
    </row>
    <row r="6" spans="1:3" s="281" customFormat="1" ht="12.95" customHeight="1" thickBot="1" x14ac:dyDescent="0.25">
      <c r="A6" s="96" t="s">
        <v>524</v>
      </c>
      <c r="B6" s="97" t="s">
        <v>525</v>
      </c>
      <c r="C6" s="440" t="s">
        <v>526</v>
      </c>
    </row>
    <row r="7" spans="1:3" s="281" customFormat="1" ht="15.95" customHeight="1" thickBot="1" x14ac:dyDescent="0.25">
      <c r="A7" s="126"/>
      <c r="B7" s="127" t="s">
        <v>84</v>
      </c>
      <c r="C7" s="723"/>
    </row>
    <row r="8" spans="1:3" s="225" customFormat="1" ht="12" customHeight="1" thickBot="1" x14ac:dyDescent="0.25">
      <c r="A8" s="96" t="s">
        <v>45</v>
      </c>
      <c r="B8" s="129" t="s">
        <v>606</v>
      </c>
      <c r="C8" s="745">
        <f>SUM(C9:C19)</f>
        <v>4095774</v>
      </c>
    </row>
    <row r="9" spans="1:3" s="225" customFormat="1" ht="12" customHeight="1" x14ac:dyDescent="0.2">
      <c r="A9" s="273" t="s">
        <v>121</v>
      </c>
      <c r="B9" s="9" t="s">
        <v>257</v>
      </c>
      <c r="C9" s="726"/>
    </row>
    <row r="10" spans="1:3" s="225" customFormat="1" ht="12" customHeight="1" x14ac:dyDescent="0.2">
      <c r="A10" s="274" t="s">
        <v>122</v>
      </c>
      <c r="B10" s="7" t="s">
        <v>258</v>
      </c>
      <c r="C10" s="726">
        <f>1416800-360800+140000</f>
        <v>1196000</v>
      </c>
    </row>
    <row r="11" spans="1:3" s="225" customFormat="1" ht="12" customHeight="1" x14ac:dyDescent="0.2">
      <c r="A11" s="274" t="s">
        <v>123</v>
      </c>
      <c r="B11" s="7" t="s">
        <v>259</v>
      </c>
      <c r="C11" s="726"/>
    </row>
    <row r="12" spans="1:3" s="225" customFormat="1" ht="12" customHeight="1" x14ac:dyDescent="0.2">
      <c r="A12" s="274" t="s">
        <v>124</v>
      </c>
      <c r="B12" s="7" t="s">
        <v>260</v>
      </c>
      <c r="C12" s="726"/>
    </row>
    <row r="13" spans="1:3" s="225" customFormat="1" ht="12" customHeight="1" x14ac:dyDescent="0.2">
      <c r="A13" s="274" t="s">
        <v>164</v>
      </c>
      <c r="B13" s="7" t="s">
        <v>261</v>
      </c>
      <c r="C13" s="726">
        <v>1871280</v>
      </c>
    </row>
    <row r="14" spans="1:3" s="225" customFormat="1" ht="12" customHeight="1" x14ac:dyDescent="0.2">
      <c r="A14" s="274" t="s">
        <v>125</v>
      </c>
      <c r="B14" s="7" t="s">
        <v>382</v>
      </c>
      <c r="C14" s="726">
        <f>887792-97416+37800</f>
        <v>828176</v>
      </c>
    </row>
    <row r="15" spans="1:3" s="225" customFormat="1" ht="12" customHeight="1" x14ac:dyDescent="0.2">
      <c r="A15" s="274" t="s">
        <v>126</v>
      </c>
      <c r="B15" s="6" t="s">
        <v>383</v>
      </c>
      <c r="C15" s="727"/>
    </row>
    <row r="16" spans="1:3" s="225" customFormat="1" ht="12" customHeight="1" x14ac:dyDescent="0.2">
      <c r="A16" s="274" t="s">
        <v>136</v>
      </c>
      <c r="B16" s="7" t="s">
        <v>264</v>
      </c>
      <c r="C16" s="726"/>
    </row>
    <row r="17" spans="1:3" s="282" customFormat="1" ht="12" customHeight="1" x14ac:dyDescent="0.2">
      <c r="A17" s="274" t="s">
        <v>137</v>
      </c>
      <c r="B17" s="7" t="s">
        <v>265</v>
      </c>
      <c r="C17" s="728"/>
    </row>
    <row r="18" spans="1:3" s="282" customFormat="1" ht="12" customHeight="1" x14ac:dyDescent="0.2">
      <c r="A18" s="274" t="s">
        <v>138</v>
      </c>
      <c r="B18" s="7" t="s">
        <v>533</v>
      </c>
      <c r="C18" s="728"/>
    </row>
    <row r="19" spans="1:3" s="282" customFormat="1" ht="12" customHeight="1" thickBot="1" x14ac:dyDescent="0.25">
      <c r="A19" s="274" t="s">
        <v>139</v>
      </c>
      <c r="B19" s="6" t="s">
        <v>266</v>
      </c>
      <c r="C19" s="728">
        <v>200318</v>
      </c>
    </row>
    <row r="20" spans="1:3" s="225" customFormat="1" ht="12" customHeight="1" thickBot="1" x14ac:dyDescent="0.25">
      <c r="A20" s="96" t="s">
        <v>46</v>
      </c>
      <c r="B20" s="129" t="s">
        <v>384</v>
      </c>
      <c r="C20" s="745">
        <f>SUM(C21:C23)</f>
        <v>0</v>
      </c>
    </row>
    <row r="21" spans="1:3" s="282" customFormat="1" ht="12" customHeight="1" x14ac:dyDescent="0.2">
      <c r="A21" s="274" t="s">
        <v>127</v>
      </c>
      <c r="B21" s="8" t="s">
        <v>234</v>
      </c>
      <c r="C21" s="726"/>
    </row>
    <row r="22" spans="1:3" s="282" customFormat="1" ht="12" customHeight="1" x14ac:dyDescent="0.2">
      <c r="A22" s="274" t="s">
        <v>128</v>
      </c>
      <c r="B22" s="7" t="s">
        <v>385</v>
      </c>
      <c r="C22" s="726"/>
    </row>
    <row r="23" spans="1:3" s="282" customFormat="1" ht="12" customHeight="1" x14ac:dyDescent="0.2">
      <c r="A23" s="274" t="s">
        <v>129</v>
      </c>
      <c r="B23" s="7" t="s">
        <v>386</v>
      </c>
      <c r="C23" s="726"/>
    </row>
    <row r="24" spans="1:3" s="282" customFormat="1" ht="12" customHeight="1" thickBot="1" x14ac:dyDescent="0.25">
      <c r="A24" s="274" t="s">
        <v>130</v>
      </c>
      <c r="B24" s="7" t="s">
        <v>616</v>
      </c>
      <c r="C24" s="726"/>
    </row>
    <row r="25" spans="1:3" s="282" customFormat="1" ht="12" customHeight="1" thickBot="1" x14ac:dyDescent="0.25">
      <c r="A25" s="99" t="s">
        <v>47</v>
      </c>
      <c r="B25" s="84" t="s">
        <v>178</v>
      </c>
      <c r="C25" s="746"/>
    </row>
    <row r="26" spans="1:3" s="282" customFormat="1" ht="12" customHeight="1" thickBot="1" x14ac:dyDescent="0.25">
      <c r="A26" s="99" t="s">
        <v>48</v>
      </c>
      <c r="B26" s="84" t="s">
        <v>617</v>
      </c>
      <c r="C26" s="745">
        <f>+C27+C28</f>
        <v>0</v>
      </c>
    </row>
    <row r="27" spans="1:3" s="282" customFormat="1" ht="12" customHeight="1" x14ac:dyDescent="0.2">
      <c r="A27" s="275" t="s">
        <v>244</v>
      </c>
      <c r="B27" s="276" t="s">
        <v>385</v>
      </c>
      <c r="C27" s="747"/>
    </row>
    <row r="28" spans="1:3" s="282" customFormat="1" ht="12" customHeight="1" x14ac:dyDescent="0.2">
      <c r="A28" s="275" t="s">
        <v>247</v>
      </c>
      <c r="B28" s="277" t="s">
        <v>387</v>
      </c>
      <c r="C28" s="727"/>
    </row>
    <row r="29" spans="1:3" s="282" customFormat="1" ht="12" customHeight="1" thickBot="1" x14ac:dyDescent="0.25">
      <c r="A29" s="274" t="s">
        <v>248</v>
      </c>
      <c r="B29" s="87" t="s">
        <v>618</v>
      </c>
      <c r="C29" s="748"/>
    </row>
    <row r="30" spans="1:3" s="282" customFormat="1" ht="12" customHeight="1" thickBot="1" x14ac:dyDescent="0.25">
      <c r="A30" s="99" t="s">
        <v>49</v>
      </c>
      <c r="B30" s="84" t="s">
        <v>388</v>
      </c>
      <c r="C30" s="745">
        <f>+C31+C32+C33</f>
        <v>0</v>
      </c>
    </row>
    <row r="31" spans="1:3" s="282" customFormat="1" ht="12" customHeight="1" x14ac:dyDescent="0.2">
      <c r="A31" s="275" t="s">
        <v>114</v>
      </c>
      <c r="B31" s="276" t="s">
        <v>271</v>
      </c>
      <c r="C31" s="747"/>
    </row>
    <row r="32" spans="1:3" s="282" customFormat="1" ht="12" customHeight="1" x14ac:dyDescent="0.2">
      <c r="A32" s="275" t="s">
        <v>115</v>
      </c>
      <c r="B32" s="277" t="s">
        <v>272</v>
      </c>
      <c r="C32" s="727"/>
    </row>
    <row r="33" spans="1:3" s="282" customFormat="1" ht="12" customHeight="1" thickBot="1" x14ac:dyDescent="0.25">
      <c r="A33" s="274" t="s">
        <v>116</v>
      </c>
      <c r="B33" s="87" t="s">
        <v>273</v>
      </c>
      <c r="C33" s="748"/>
    </row>
    <row r="34" spans="1:3" s="225" customFormat="1" ht="12" customHeight="1" thickBot="1" x14ac:dyDescent="0.25">
      <c r="A34" s="99" t="s">
        <v>50</v>
      </c>
      <c r="B34" s="84" t="s">
        <v>359</v>
      </c>
      <c r="C34" s="746"/>
    </row>
    <row r="35" spans="1:3" s="225" customFormat="1" ht="12" customHeight="1" thickBot="1" x14ac:dyDescent="0.25">
      <c r="A35" s="99" t="s">
        <v>51</v>
      </c>
      <c r="B35" s="84" t="s">
        <v>389</v>
      </c>
      <c r="C35" s="824">
        <v>200000</v>
      </c>
    </row>
    <row r="36" spans="1:3" s="225" customFormat="1" ht="12" customHeight="1" thickBot="1" x14ac:dyDescent="0.25">
      <c r="A36" s="96" t="s">
        <v>52</v>
      </c>
      <c r="B36" s="84" t="s">
        <v>619</v>
      </c>
      <c r="C36" s="737">
        <f>+C8+C20+C25+C26+C30+C34+C35</f>
        <v>4295774</v>
      </c>
    </row>
    <row r="37" spans="1:3" s="225" customFormat="1" ht="12" customHeight="1" thickBot="1" x14ac:dyDescent="0.25">
      <c r="A37" s="130" t="s">
        <v>53</v>
      </c>
      <c r="B37" s="84" t="s">
        <v>391</v>
      </c>
      <c r="C37" s="220">
        <f>+C38+C39+C40</f>
        <v>75641692</v>
      </c>
    </row>
    <row r="38" spans="1:3" s="225" customFormat="1" ht="12" customHeight="1" x14ac:dyDescent="0.2">
      <c r="A38" s="275" t="s">
        <v>392</v>
      </c>
      <c r="B38" s="276" t="s">
        <v>216</v>
      </c>
      <c r="C38" s="780">
        <v>66655</v>
      </c>
    </row>
    <row r="39" spans="1:3" s="225" customFormat="1" ht="12" customHeight="1" x14ac:dyDescent="0.2">
      <c r="A39" s="275" t="s">
        <v>393</v>
      </c>
      <c r="B39" s="277" t="s">
        <v>35</v>
      </c>
      <c r="C39" s="215"/>
    </row>
    <row r="40" spans="1:3" s="282" customFormat="1" ht="12" customHeight="1" thickBot="1" x14ac:dyDescent="0.25">
      <c r="A40" s="274" t="s">
        <v>394</v>
      </c>
      <c r="B40" s="87" t="s">
        <v>395</v>
      </c>
      <c r="C40" s="825">
        <f>69071526+1512159+184245+90000+2357850+322520+193947+1000000+256930+585860</f>
        <v>75575037</v>
      </c>
    </row>
    <row r="41" spans="1:3" s="282" customFormat="1" ht="15" customHeight="1" thickBot="1" x14ac:dyDescent="0.25">
      <c r="A41" s="130" t="s">
        <v>54</v>
      </c>
      <c r="B41" s="131" t="s">
        <v>396</v>
      </c>
      <c r="C41" s="220">
        <f>+C36+C37</f>
        <v>79937466</v>
      </c>
    </row>
    <row r="42" spans="1:3" s="282" customFormat="1" ht="15" customHeight="1" x14ac:dyDescent="0.2">
      <c r="A42" s="132"/>
      <c r="B42" s="133"/>
      <c r="C42" s="218"/>
    </row>
    <row r="43" spans="1:3" ht="13.5" thickBot="1" x14ac:dyDescent="0.25">
      <c r="A43" s="134"/>
      <c r="B43" s="135"/>
      <c r="C43" s="219"/>
    </row>
    <row r="44" spans="1:3" s="281" customFormat="1" ht="16.5" customHeight="1" thickBot="1" x14ac:dyDescent="0.25">
      <c r="A44" s="136"/>
      <c r="B44" s="137" t="s">
        <v>85</v>
      </c>
      <c r="C44" s="220"/>
    </row>
    <row r="45" spans="1:3" s="283" customFormat="1" ht="12" customHeight="1" thickBot="1" x14ac:dyDescent="0.25">
      <c r="A45" s="99" t="s">
        <v>45</v>
      </c>
      <c r="B45" s="84" t="s">
        <v>397</v>
      </c>
      <c r="C45" s="221">
        <f>SUM(C46:C50)</f>
        <v>79247966</v>
      </c>
    </row>
    <row r="46" spans="1:3" ht="12" customHeight="1" x14ac:dyDescent="0.2">
      <c r="A46" s="274" t="s">
        <v>121</v>
      </c>
      <c r="B46" s="8" t="s">
        <v>76</v>
      </c>
      <c r="C46" s="826">
        <f>49257950+1239474+151021+240000+104217-100000</f>
        <v>50892662</v>
      </c>
    </row>
    <row r="47" spans="1:3" ht="12" customHeight="1" x14ac:dyDescent="0.2">
      <c r="A47" s="274" t="s">
        <v>122</v>
      </c>
      <c r="B47" s="7" t="s">
        <v>187</v>
      </c>
      <c r="C47" s="813">
        <f>11047568+272685+33224+47520+22928-22000</f>
        <v>11401925</v>
      </c>
    </row>
    <row r="48" spans="1:3" ht="12" customHeight="1" x14ac:dyDescent="0.2">
      <c r="A48" s="274" t="s">
        <v>123</v>
      </c>
      <c r="B48" s="7" t="s">
        <v>157</v>
      </c>
      <c r="C48" s="813">
        <f>12658535+2558168-213614+1000000+256930+693360</f>
        <v>16953379</v>
      </c>
    </row>
    <row r="49" spans="1:3" ht="12" customHeight="1" x14ac:dyDescent="0.2">
      <c r="A49" s="274" t="s">
        <v>124</v>
      </c>
      <c r="B49" s="7" t="s">
        <v>188</v>
      </c>
      <c r="C49" s="172"/>
    </row>
    <row r="50" spans="1:3" ht="12" customHeight="1" thickBot="1" x14ac:dyDescent="0.25">
      <c r="A50" s="274" t="s">
        <v>164</v>
      </c>
      <c r="B50" s="7" t="s">
        <v>189</v>
      </c>
      <c r="C50" s="172"/>
    </row>
    <row r="51" spans="1:3" ht="12" customHeight="1" thickBot="1" x14ac:dyDescent="0.25">
      <c r="A51" s="99" t="s">
        <v>46</v>
      </c>
      <c r="B51" s="84" t="s">
        <v>398</v>
      </c>
      <c r="C51" s="221">
        <f>SUM(C52:C54)</f>
        <v>689500</v>
      </c>
    </row>
    <row r="52" spans="1:3" s="283" customFormat="1" ht="12" customHeight="1" x14ac:dyDescent="0.2">
      <c r="A52" s="274" t="s">
        <v>127</v>
      </c>
      <c r="B52" s="8" t="s">
        <v>207</v>
      </c>
      <c r="C52" s="826">
        <f>350000+90000+35000+14500+200000</f>
        <v>689500</v>
      </c>
    </row>
    <row r="53" spans="1:3" ht="12" customHeight="1" x14ac:dyDescent="0.2">
      <c r="A53" s="274" t="s">
        <v>128</v>
      </c>
      <c r="B53" s="7" t="s">
        <v>191</v>
      </c>
      <c r="C53" s="172"/>
    </row>
    <row r="54" spans="1:3" ht="12" customHeight="1" x14ac:dyDescent="0.2">
      <c r="A54" s="274" t="s">
        <v>129</v>
      </c>
      <c r="B54" s="7" t="s">
        <v>86</v>
      </c>
      <c r="C54" s="172"/>
    </row>
    <row r="55" spans="1:3" ht="12" customHeight="1" thickBot="1" x14ac:dyDescent="0.25">
      <c r="A55" s="274" t="s">
        <v>130</v>
      </c>
      <c r="B55" s="7" t="s">
        <v>610</v>
      </c>
      <c r="C55" s="172"/>
    </row>
    <row r="56" spans="1:3" ht="15" customHeight="1" thickBot="1" x14ac:dyDescent="0.25">
      <c r="A56" s="99" t="s">
        <v>47</v>
      </c>
      <c r="B56" s="84" t="s">
        <v>39</v>
      </c>
      <c r="C56" s="782"/>
    </row>
    <row r="57" spans="1:3" ht="13.5" thickBot="1" x14ac:dyDescent="0.25">
      <c r="A57" s="99" t="s">
        <v>48</v>
      </c>
      <c r="B57" s="138" t="s">
        <v>611</v>
      </c>
      <c r="C57" s="221">
        <f>+C45+C51+C56</f>
        <v>79937466</v>
      </c>
    </row>
    <row r="58" spans="1:3" ht="15" customHeight="1" thickBot="1" x14ac:dyDescent="0.25">
      <c r="C58" s="783"/>
    </row>
    <row r="59" spans="1:3" ht="14.25" customHeight="1" thickBot="1" x14ac:dyDescent="0.25">
      <c r="A59" s="141" t="s">
        <v>603</v>
      </c>
      <c r="B59" s="142"/>
      <c r="C59" s="900">
        <v>22</v>
      </c>
    </row>
    <row r="60" spans="1:3" ht="13.5" thickBot="1" x14ac:dyDescent="0.25">
      <c r="A60" s="141" t="s">
        <v>203</v>
      </c>
      <c r="B60" s="142"/>
      <c r="C60" s="83"/>
    </row>
    <row r="61" spans="1:3" x14ac:dyDescent="0.2">
      <c r="C61" s="790"/>
    </row>
    <row r="62" spans="1:3" x14ac:dyDescent="0.2">
      <c r="C62" s="790"/>
    </row>
    <row r="63" spans="1:3" x14ac:dyDescent="0.2">
      <c r="C63" s="790"/>
    </row>
    <row r="64" spans="1:3" x14ac:dyDescent="0.2">
      <c r="C64" s="790"/>
    </row>
    <row r="65" spans="3:3" x14ac:dyDescent="0.2">
      <c r="C65" s="790"/>
    </row>
    <row r="66" spans="3:3" x14ac:dyDescent="0.2">
      <c r="C66" s="790"/>
    </row>
    <row r="67" spans="3:3" x14ac:dyDescent="0.2">
      <c r="C67" s="790"/>
    </row>
    <row r="68" spans="3:3" x14ac:dyDescent="0.2">
      <c r="C68" s="79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25. melléklet a 30/2017.(XI.30.)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Layout" zoomScaleNormal="100" workbookViewId="0">
      <selection activeCell="J16" sqref="J16"/>
    </sheetView>
  </sheetViews>
  <sheetFormatPr defaultColWidth="10.6640625" defaultRowHeight="12.75" x14ac:dyDescent="0.2"/>
  <cols>
    <col min="1" max="1" width="29.1640625" style="468" bestFit="1" customWidth="1"/>
    <col min="2" max="2" width="11.1640625" style="468" bestFit="1" customWidth="1"/>
    <col min="3" max="4" width="12.6640625" style="468" bestFit="1" customWidth="1"/>
    <col min="5" max="5" width="11.33203125" style="468" customWidth="1"/>
    <col min="6" max="7" width="11.1640625" style="468" bestFit="1" customWidth="1"/>
    <col min="8" max="8" width="11" style="468" customWidth="1"/>
    <col min="9" max="9" width="10.1640625" style="468" bestFit="1" customWidth="1"/>
    <col min="10" max="10" width="12.6640625" style="468" bestFit="1" customWidth="1"/>
    <col min="11" max="256" width="10.6640625" style="468"/>
    <col min="257" max="257" width="29.1640625" style="468" bestFit="1" customWidth="1"/>
    <col min="258" max="258" width="11.1640625" style="468" bestFit="1" customWidth="1"/>
    <col min="259" max="260" width="12.6640625" style="468" bestFit="1" customWidth="1"/>
    <col min="261" max="261" width="11.33203125" style="468" customWidth="1"/>
    <col min="262" max="263" width="11.1640625" style="468" bestFit="1" customWidth="1"/>
    <col min="264" max="264" width="11" style="468" customWidth="1"/>
    <col min="265" max="265" width="10.1640625" style="468" bestFit="1" customWidth="1"/>
    <col min="266" max="266" width="12.6640625" style="468" bestFit="1" customWidth="1"/>
    <col min="267" max="512" width="10.6640625" style="468"/>
    <col min="513" max="513" width="29.1640625" style="468" bestFit="1" customWidth="1"/>
    <col min="514" max="514" width="11.1640625" style="468" bestFit="1" customWidth="1"/>
    <col min="515" max="516" width="12.6640625" style="468" bestFit="1" customWidth="1"/>
    <col min="517" max="517" width="11.33203125" style="468" customWidth="1"/>
    <col min="518" max="519" width="11.1640625" style="468" bestFit="1" customWidth="1"/>
    <col min="520" max="520" width="11" style="468" customWidth="1"/>
    <col min="521" max="521" width="10.1640625" style="468" bestFit="1" customWidth="1"/>
    <col min="522" max="522" width="12.6640625" style="468" bestFit="1" customWidth="1"/>
    <col min="523" max="768" width="10.6640625" style="468"/>
    <col min="769" max="769" width="29.1640625" style="468" bestFit="1" customWidth="1"/>
    <col min="770" max="770" width="11.1640625" style="468" bestFit="1" customWidth="1"/>
    <col min="771" max="772" width="12.6640625" style="468" bestFit="1" customWidth="1"/>
    <col min="773" max="773" width="11.33203125" style="468" customWidth="1"/>
    <col min="774" max="775" width="11.1640625" style="468" bestFit="1" customWidth="1"/>
    <col min="776" max="776" width="11" style="468" customWidth="1"/>
    <col min="777" max="777" width="10.1640625" style="468" bestFit="1" customWidth="1"/>
    <col min="778" max="778" width="12.6640625" style="468" bestFit="1" customWidth="1"/>
    <col min="779" max="1024" width="10.6640625" style="468"/>
    <col min="1025" max="1025" width="29.1640625" style="468" bestFit="1" customWidth="1"/>
    <col min="1026" max="1026" width="11.1640625" style="468" bestFit="1" customWidth="1"/>
    <col min="1027" max="1028" width="12.6640625" style="468" bestFit="1" customWidth="1"/>
    <col min="1029" max="1029" width="11.33203125" style="468" customWidth="1"/>
    <col min="1030" max="1031" width="11.1640625" style="468" bestFit="1" customWidth="1"/>
    <col min="1032" max="1032" width="11" style="468" customWidth="1"/>
    <col min="1033" max="1033" width="10.1640625" style="468" bestFit="1" customWidth="1"/>
    <col min="1034" max="1034" width="12.6640625" style="468" bestFit="1" customWidth="1"/>
    <col min="1035" max="1280" width="10.6640625" style="468"/>
    <col min="1281" max="1281" width="29.1640625" style="468" bestFit="1" customWidth="1"/>
    <col min="1282" max="1282" width="11.1640625" style="468" bestFit="1" customWidth="1"/>
    <col min="1283" max="1284" width="12.6640625" style="468" bestFit="1" customWidth="1"/>
    <col min="1285" max="1285" width="11.33203125" style="468" customWidth="1"/>
    <col min="1286" max="1287" width="11.1640625" style="468" bestFit="1" customWidth="1"/>
    <col min="1288" max="1288" width="11" style="468" customWidth="1"/>
    <col min="1289" max="1289" width="10.1640625" style="468" bestFit="1" customWidth="1"/>
    <col min="1290" max="1290" width="12.6640625" style="468" bestFit="1" customWidth="1"/>
    <col min="1291" max="1536" width="10.6640625" style="468"/>
    <col min="1537" max="1537" width="29.1640625" style="468" bestFit="1" customWidth="1"/>
    <col min="1538" max="1538" width="11.1640625" style="468" bestFit="1" customWidth="1"/>
    <col min="1539" max="1540" width="12.6640625" style="468" bestFit="1" customWidth="1"/>
    <col min="1541" max="1541" width="11.33203125" style="468" customWidth="1"/>
    <col min="1542" max="1543" width="11.1640625" style="468" bestFit="1" customWidth="1"/>
    <col min="1544" max="1544" width="11" style="468" customWidth="1"/>
    <col min="1545" max="1545" width="10.1640625" style="468" bestFit="1" customWidth="1"/>
    <col min="1546" max="1546" width="12.6640625" style="468" bestFit="1" customWidth="1"/>
    <col min="1547" max="1792" width="10.6640625" style="468"/>
    <col min="1793" max="1793" width="29.1640625" style="468" bestFit="1" customWidth="1"/>
    <col min="1794" max="1794" width="11.1640625" style="468" bestFit="1" customWidth="1"/>
    <col min="1795" max="1796" width="12.6640625" style="468" bestFit="1" customWidth="1"/>
    <col min="1797" max="1797" width="11.33203125" style="468" customWidth="1"/>
    <col min="1798" max="1799" width="11.1640625" style="468" bestFit="1" customWidth="1"/>
    <col min="1800" max="1800" width="11" style="468" customWidth="1"/>
    <col min="1801" max="1801" width="10.1640625" style="468" bestFit="1" customWidth="1"/>
    <col min="1802" max="1802" width="12.6640625" style="468" bestFit="1" customWidth="1"/>
    <col min="1803" max="2048" width="10.6640625" style="468"/>
    <col min="2049" max="2049" width="29.1640625" style="468" bestFit="1" customWidth="1"/>
    <col min="2050" max="2050" width="11.1640625" style="468" bestFit="1" customWidth="1"/>
    <col min="2051" max="2052" width="12.6640625" style="468" bestFit="1" customWidth="1"/>
    <col min="2053" max="2053" width="11.33203125" style="468" customWidth="1"/>
    <col min="2054" max="2055" width="11.1640625" style="468" bestFit="1" customWidth="1"/>
    <col min="2056" max="2056" width="11" style="468" customWidth="1"/>
    <col min="2057" max="2057" width="10.1640625" style="468" bestFit="1" customWidth="1"/>
    <col min="2058" max="2058" width="12.6640625" style="468" bestFit="1" customWidth="1"/>
    <col min="2059" max="2304" width="10.6640625" style="468"/>
    <col min="2305" max="2305" width="29.1640625" style="468" bestFit="1" customWidth="1"/>
    <col min="2306" max="2306" width="11.1640625" style="468" bestFit="1" customWidth="1"/>
    <col min="2307" max="2308" width="12.6640625" style="468" bestFit="1" customWidth="1"/>
    <col min="2309" max="2309" width="11.33203125" style="468" customWidth="1"/>
    <col min="2310" max="2311" width="11.1640625" style="468" bestFit="1" customWidth="1"/>
    <col min="2312" max="2312" width="11" style="468" customWidth="1"/>
    <col min="2313" max="2313" width="10.1640625" style="468" bestFit="1" customWidth="1"/>
    <col min="2314" max="2314" width="12.6640625" style="468" bestFit="1" customWidth="1"/>
    <col min="2315" max="2560" width="10.6640625" style="468"/>
    <col min="2561" max="2561" width="29.1640625" style="468" bestFit="1" customWidth="1"/>
    <col min="2562" max="2562" width="11.1640625" style="468" bestFit="1" customWidth="1"/>
    <col min="2563" max="2564" width="12.6640625" style="468" bestFit="1" customWidth="1"/>
    <col min="2565" max="2565" width="11.33203125" style="468" customWidth="1"/>
    <col min="2566" max="2567" width="11.1640625" style="468" bestFit="1" customWidth="1"/>
    <col min="2568" max="2568" width="11" style="468" customWidth="1"/>
    <col min="2569" max="2569" width="10.1640625" style="468" bestFit="1" customWidth="1"/>
    <col min="2570" max="2570" width="12.6640625" style="468" bestFit="1" customWidth="1"/>
    <col min="2571" max="2816" width="10.6640625" style="468"/>
    <col min="2817" max="2817" width="29.1640625" style="468" bestFit="1" customWidth="1"/>
    <col min="2818" max="2818" width="11.1640625" style="468" bestFit="1" customWidth="1"/>
    <col min="2819" max="2820" width="12.6640625" style="468" bestFit="1" customWidth="1"/>
    <col min="2821" max="2821" width="11.33203125" style="468" customWidth="1"/>
    <col min="2822" max="2823" width="11.1640625" style="468" bestFit="1" customWidth="1"/>
    <col min="2824" max="2824" width="11" style="468" customWidth="1"/>
    <col min="2825" max="2825" width="10.1640625" style="468" bestFit="1" customWidth="1"/>
    <col min="2826" max="2826" width="12.6640625" style="468" bestFit="1" customWidth="1"/>
    <col min="2827" max="3072" width="10.6640625" style="468"/>
    <col min="3073" max="3073" width="29.1640625" style="468" bestFit="1" customWidth="1"/>
    <col min="3074" max="3074" width="11.1640625" style="468" bestFit="1" customWidth="1"/>
    <col min="3075" max="3076" width="12.6640625" style="468" bestFit="1" customWidth="1"/>
    <col min="3077" max="3077" width="11.33203125" style="468" customWidth="1"/>
    <col min="3078" max="3079" width="11.1640625" style="468" bestFit="1" customWidth="1"/>
    <col min="3080" max="3080" width="11" style="468" customWidth="1"/>
    <col min="3081" max="3081" width="10.1640625" style="468" bestFit="1" customWidth="1"/>
    <col min="3082" max="3082" width="12.6640625" style="468" bestFit="1" customWidth="1"/>
    <col min="3083" max="3328" width="10.6640625" style="468"/>
    <col min="3329" max="3329" width="29.1640625" style="468" bestFit="1" customWidth="1"/>
    <col min="3330" max="3330" width="11.1640625" style="468" bestFit="1" customWidth="1"/>
    <col min="3331" max="3332" width="12.6640625" style="468" bestFit="1" customWidth="1"/>
    <col min="3333" max="3333" width="11.33203125" style="468" customWidth="1"/>
    <col min="3334" max="3335" width="11.1640625" style="468" bestFit="1" customWidth="1"/>
    <col min="3336" max="3336" width="11" style="468" customWidth="1"/>
    <col min="3337" max="3337" width="10.1640625" style="468" bestFit="1" customWidth="1"/>
    <col min="3338" max="3338" width="12.6640625" style="468" bestFit="1" customWidth="1"/>
    <col min="3339" max="3584" width="10.6640625" style="468"/>
    <col min="3585" max="3585" width="29.1640625" style="468" bestFit="1" customWidth="1"/>
    <col min="3586" max="3586" width="11.1640625" style="468" bestFit="1" customWidth="1"/>
    <col min="3587" max="3588" width="12.6640625" style="468" bestFit="1" customWidth="1"/>
    <col min="3589" max="3589" width="11.33203125" style="468" customWidth="1"/>
    <col min="3590" max="3591" width="11.1640625" style="468" bestFit="1" customWidth="1"/>
    <col min="3592" max="3592" width="11" style="468" customWidth="1"/>
    <col min="3593" max="3593" width="10.1640625" style="468" bestFit="1" customWidth="1"/>
    <col min="3594" max="3594" width="12.6640625" style="468" bestFit="1" customWidth="1"/>
    <col min="3595" max="3840" width="10.6640625" style="468"/>
    <col min="3841" max="3841" width="29.1640625" style="468" bestFit="1" customWidth="1"/>
    <col min="3842" max="3842" width="11.1640625" style="468" bestFit="1" customWidth="1"/>
    <col min="3843" max="3844" width="12.6640625" style="468" bestFit="1" customWidth="1"/>
    <col min="3845" max="3845" width="11.33203125" style="468" customWidth="1"/>
    <col min="3846" max="3847" width="11.1640625" style="468" bestFit="1" customWidth="1"/>
    <col min="3848" max="3848" width="11" style="468" customWidth="1"/>
    <col min="3849" max="3849" width="10.1640625" style="468" bestFit="1" customWidth="1"/>
    <col min="3850" max="3850" width="12.6640625" style="468" bestFit="1" customWidth="1"/>
    <col min="3851" max="4096" width="10.6640625" style="468"/>
    <col min="4097" max="4097" width="29.1640625" style="468" bestFit="1" customWidth="1"/>
    <col min="4098" max="4098" width="11.1640625" style="468" bestFit="1" customWidth="1"/>
    <col min="4099" max="4100" width="12.6640625" style="468" bestFit="1" customWidth="1"/>
    <col min="4101" max="4101" width="11.33203125" style="468" customWidth="1"/>
    <col min="4102" max="4103" width="11.1640625" style="468" bestFit="1" customWidth="1"/>
    <col min="4104" max="4104" width="11" style="468" customWidth="1"/>
    <col min="4105" max="4105" width="10.1640625" style="468" bestFit="1" customWidth="1"/>
    <col min="4106" max="4106" width="12.6640625" style="468" bestFit="1" customWidth="1"/>
    <col min="4107" max="4352" width="10.6640625" style="468"/>
    <col min="4353" max="4353" width="29.1640625" style="468" bestFit="1" customWidth="1"/>
    <col min="4354" max="4354" width="11.1640625" style="468" bestFit="1" customWidth="1"/>
    <col min="4355" max="4356" width="12.6640625" style="468" bestFit="1" customWidth="1"/>
    <col min="4357" max="4357" width="11.33203125" style="468" customWidth="1"/>
    <col min="4358" max="4359" width="11.1640625" style="468" bestFit="1" customWidth="1"/>
    <col min="4360" max="4360" width="11" style="468" customWidth="1"/>
    <col min="4361" max="4361" width="10.1640625" style="468" bestFit="1" customWidth="1"/>
    <col min="4362" max="4362" width="12.6640625" style="468" bestFit="1" customWidth="1"/>
    <col min="4363" max="4608" width="10.6640625" style="468"/>
    <col min="4609" max="4609" width="29.1640625" style="468" bestFit="1" customWidth="1"/>
    <col min="4610" max="4610" width="11.1640625" style="468" bestFit="1" customWidth="1"/>
    <col min="4611" max="4612" width="12.6640625" style="468" bestFit="1" customWidth="1"/>
    <col min="4613" max="4613" width="11.33203125" style="468" customWidth="1"/>
    <col min="4614" max="4615" width="11.1640625" style="468" bestFit="1" customWidth="1"/>
    <col min="4616" max="4616" width="11" style="468" customWidth="1"/>
    <col min="4617" max="4617" width="10.1640625" style="468" bestFit="1" customWidth="1"/>
    <col min="4618" max="4618" width="12.6640625" style="468" bestFit="1" customWidth="1"/>
    <col min="4619" max="4864" width="10.6640625" style="468"/>
    <col min="4865" max="4865" width="29.1640625" style="468" bestFit="1" customWidth="1"/>
    <col min="4866" max="4866" width="11.1640625" style="468" bestFit="1" customWidth="1"/>
    <col min="4867" max="4868" width="12.6640625" style="468" bestFit="1" customWidth="1"/>
    <col min="4869" max="4869" width="11.33203125" style="468" customWidth="1"/>
    <col min="4870" max="4871" width="11.1640625" style="468" bestFit="1" customWidth="1"/>
    <col min="4872" max="4872" width="11" style="468" customWidth="1"/>
    <col min="4873" max="4873" width="10.1640625" style="468" bestFit="1" customWidth="1"/>
    <col min="4874" max="4874" width="12.6640625" style="468" bestFit="1" customWidth="1"/>
    <col min="4875" max="5120" width="10.6640625" style="468"/>
    <col min="5121" max="5121" width="29.1640625" style="468" bestFit="1" customWidth="1"/>
    <col min="5122" max="5122" width="11.1640625" style="468" bestFit="1" customWidth="1"/>
    <col min="5123" max="5124" width="12.6640625" style="468" bestFit="1" customWidth="1"/>
    <col min="5125" max="5125" width="11.33203125" style="468" customWidth="1"/>
    <col min="5126" max="5127" width="11.1640625" style="468" bestFit="1" customWidth="1"/>
    <col min="5128" max="5128" width="11" style="468" customWidth="1"/>
    <col min="5129" max="5129" width="10.1640625" style="468" bestFit="1" customWidth="1"/>
    <col min="5130" max="5130" width="12.6640625" style="468" bestFit="1" customWidth="1"/>
    <col min="5131" max="5376" width="10.6640625" style="468"/>
    <col min="5377" max="5377" width="29.1640625" style="468" bestFit="1" customWidth="1"/>
    <col min="5378" max="5378" width="11.1640625" style="468" bestFit="1" customWidth="1"/>
    <col min="5379" max="5380" width="12.6640625" style="468" bestFit="1" customWidth="1"/>
    <col min="5381" max="5381" width="11.33203125" style="468" customWidth="1"/>
    <col min="5382" max="5383" width="11.1640625" style="468" bestFit="1" customWidth="1"/>
    <col min="5384" max="5384" width="11" style="468" customWidth="1"/>
    <col min="5385" max="5385" width="10.1640625" style="468" bestFit="1" customWidth="1"/>
    <col min="5386" max="5386" width="12.6640625" style="468" bestFit="1" customWidth="1"/>
    <col min="5387" max="5632" width="10.6640625" style="468"/>
    <col min="5633" max="5633" width="29.1640625" style="468" bestFit="1" customWidth="1"/>
    <col min="5634" max="5634" width="11.1640625" style="468" bestFit="1" customWidth="1"/>
    <col min="5635" max="5636" width="12.6640625" style="468" bestFit="1" customWidth="1"/>
    <col min="5637" max="5637" width="11.33203125" style="468" customWidth="1"/>
    <col min="5638" max="5639" width="11.1640625" style="468" bestFit="1" customWidth="1"/>
    <col min="5640" max="5640" width="11" style="468" customWidth="1"/>
    <col min="5641" max="5641" width="10.1640625" style="468" bestFit="1" customWidth="1"/>
    <col min="5642" max="5642" width="12.6640625" style="468" bestFit="1" customWidth="1"/>
    <col min="5643" max="5888" width="10.6640625" style="468"/>
    <col min="5889" max="5889" width="29.1640625" style="468" bestFit="1" customWidth="1"/>
    <col min="5890" max="5890" width="11.1640625" style="468" bestFit="1" customWidth="1"/>
    <col min="5891" max="5892" width="12.6640625" style="468" bestFit="1" customWidth="1"/>
    <col min="5893" max="5893" width="11.33203125" style="468" customWidth="1"/>
    <col min="5894" max="5895" width="11.1640625" style="468" bestFit="1" customWidth="1"/>
    <col min="5896" max="5896" width="11" style="468" customWidth="1"/>
    <col min="5897" max="5897" width="10.1640625" style="468" bestFit="1" customWidth="1"/>
    <col min="5898" max="5898" width="12.6640625" style="468" bestFit="1" customWidth="1"/>
    <col min="5899" max="6144" width="10.6640625" style="468"/>
    <col min="6145" max="6145" width="29.1640625" style="468" bestFit="1" customWidth="1"/>
    <col min="6146" max="6146" width="11.1640625" style="468" bestFit="1" customWidth="1"/>
    <col min="6147" max="6148" width="12.6640625" style="468" bestFit="1" customWidth="1"/>
    <col min="6149" max="6149" width="11.33203125" style="468" customWidth="1"/>
    <col min="6150" max="6151" width="11.1640625" style="468" bestFit="1" customWidth="1"/>
    <col min="6152" max="6152" width="11" style="468" customWidth="1"/>
    <col min="6153" max="6153" width="10.1640625" style="468" bestFit="1" customWidth="1"/>
    <col min="6154" max="6154" width="12.6640625" style="468" bestFit="1" customWidth="1"/>
    <col min="6155" max="6400" width="10.6640625" style="468"/>
    <col min="6401" max="6401" width="29.1640625" style="468" bestFit="1" customWidth="1"/>
    <col min="6402" max="6402" width="11.1640625" style="468" bestFit="1" customWidth="1"/>
    <col min="6403" max="6404" width="12.6640625" style="468" bestFit="1" customWidth="1"/>
    <col min="6405" max="6405" width="11.33203125" style="468" customWidth="1"/>
    <col min="6406" max="6407" width="11.1640625" style="468" bestFit="1" customWidth="1"/>
    <col min="6408" max="6408" width="11" style="468" customWidth="1"/>
    <col min="6409" max="6409" width="10.1640625" style="468" bestFit="1" customWidth="1"/>
    <col min="6410" max="6410" width="12.6640625" style="468" bestFit="1" customWidth="1"/>
    <col min="6411" max="6656" width="10.6640625" style="468"/>
    <col min="6657" max="6657" width="29.1640625" style="468" bestFit="1" customWidth="1"/>
    <col min="6658" max="6658" width="11.1640625" style="468" bestFit="1" customWidth="1"/>
    <col min="6659" max="6660" width="12.6640625" style="468" bestFit="1" customWidth="1"/>
    <col min="6661" max="6661" width="11.33203125" style="468" customWidth="1"/>
    <col min="6662" max="6663" width="11.1640625" style="468" bestFit="1" customWidth="1"/>
    <col min="6664" max="6664" width="11" style="468" customWidth="1"/>
    <col min="6665" max="6665" width="10.1640625" style="468" bestFit="1" customWidth="1"/>
    <col min="6666" max="6666" width="12.6640625" style="468" bestFit="1" customWidth="1"/>
    <col min="6667" max="6912" width="10.6640625" style="468"/>
    <col min="6913" max="6913" width="29.1640625" style="468" bestFit="1" customWidth="1"/>
    <col min="6914" max="6914" width="11.1640625" style="468" bestFit="1" customWidth="1"/>
    <col min="6915" max="6916" width="12.6640625" style="468" bestFit="1" customWidth="1"/>
    <col min="6917" max="6917" width="11.33203125" style="468" customWidth="1"/>
    <col min="6918" max="6919" width="11.1640625" style="468" bestFit="1" customWidth="1"/>
    <col min="6920" max="6920" width="11" style="468" customWidth="1"/>
    <col min="6921" max="6921" width="10.1640625" style="468" bestFit="1" customWidth="1"/>
    <col min="6922" max="6922" width="12.6640625" style="468" bestFit="1" customWidth="1"/>
    <col min="6923" max="7168" width="10.6640625" style="468"/>
    <col min="7169" max="7169" width="29.1640625" style="468" bestFit="1" customWidth="1"/>
    <col min="7170" max="7170" width="11.1640625" style="468" bestFit="1" customWidth="1"/>
    <col min="7171" max="7172" width="12.6640625" style="468" bestFit="1" customWidth="1"/>
    <col min="7173" max="7173" width="11.33203125" style="468" customWidth="1"/>
    <col min="7174" max="7175" width="11.1640625" style="468" bestFit="1" customWidth="1"/>
    <col min="7176" max="7176" width="11" style="468" customWidth="1"/>
    <col min="7177" max="7177" width="10.1640625" style="468" bestFit="1" customWidth="1"/>
    <col min="7178" max="7178" width="12.6640625" style="468" bestFit="1" customWidth="1"/>
    <col min="7179" max="7424" width="10.6640625" style="468"/>
    <col min="7425" max="7425" width="29.1640625" style="468" bestFit="1" customWidth="1"/>
    <col min="7426" max="7426" width="11.1640625" style="468" bestFit="1" customWidth="1"/>
    <col min="7427" max="7428" width="12.6640625" style="468" bestFit="1" customWidth="1"/>
    <col min="7429" max="7429" width="11.33203125" style="468" customWidth="1"/>
    <col min="7430" max="7431" width="11.1640625" style="468" bestFit="1" customWidth="1"/>
    <col min="7432" max="7432" width="11" style="468" customWidth="1"/>
    <col min="7433" max="7433" width="10.1640625" style="468" bestFit="1" customWidth="1"/>
    <col min="7434" max="7434" width="12.6640625" style="468" bestFit="1" customWidth="1"/>
    <col min="7435" max="7680" width="10.6640625" style="468"/>
    <col min="7681" max="7681" width="29.1640625" style="468" bestFit="1" customWidth="1"/>
    <col min="7682" max="7682" width="11.1640625" style="468" bestFit="1" customWidth="1"/>
    <col min="7683" max="7684" width="12.6640625" style="468" bestFit="1" customWidth="1"/>
    <col min="7685" max="7685" width="11.33203125" style="468" customWidth="1"/>
    <col min="7686" max="7687" width="11.1640625" style="468" bestFit="1" customWidth="1"/>
    <col min="7688" max="7688" width="11" style="468" customWidth="1"/>
    <col min="7689" max="7689" width="10.1640625" style="468" bestFit="1" customWidth="1"/>
    <col min="7690" max="7690" width="12.6640625" style="468" bestFit="1" customWidth="1"/>
    <col min="7691" max="7936" width="10.6640625" style="468"/>
    <col min="7937" max="7937" width="29.1640625" style="468" bestFit="1" customWidth="1"/>
    <col min="7938" max="7938" width="11.1640625" style="468" bestFit="1" customWidth="1"/>
    <col min="7939" max="7940" width="12.6640625" style="468" bestFit="1" customWidth="1"/>
    <col min="7941" max="7941" width="11.33203125" style="468" customWidth="1"/>
    <col min="7942" max="7943" width="11.1640625" style="468" bestFit="1" customWidth="1"/>
    <col min="7944" max="7944" width="11" style="468" customWidth="1"/>
    <col min="7945" max="7945" width="10.1640625" style="468" bestFit="1" customWidth="1"/>
    <col min="7946" max="7946" width="12.6640625" style="468" bestFit="1" customWidth="1"/>
    <col min="7947" max="8192" width="10.6640625" style="468"/>
    <col min="8193" max="8193" width="29.1640625" style="468" bestFit="1" customWidth="1"/>
    <col min="8194" max="8194" width="11.1640625" style="468" bestFit="1" customWidth="1"/>
    <col min="8195" max="8196" width="12.6640625" style="468" bestFit="1" customWidth="1"/>
    <col min="8197" max="8197" width="11.33203125" style="468" customWidth="1"/>
    <col min="8198" max="8199" width="11.1640625" style="468" bestFit="1" customWidth="1"/>
    <col min="8200" max="8200" width="11" style="468" customWidth="1"/>
    <col min="8201" max="8201" width="10.1640625" style="468" bestFit="1" customWidth="1"/>
    <col min="8202" max="8202" width="12.6640625" style="468" bestFit="1" customWidth="1"/>
    <col min="8203" max="8448" width="10.6640625" style="468"/>
    <col min="8449" max="8449" width="29.1640625" style="468" bestFit="1" customWidth="1"/>
    <col min="8450" max="8450" width="11.1640625" style="468" bestFit="1" customWidth="1"/>
    <col min="8451" max="8452" width="12.6640625" style="468" bestFit="1" customWidth="1"/>
    <col min="8453" max="8453" width="11.33203125" style="468" customWidth="1"/>
    <col min="8454" max="8455" width="11.1640625" style="468" bestFit="1" customWidth="1"/>
    <col min="8456" max="8456" width="11" style="468" customWidth="1"/>
    <col min="8457" max="8457" width="10.1640625" style="468" bestFit="1" customWidth="1"/>
    <col min="8458" max="8458" width="12.6640625" style="468" bestFit="1" customWidth="1"/>
    <col min="8459" max="8704" width="10.6640625" style="468"/>
    <col min="8705" max="8705" width="29.1640625" style="468" bestFit="1" customWidth="1"/>
    <col min="8706" max="8706" width="11.1640625" style="468" bestFit="1" customWidth="1"/>
    <col min="8707" max="8708" width="12.6640625" style="468" bestFit="1" customWidth="1"/>
    <col min="8709" max="8709" width="11.33203125" style="468" customWidth="1"/>
    <col min="8710" max="8711" width="11.1640625" style="468" bestFit="1" customWidth="1"/>
    <col min="8712" max="8712" width="11" style="468" customWidth="1"/>
    <col min="8713" max="8713" width="10.1640625" style="468" bestFit="1" customWidth="1"/>
    <col min="8714" max="8714" width="12.6640625" style="468" bestFit="1" customWidth="1"/>
    <col min="8715" max="8960" width="10.6640625" style="468"/>
    <col min="8961" max="8961" width="29.1640625" style="468" bestFit="1" customWidth="1"/>
    <col min="8962" max="8962" width="11.1640625" style="468" bestFit="1" customWidth="1"/>
    <col min="8963" max="8964" width="12.6640625" style="468" bestFit="1" customWidth="1"/>
    <col min="8965" max="8965" width="11.33203125" style="468" customWidth="1"/>
    <col min="8966" max="8967" width="11.1640625" style="468" bestFit="1" customWidth="1"/>
    <col min="8968" max="8968" width="11" style="468" customWidth="1"/>
    <col min="8969" max="8969" width="10.1640625" style="468" bestFit="1" customWidth="1"/>
    <col min="8970" max="8970" width="12.6640625" style="468" bestFit="1" customWidth="1"/>
    <col min="8971" max="9216" width="10.6640625" style="468"/>
    <col min="9217" max="9217" width="29.1640625" style="468" bestFit="1" customWidth="1"/>
    <col min="9218" max="9218" width="11.1640625" style="468" bestFit="1" customWidth="1"/>
    <col min="9219" max="9220" width="12.6640625" style="468" bestFit="1" customWidth="1"/>
    <col min="9221" max="9221" width="11.33203125" style="468" customWidth="1"/>
    <col min="9222" max="9223" width="11.1640625" style="468" bestFit="1" customWidth="1"/>
    <col min="9224" max="9224" width="11" style="468" customWidth="1"/>
    <col min="9225" max="9225" width="10.1640625" style="468" bestFit="1" customWidth="1"/>
    <col min="9226" max="9226" width="12.6640625" style="468" bestFit="1" customWidth="1"/>
    <col min="9227" max="9472" width="10.6640625" style="468"/>
    <col min="9473" max="9473" width="29.1640625" style="468" bestFit="1" customWidth="1"/>
    <col min="9474" max="9474" width="11.1640625" style="468" bestFit="1" customWidth="1"/>
    <col min="9475" max="9476" width="12.6640625" style="468" bestFit="1" customWidth="1"/>
    <col min="9477" max="9477" width="11.33203125" style="468" customWidth="1"/>
    <col min="9478" max="9479" width="11.1640625" style="468" bestFit="1" customWidth="1"/>
    <col min="9480" max="9480" width="11" style="468" customWidth="1"/>
    <col min="9481" max="9481" width="10.1640625" style="468" bestFit="1" customWidth="1"/>
    <col min="9482" max="9482" width="12.6640625" style="468" bestFit="1" customWidth="1"/>
    <col min="9483" max="9728" width="10.6640625" style="468"/>
    <col min="9729" max="9729" width="29.1640625" style="468" bestFit="1" customWidth="1"/>
    <col min="9730" max="9730" width="11.1640625" style="468" bestFit="1" customWidth="1"/>
    <col min="9731" max="9732" width="12.6640625" style="468" bestFit="1" customWidth="1"/>
    <col min="9733" max="9733" width="11.33203125" style="468" customWidth="1"/>
    <col min="9734" max="9735" width="11.1640625" style="468" bestFit="1" customWidth="1"/>
    <col min="9736" max="9736" width="11" style="468" customWidth="1"/>
    <col min="9737" max="9737" width="10.1640625" style="468" bestFit="1" customWidth="1"/>
    <col min="9738" max="9738" width="12.6640625" style="468" bestFit="1" customWidth="1"/>
    <col min="9739" max="9984" width="10.6640625" style="468"/>
    <col min="9985" max="9985" width="29.1640625" style="468" bestFit="1" customWidth="1"/>
    <col min="9986" max="9986" width="11.1640625" style="468" bestFit="1" customWidth="1"/>
    <col min="9987" max="9988" width="12.6640625" style="468" bestFit="1" customWidth="1"/>
    <col min="9989" max="9989" width="11.33203125" style="468" customWidth="1"/>
    <col min="9990" max="9991" width="11.1640625" style="468" bestFit="1" customWidth="1"/>
    <col min="9992" max="9992" width="11" style="468" customWidth="1"/>
    <col min="9993" max="9993" width="10.1640625" style="468" bestFit="1" customWidth="1"/>
    <col min="9994" max="9994" width="12.6640625" style="468" bestFit="1" customWidth="1"/>
    <col min="9995" max="10240" width="10.6640625" style="468"/>
    <col min="10241" max="10241" width="29.1640625" style="468" bestFit="1" customWidth="1"/>
    <col min="10242" max="10242" width="11.1640625" style="468" bestFit="1" customWidth="1"/>
    <col min="10243" max="10244" width="12.6640625" style="468" bestFit="1" customWidth="1"/>
    <col min="10245" max="10245" width="11.33203125" style="468" customWidth="1"/>
    <col min="10246" max="10247" width="11.1640625" style="468" bestFit="1" customWidth="1"/>
    <col min="10248" max="10248" width="11" style="468" customWidth="1"/>
    <col min="10249" max="10249" width="10.1640625" style="468" bestFit="1" customWidth="1"/>
    <col min="10250" max="10250" width="12.6640625" style="468" bestFit="1" customWidth="1"/>
    <col min="10251" max="10496" width="10.6640625" style="468"/>
    <col min="10497" max="10497" width="29.1640625" style="468" bestFit="1" customWidth="1"/>
    <col min="10498" max="10498" width="11.1640625" style="468" bestFit="1" customWidth="1"/>
    <col min="10499" max="10500" width="12.6640625" style="468" bestFit="1" customWidth="1"/>
    <col min="10501" max="10501" width="11.33203125" style="468" customWidth="1"/>
    <col min="10502" max="10503" width="11.1640625" style="468" bestFit="1" customWidth="1"/>
    <col min="10504" max="10504" width="11" style="468" customWidth="1"/>
    <col min="10505" max="10505" width="10.1640625" style="468" bestFit="1" customWidth="1"/>
    <col min="10506" max="10506" width="12.6640625" style="468" bestFit="1" customWidth="1"/>
    <col min="10507" max="10752" width="10.6640625" style="468"/>
    <col min="10753" max="10753" width="29.1640625" style="468" bestFit="1" customWidth="1"/>
    <col min="10754" max="10754" width="11.1640625" style="468" bestFit="1" customWidth="1"/>
    <col min="10755" max="10756" width="12.6640625" style="468" bestFit="1" customWidth="1"/>
    <col min="10757" max="10757" width="11.33203125" style="468" customWidth="1"/>
    <col min="10758" max="10759" width="11.1640625" style="468" bestFit="1" customWidth="1"/>
    <col min="10760" max="10760" width="11" style="468" customWidth="1"/>
    <col min="10761" max="10761" width="10.1640625" style="468" bestFit="1" customWidth="1"/>
    <col min="10762" max="10762" width="12.6640625" style="468" bestFit="1" customWidth="1"/>
    <col min="10763" max="11008" width="10.6640625" style="468"/>
    <col min="11009" max="11009" width="29.1640625" style="468" bestFit="1" customWidth="1"/>
    <col min="11010" max="11010" width="11.1640625" style="468" bestFit="1" customWidth="1"/>
    <col min="11011" max="11012" width="12.6640625" style="468" bestFit="1" customWidth="1"/>
    <col min="11013" max="11013" width="11.33203125" style="468" customWidth="1"/>
    <col min="11014" max="11015" width="11.1640625" style="468" bestFit="1" customWidth="1"/>
    <col min="11016" max="11016" width="11" style="468" customWidth="1"/>
    <col min="11017" max="11017" width="10.1640625" style="468" bestFit="1" customWidth="1"/>
    <col min="11018" max="11018" width="12.6640625" style="468" bestFit="1" customWidth="1"/>
    <col min="11019" max="11264" width="10.6640625" style="468"/>
    <col min="11265" max="11265" width="29.1640625" style="468" bestFit="1" customWidth="1"/>
    <col min="11266" max="11266" width="11.1640625" style="468" bestFit="1" customWidth="1"/>
    <col min="11267" max="11268" width="12.6640625" style="468" bestFit="1" customWidth="1"/>
    <col min="11269" max="11269" width="11.33203125" style="468" customWidth="1"/>
    <col min="11270" max="11271" width="11.1640625" style="468" bestFit="1" customWidth="1"/>
    <col min="11272" max="11272" width="11" style="468" customWidth="1"/>
    <col min="11273" max="11273" width="10.1640625" style="468" bestFit="1" customWidth="1"/>
    <col min="11274" max="11274" width="12.6640625" style="468" bestFit="1" customWidth="1"/>
    <col min="11275" max="11520" width="10.6640625" style="468"/>
    <col min="11521" max="11521" width="29.1640625" style="468" bestFit="1" customWidth="1"/>
    <col min="11522" max="11522" width="11.1640625" style="468" bestFit="1" customWidth="1"/>
    <col min="11523" max="11524" width="12.6640625" style="468" bestFit="1" customWidth="1"/>
    <col min="11525" max="11525" width="11.33203125" style="468" customWidth="1"/>
    <col min="11526" max="11527" width="11.1640625" style="468" bestFit="1" customWidth="1"/>
    <col min="11528" max="11528" width="11" style="468" customWidth="1"/>
    <col min="11529" max="11529" width="10.1640625" style="468" bestFit="1" customWidth="1"/>
    <col min="11530" max="11530" width="12.6640625" style="468" bestFit="1" customWidth="1"/>
    <col min="11531" max="11776" width="10.6640625" style="468"/>
    <col min="11777" max="11777" width="29.1640625" style="468" bestFit="1" customWidth="1"/>
    <col min="11778" max="11778" width="11.1640625" style="468" bestFit="1" customWidth="1"/>
    <col min="11779" max="11780" width="12.6640625" style="468" bestFit="1" customWidth="1"/>
    <col min="11781" max="11781" width="11.33203125" style="468" customWidth="1"/>
    <col min="11782" max="11783" width="11.1640625" style="468" bestFit="1" customWidth="1"/>
    <col min="11784" max="11784" width="11" style="468" customWidth="1"/>
    <col min="11785" max="11785" width="10.1640625" style="468" bestFit="1" customWidth="1"/>
    <col min="11786" max="11786" width="12.6640625" style="468" bestFit="1" customWidth="1"/>
    <col min="11787" max="12032" width="10.6640625" style="468"/>
    <col min="12033" max="12033" width="29.1640625" style="468" bestFit="1" customWidth="1"/>
    <col min="12034" max="12034" width="11.1640625" style="468" bestFit="1" customWidth="1"/>
    <col min="12035" max="12036" width="12.6640625" style="468" bestFit="1" customWidth="1"/>
    <col min="12037" max="12037" width="11.33203125" style="468" customWidth="1"/>
    <col min="12038" max="12039" width="11.1640625" style="468" bestFit="1" customWidth="1"/>
    <col min="12040" max="12040" width="11" style="468" customWidth="1"/>
    <col min="12041" max="12041" width="10.1640625" style="468" bestFit="1" customWidth="1"/>
    <col min="12042" max="12042" width="12.6640625" style="468" bestFit="1" customWidth="1"/>
    <col min="12043" max="12288" width="10.6640625" style="468"/>
    <col min="12289" max="12289" width="29.1640625" style="468" bestFit="1" customWidth="1"/>
    <col min="12290" max="12290" width="11.1640625" style="468" bestFit="1" customWidth="1"/>
    <col min="12291" max="12292" width="12.6640625" style="468" bestFit="1" customWidth="1"/>
    <col min="12293" max="12293" width="11.33203125" style="468" customWidth="1"/>
    <col min="12294" max="12295" width="11.1640625" style="468" bestFit="1" customWidth="1"/>
    <col min="12296" max="12296" width="11" style="468" customWidth="1"/>
    <col min="12297" max="12297" width="10.1640625" style="468" bestFit="1" customWidth="1"/>
    <col min="12298" max="12298" width="12.6640625" style="468" bestFit="1" customWidth="1"/>
    <col min="12299" max="12544" width="10.6640625" style="468"/>
    <col min="12545" max="12545" width="29.1640625" style="468" bestFit="1" customWidth="1"/>
    <col min="12546" max="12546" width="11.1640625" style="468" bestFit="1" customWidth="1"/>
    <col min="12547" max="12548" width="12.6640625" style="468" bestFit="1" customWidth="1"/>
    <col min="12549" max="12549" width="11.33203125" style="468" customWidth="1"/>
    <col min="12550" max="12551" width="11.1640625" style="468" bestFit="1" customWidth="1"/>
    <col min="12552" max="12552" width="11" style="468" customWidth="1"/>
    <col min="12553" max="12553" width="10.1640625" style="468" bestFit="1" customWidth="1"/>
    <col min="12554" max="12554" width="12.6640625" style="468" bestFit="1" customWidth="1"/>
    <col min="12555" max="12800" width="10.6640625" style="468"/>
    <col min="12801" max="12801" width="29.1640625" style="468" bestFit="1" customWidth="1"/>
    <col min="12802" max="12802" width="11.1640625" style="468" bestFit="1" customWidth="1"/>
    <col min="12803" max="12804" width="12.6640625" style="468" bestFit="1" customWidth="1"/>
    <col min="12805" max="12805" width="11.33203125" style="468" customWidth="1"/>
    <col min="12806" max="12807" width="11.1640625" style="468" bestFit="1" customWidth="1"/>
    <col min="12808" max="12808" width="11" style="468" customWidth="1"/>
    <col min="12809" max="12809" width="10.1640625" style="468" bestFit="1" customWidth="1"/>
    <col min="12810" max="12810" width="12.6640625" style="468" bestFit="1" customWidth="1"/>
    <col min="12811" max="13056" width="10.6640625" style="468"/>
    <col min="13057" max="13057" width="29.1640625" style="468" bestFit="1" customWidth="1"/>
    <col min="13058" max="13058" width="11.1640625" style="468" bestFit="1" customWidth="1"/>
    <col min="13059" max="13060" width="12.6640625" style="468" bestFit="1" customWidth="1"/>
    <col min="13061" max="13061" width="11.33203125" style="468" customWidth="1"/>
    <col min="13062" max="13063" width="11.1640625" style="468" bestFit="1" customWidth="1"/>
    <col min="13064" max="13064" width="11" style="468" customWidth="1"/>
    <col min="13065" max="13065" width="10.1640625" style="468" bestFit="1" customWidth="1"/>
    <col min="13066" max="13066" width="12.6640625" style="468" bestFit="1" customWidth="1"/>
    <col min="13067" max="13312" width="10.6640625" style="468"/>
    <col min="13313" max="13313" width="29.1640625" style="468" bestFit="1" customWidth="1"/>
    <col min="13314" max="13314" width="11.1640625" style="468" bestFit="1" customWidth="1"/>
    <col min="13315" max="13316" width="12.6640625" style="468" bestFit="1" customWidth="1"/>
    <col min="13317" max="13317" width="11.33203125" style="468" customWidth="1"/>
    <col min="13318" max="13319" width="11.1640625" style="468" bestFit="1" customWidth="1"/>
    <col min="13320" max="13320" width="11" style="468" customWidth="1"/>
    <col min="13321" max="13321" width="10.1640625" style="468" bestFit="1" customWidth="1"/>
    <col min="13322" max="13322" width="12.6640625" style="468" bestFit="1" customWidth="1"/>
    <col min="13323" max="13568" width="10.6640625" style="468"/>
    <col min="13569" max="13569" width="29.1640625" style="468" bestFit="1" customWidth="1"/>
    <col min="13570" max="13570" width="11.1640625" style="468" bestFit="1" customWidth="1"/>
    <col min="13571" max="13572" width="12.6640625" style="468" bestFit="1" customWidth="1"/>
    <col min="13573" max="13573" width="11.33203125" style="468" customWidth="1"/>
    <col min="13574" max="13575" width="11.1640625" style="468" bestFit="1" customWidth="1"/>
    <col min="13576" max="13576" width="11" style="468" customWidth="1"/>
    <col min="13577" max="13577" width="10.1640625" style="468" bestFit="1" customWidth="1"/>
    <col min="13578" max="13578" width="12.6640625" style="468" bestFit="1" customWidth="1"/>
    <col min="13579" max="13824" width="10.6640625" style="468"/>
    <col min="13825" max="13825" width="29.1640625" style="468" bestFit="1" customWidth="1"/>
    <col min="13826" max="13826" width="11.1640625" style="468" bestFit="1" customWidth="1"/>
    <col min="13827" max="13828" width="12.6640625" style="468" bestFit="1" customWidth="1"/>
    <col min="13829" max="13829" width="11.33203125" style="468" customWidth="1"/>
    <col min="13830" max="13831" width="11.1640625" style="468" bestFit="1" customWidth="1"/>
    <col min="13832" max="13832" width="11" style="468" customWidth="1"/>
    <col min="13833" max="13833" width="10.1640625" style="468" bestFit="1" customWidth="1"/>
    <col min="13834" max="13834" width="12.6640625" style="468" bestFit="1" customWidth="1"/>
    <col min="13835" max="14080" width="10.6640625" style="468"/>
    <col min="14081" max="14081" width="29.1640625" style="468" bestFit="1" customWidth="1"/>
    <col min="14082" max="14082" width="11.1640625" style="468" bestFit="1" customWidth="1"/>
    <col min="14083" max="14084" width="12.6640625" style="468" bestFit="1" customWidth="1"/>
    <col min="14085" max="14085" width="11.33203125" style="468" customWidth="1"/>
    <col min="14086" max="14087" width="11.1640625" style="468" bestFit="1" customWidth="1"/>
    <col min="14088" max="14088" width="11" style="468" customWidth="1"/>
    <col min="14089" max="14089" width="10.1640625" style="468" bestFit="1" customWidth="1"/>
    <col min="14090" max="14090" width="12.6640625" style="468" bestFit="1" customWidth="1"/>
    <col min="14091" max="14336" width="10.6640625" style="468"/>
    <col min="14337" max="14337" width="29.1640625" style="468" bestFit="1" customWidth="1"/>
    <col min="14338" max="14338" width="11.1640625" style="468" bestFit="1" customWidth="1"/>
    <col min="14339" max="14340" width="12.6640625" style="468" bestFit="1" customWidth="1"/>
    <col min="14341" max="14341" width="11.33203125" style="468" customWidth="1"/>
    <col min="14342" max="14343" width="11.1640625" style="468" bestFit="1" customWidth="1"/>
    <col min="14344" max="14344" width="11" style="468" customWidth="1"/>
    <col min="14345" max="14345" width="10.1640625" style="468" bestFit="1" customWidth="1"/>
    <col min="14346" max="14346" width="12.6640625" style="468" bestFit="1" customWidth="1"/>
    <col min="14347" max="14592" width="10.6640625" style="468"/>
    <col min="14593" max="14593" width="29.1640625" style="468" bestFit="1" customWidth="1"/>
    <col min="14594" max="14594" width="11.1640625" style="468" bestFit="1" customWidth="1"/>
    <col min="14595" max="14596" width="12.6640625" style="468" bestFit="1" customWidth="1"/>
    <col min="14597" max="14597" width="11.33203125" style="468" customWidth="1"/>
    <col min="14598" max="14599" width="11.1640625" style="468" bestFit="1" customWidth="1"/>
    <col min="14600" max="14600" width="11" style="468" customWidth="1"/>
    <col min="14601" max="14601" width="10.1640625" style="468" bestFit="1" customWidth="1"/>
    <col min="14602" max="14602" width="12.6640625" style="468" bestFit="1" customWidth="1"/>
    <col min="14603" max="14848" width="10.6640625" style="468"/>
    <col min="14849" max="14849" width="29.1640625" style="468" bestFit="1" customWidth="1"/>
    <col min="14850" max="14850" width="11.1640625" style="468" bestFit="1" customWidth="1"/>
    <col min="14851" max="14852" width="12.6640625" style="468" bestFit="1" customWidth="1"/>
    <col min="14853" max="14853" width="11.33203125" style="468" customWidth="1"/>
    <col min="14854" max="14855" width="11.1640625" style="468" bestFit="1" customWidth="1"/>
    <col min="14856" max="14856" width="11" style="468" customWidth="1"/>
    <col min="14857" max="14857" width="10.1640625" style="468" bestFit="1" customWidth="1"/>
    <col min="14858" max="14858" width="12.6640625" style="468" bestFit="1" customWidth="1"/>
    <col min="14859" max="15104" width="10.6640625" style="468"/>
    <col min="15105" max="15105" width="29.1640625" style="468" bestFit="1" customWidth="1"/>
    <col min="15106" max="15106" width="11.1640625" style="468" bestFit="1" customWidth="1"/>
    <col min="15107" max="15108" width="12.6640625" style="468" bestFit="1" customWidth="1"/>
    <col min="15109" max="15109" width="11.33203125" style="468" customWidth="1"/>
    <col min="15110" max="15111" width="11.1640625" style="468" bestFit="1" customWidth="1"/>
    <col min="15112" max="15112" width="11" style="468" customWidth="1"/>
    <col min="15113" max="15113" width="10.1640625" style="468" bestFit="1" customWidth="1"/>
    <col min="15114" max="15114" width="12.6640625" style="468" bestFit="1" customWidth="1"/>
    <col min="15115" max="15360" width="10.6640625" style="468"/>
    <col min="15361" max="15361" width="29.1640625" style="468" bestFit="1" customWidth="1"/>
    <col min="15362" max="15362" width="11.1640625" style="468" bestFit="1" customWidth="1"/>
    <col min="15363" max="15364" width="12.6640625" style="468" bestFit="1" customWidth="1"/>
    <col min="15365" max="15365" width="11.33203125" style="468" customWidth="1"/>
    <col min="15366" max="15367" width="11.1640625" style="468" bestFit="1" customWidth="1"/>
    <col min="15368" max="15368" width="11" style="468" customWidth="1"/>
    <col min="15369" max="15369" width="10.1640625" style="468" bestFit="1" customWidth="1"/>
    <col min="15370" max="15370" width="12.6640625" style="468" bestFit="1" customWidth="1"/>
    <col min="15371" max="15616" width="10.6640625" style="468"/>
    <col min="15617" max="15617" width="29.1640625" style="468" bestFit="1" customWidth="1"/>
    <col min="15618" max="15618" width="11.1640625" style="468" bestFit="1" customWidth="1"/>
    <col min="15619" max="15620" width="12.6640625" style="468" bestFit="1" customWidth="1"/>
    <col min="15621" max="15621" width="11.33203125" style="468" customWidth="1"/>
    <col min="15622" max="15623" width="11.1640625" style="468" bestFit="1" customWidth="1"/>
    <col min="15624" max="15624" width="11" style="468" customWidth="1"/>
    <col min="15625" max="15625" width="10.1640625" style="468" bestFit="1" customWidth="1"/>
    <col min="15626" max="15626" width="12.6640625" style="468" bestFit="1" customWidth="1"/>
    <col min="15627" max="15872" width="10.6640625" style="468"/>
    <col min="15873" max="15873" width="29.1640625" style="468" bestFit="1" customWidth="1"/>
    <col min="15874" max="15874" width="11.1640625" style="468" bestFit="1" customWidth="1"/>
    <col min="15875" max="15876" width="12.6640625" style="468" bestFit="1" customWidth="1"/>
    <col min="15877" max="15877" width="11.33203125" style="468" customWidth="1"/>
    <col min="15878" max="15879" width="11.1640625" style="468" bestFit="1" customWidth="1"/>
    <col min="15880" max="15880" width="11" style="468" customWidth="1"/>
    <col min="15881" max="15881" width="10.1640625" style="468" bestFit="1" customWidth="1"/>
    <col min="15882" max="15882" width="12.6640625" style="468" bestFit="1" customWidth="1"/>
    <col min="15883" max="16128" width="10.6640625" style="468"/>
    <col min="16129" max="16129" width="29.1640625" style="468" bestFit="1" customWidth="1"/>
    <col min="16130" max="16130" width="11.1640625" style="468" bestFit="1" customWidth="1"/>
    <col min="16131" max="16132" width="12.6640625" style="468" bestFit="1" customWidth="1"/>
    <col min="16133" max="16133" width="11.33203125" style="468" customWidth="1"/>
    <col min="16134" max="16135" width="11.1640625" style="468" bestFit="1" customWidth="1"/>
    <col min="16136" max="16136" width="11" style="468" customWidth="1"/>
    <col min="16137" max="16137" width="10.1640625" style="468" bestFit="1" customWidth="1"/>
    <col min="16138" max="16138" width="12.6640625" style="468" bestFit="1" customWidth="1"/>
    <col min="16139" max="16384" width="10.6640625" style="468"/>
  </cols>
  <sheetData>
    <row r="1" spans="1:11" x14ac:dyDescent="0.2">
      <c r="A1" s="467"/>
      <c r="B1" s="467"/>
      <c r="C1" s="467"/>
      <c r="D1" s="467"/>
      <c r="E1" s="467"/>
      <c r="F1" s="467"/>
      <c r="H1" s="469"/>
      <c r="I1" s="469"/>
      <c r="J1" s="470"/>
    </row>
    <row r="2" spans="1:11" x14ac:dyDescent="0.2">
      <c r="A2" s="467"/>
      <c r="B2" s="467"/>
      <c r="C2" s="467"/>
      <c r="D2" s="467"/>
      <c r="E2" s="467"/>
      <c r="F2" s="467"/>
      <c r="G2" s="471"/>
      <c r="H2" s="471"/>
      <c r="I2" s="471"/>
      <c r="J2" s="472"/>
    </row>
    <row r="3" spans="1:11" x14ac:dyDescent="0.2">
      <c r="A3" s="467"/>
      <c r="B3" s="467"/>
      <c r="C3" s="467"/>
      <c r="D3" s="467"/>
      <c r="E3" s="467"/>
      <c r="F3" s="467"/>
      <c r="G3" s="471"/>
      <c r="H3" s="471"/>
      <c r="I3" s="471"/>
      <c r="J3" s="471"/>
    </row>
    <row r="4" spans="1:11" ht="19.5" x14ac:dyDescent="0.35">
      <c r="A4" s="473" t="s">
        <v>430</v>
      </c>
      <c r="B4" s="473"/>
      <c r="C4" s="473"/>
      <c r="D4" s="473"/>
      <c r="E4" s="473"/>
      <c r="F4" s="473"/>
      <c r="G4" s="473"/>
      <c r="H4" s="473"/>
      <c r="I4" s="473"/>
      <c r="J4" s="473"/>
    </row>
    <row r="5" spans="1:11" ht="19.5" x14ac:dyDescent="0.35">
      <c r="A5" s="473" t="s">
        <v>666</v>
      </c>
      <c r="B5" s="473"/>
      <c r="C5" s="473"/>
      <c r="D5" s="473"/>
      <c r="E5" s="473"/>
      <c r="F5" s="473"/>
      <c r="G5" s="473"/>
      <c r="H5" s="473"/>
      <c r="I5" s="473"/>
      <c r="J5" s="473"/>
    </row>
    <row r="6" spans="1:11" ht="13.5" thickBot="1" x14ac:dyDescent="0.25">
      <c r="A6" s="467"/>
      <c r="B6" s="467"/>
      <c r="C6" s="467"/>
      <c r="D6" s="467"/>
      <c r="E6" s="467"/>
      <c r="F6" s="467"/>
      <c r="G6" s="467"/>
      <c r="H6" s="467"/>
      <c r="I6" s="467"/>
      <c r="J6" s="474" t="s">
        <v>21</v>
      </c>
    </row>
    <row r="7" spans="1:11" ht="15.95" customHeight="1" x14ac:dyDescent="0.2">
      <c r="A7" s="996" t="s">
        <v>9</v>
      </c>
      <c r="B7" s="999" t="s">
        <v>431</v>
      </c>
      <c r="C7" s="1000"/>
      <c r="D7" s="1000"/>
      <c r="E7" s="999" t="s">
        <v>432</v>
      </c>
      <c r="F7" s="1000"/>
      <c r="G7" s="1000"/>
      <c r="H7" s="1000"/>
      <c r="I7" s="1000"/>
      <c r="J7" s="1001"/>
    </row>
    <row r="8" spans="1:11" ht="15.95" customHeight="1" x14ac:dyDescent="0.2">
      <c r="A8" s="997"/>
      <c r="B8" s="475" t="s">
        <v>433</v>
      </c>
      <c r="C8" s="475" t="s">
        <v>434</v>
      </c>
      <c r="D8" s="475" t="s">
        <v>435</v>
      </c>
      <c r="E8" s="475" t="s">
        <v>436</v>
      </c>
      <c r="F8" s="475" t="s">
        <v>437</v>
      </c>
      <c r="G8" s="475" t="s">
        <v>438</v>
      </c>
      <c r="H8" s="475" t="s">
        <v>439</v>
      </c>
      <c r="I8" s="475" t="s">
        <v>440</v>
      </c>
      <c r="J8" s="476" t="s">
        <v>435</v>
      </c>
    </row>
    <row r="9" spans="1:11" ht="15.95" customHeight="1" x14ac:dyDescent="0.2">
      <c r="A9" s="998"/>
      <c r="B9" s="475" t="s">
        <v>441</v>
      </c>
      <c r="C9" s="475" t="s">
        <v>442</v>
      </c>
      <c r="D9" s="475" t="s">
        <v>443</v>
      </c>
      <c r="E9" s="475" t="s">
        <v>444</v>
      </c>
      <c r="F9" s="475" t="s">
        <v>445</v>
      </c>
      <c r="G9" s="475" t="s">
        <v>446</v>
      </c>
      <c r="H9" s="475" t="s">
        <v>447</v>
      </c>
      <c r="I9" s="475" t="s">
        <v>446</v>
      </c>
      <c r="J9" s="476" t="s">
        <v>448</v>
      </c>
    </row>
    <row r="10" spans="1:11" ht="15.95" customHeight="1" x14ac:dyDescent="0.2">
      <c r="A10" s="477" t="s">
        <v>449</v>
      </c>
      <c r="B10" s="791">
        <f>163050202+66900+446694+3500000+200000</f>
        <v>167263796</v>
      </c>
      <c r="C10" s="895">
        <f t="shared" ref="C10:C15" si="0">J10-B10</f>
        <v>165010017</v>
      </c>
      <c r="D10" s="792">
        <f t="shared" ref="D10:D15" si="1">SUM(B10:C10)</f>
        <v>332273813</v>
      </c>
      <c r="E10" s="791">
        <f>81328328-15308800+124089+105973-2254000</f>
        <v>63995590</v>
      </c>
      <c r="F10" s="791">
        <f>20074352-3360936+69499-495880</f>
        <v>16287035</v>
      </c>
      <c r="G10" s="895">
        <f>262391117-15811124-124245-133428+381000+200000+270367-254000+1028360+1784210</f>
        <v>249732257</v>
      </c>
      <c r="H10" s="791"/>
      <c r="I10" s="895">
        <f>1641691-265000+66900-60160+133000+254000+488500</f>
        <v>2258931</v>
      </c>
      <c r="J10" s="793">
        <f t="shared" ref="J10:J15" si="2">SUM(E10:I10)</f>
        <v>332273813</v>
      </c>
      <c r="K10" s="478"/>
    </row>
    <row r="11" spans="1:11" ht="15.95" customHeight="1" x14ac:dyDescent="0.2">
      <c r="A11" s="477" t="s">
        <v>6</v>
      </c>
      <c r="B11" s="791">
        <f>12252423+80000+889000</f>
        <v>13221423</v>
      </c>
      <c r="C11" s="895">
        <f>J11-B11</f>
        <v>281647543</v>
      </c>
      <c r="D11" s="792">
        <f t="shared" si="1"/>
        <v>294868966</v>
      </c>
      <c r="E11" s="895">
        <f>175711001+155200+948237+1333848+320000+444000-80000+80000+236000</f>
        <v>179148286</v>
      </c>
      <c r="F11" s="895">
        <f>41990053+34144+208612+293447+70400+87912+187768</f>
        <v>42872336</v>
      </c>
      <c r="G11" s="895">
        <f>68610269+651000+30000+190500+889000+80000-527000</f>
        <v>69923769</v>
      </c>
      <c r="H11" s="791"/>
      <c r="I11" s="895">
        <f>1280075+578000+157000+600000+200000+95000+14500</f>
        <v>2924575</v>
      </c>
      <c r="J11" s="793">
        <f t="shared" si="2"/>
        <v>294868966</v>
      </c>
    </row>
    <row r="12" spans="1:11" ht="15.95" customHeight="1" x14ac:dyDescent="0.2">
      <c r="A12" s="477" t="s">
        <v>704</v>
      </c>
      <c r="B12" s="791">
        <f>15823576+1095000+123157-1740000+140433</f>
        <v>15442166</v>
      </c>
      <c r="C12" s="895">
        <f t="shared" si="0"/>
        <v>85724198</v>
      </c>
      <c r="D12" s="792">
        <f t="shared" si="1"/>
        <v>101166364</v>
      </c>
      <c r="E12" s="791">
        <f>41685275-382364-1302308+140000+900040+142726+42775+101222-18339+100000</f>
        <v>41409027</v>
      </c>
      <c r="F12" s="791">
        <f>9624930-84120-286508+51864+177100+24990+43660</f>
        <v>9551916</v>
      </c>
      <c r="G12" s="895">
        <f>41615701+281940+80000-191864+276738+793136-95650+1035000+7339+1905000+237204-27000-100000-53340</f>
        <v>45764204</v>
      </c>
      <c r="H12" s="791"/>
      <c r="I12" s="895">
        <f>2645654+151042+60000+1238248+11000+167433+100000+14500+53340</f>
        <v>4441217</v>
      </c>
      <c r="J12" s="793">
        <f t="shared" si="2"/>
        <v>101166364</v>
      </c>
    </row>
    <row r="13" spans="1:11" s="478" customFormat="1" ht="18" customHeight="1" x14ac:dyDescent="0.2">
      <c r="A13" s="396" t="s">
        <v>655</v>
      </c>
      <c r="B13" s="896">
        <f>203175038+250000+374405+8110044+1200000-2699368+18932847+416514+311150+1946520</f>
        <v>232017150</v>
      </c>
      <c r="C13" s="895">
        <f t="shared" si="0"/>
        <v>458708920</v>
      </c>
      <c r="D13" s="792">
        <f t="shared" si="1"/>
        <v>690726070</v>
      </c>
      <c r="E13" s="827">
        <f>319870685+41704739+3188310+416250+3193542+6730000-1000000</f>
        <v>374103526</v>
      </c>
      <c r="F13" s="827">
        <f>73973204+8976967+693000-41845+761502+1460052+633000+1000000</f>
        <v>87455880</v>
      </c>
      <c r="G13" s="894">
        <f>189287740+128500+1232300-29210+1320000+8620390+8729191+2454000+400000+115500+4107229+1946520</f>
        <v>218312160</v>
      </c>
      <c r="H13" s="827"/>
      <c r="I13" s="894">
        <f>3280160+973976+40000+29210+2835000+310040+127000+2430118-400000+1200000+29000</f>
        <v>10854504</v>
      </c>
      <c r="J13" s="793">
        <f t="shared" si="2"/>
        <v>690726070</v>
      </c>
    </row>
    <row r="14" spans="1:11" s="478" customFormat="1" ht="18" customHeight="1" x14ac:dyDescent="0.2">
      <c r="A14" s="396" t="s">
        <v>621</v>
      </c>
      <c r="B14" s="896">
        <f>4242527+200318-280416+200000</f>
        <v>4362429</v>
      </c>
      <c r="C14" s="895">
        <f t="shared" si="0"/>
        <v>75575037</v>
      </c>
      <c r="D14" s="792">
        <f t="shared" si="1"/>
        <v>79937466</v>
      </c>
      <c r="E14" s="894">
        <f>50497424+151021+240000+104217-100000</f>
        <v>50892662</v>
      </c>
      <c r="F14" s="894">
        <f>11320253+33224+47520+22928-22000</f>
        <v>11401925</v>
      </c>
      <c r="G14" s="894">
        <f>12658535+2558168-213614+256930+1000000+693360</f>
        <v>16953379</v>
      </c>
      <c r="H14" s="827"/>
      <c r="I14" s="894">
        <f>350000+90000+35000+14500+200000</f>
        <v>689500</v>
      </c>
      <c r="J14" s="793">
        <f t="shared" si="2"/>
        <v>79937466</v>
      </c>
    </row>
    <row r="15" spans="1:11" s="478" customFormat="1" ht="18" customHeight="1" x14ac:dyDescent="0.2">
      <c r="A15" s="396" t="s">
        <v>656</v>
      </c>
      <c r="B15" s="828">
        <f>10334792+447404</f>
        <v>10782196</v>
      </c>
      <c r="C15" s="895">
        <f t="shared" si="0"/>
        <v>221067238</v>
      </c>
      <c r="D15" s="792">
        <f t="shared" si="1"/>
        <v>231849434</v>
      </c>
      <c r="E15" s="827">
        <f>123362420+750000</f>
        <v>124112420</v>
      </c>
      <c r="F15" s="827">
        <f>29230702+149000</f>
        <v>29379702</v>
      </c>
      <c r="G15" s="894">
        <f>52037350-171000+59000+13500+209000+108500-50800-469900+762</f>
        <v>51736412</v>
      </c>
      <c r="H15" s="827">
        <v>24250000</v>
      </c>
      <c r="I15" s="827">
        <f>1901000+457200+12700</f>
        <v>2370900</v>
      </c>
      <c r="J15" s="793">
        <f t="shared" si="2"/>
        <v>231849434</v>
      </c>
    </row>
    <row r="16" spans="1:11" s="478" customFormat="1" ht="18" customHeight="1" thickBot="1" x14ac:dyDescent="0.25">
      <c r="A16" s="829" t="s">
        <v>451</v>
      </c>
      <c r="B16" s="830">
        <f t="shared" ref="B16:J16" si="3">SUM(B10:B15)</f>
        <v>443089160</v>
      </c>
      <c r="C16" s="830">
        <f t="shared" si="3"/>
        <v>1287732953</v>
      </c>
      <c r="D16" s="830">
        <f t="shared" si="3"/>
        <v>1730822113</v>
      </c>
      <c r="E16" s="830">
        <f t="shared" si="3"/>
        <v>833661511</v>
      </c>
      <c r="F16" s="830">
        <f t="shared" si="3"/>
        <v>196948794</v>
      </c>
      <c r="G16" s="830">
        <f t="shared" si="3"/>
        <v>652422181</v>
      </c>
      <c r="H16" s="830">
        <f t="shared" si="3"/>
        <v>24250000</v>
      </c>
      <c r="I16" s="830">
        <f t="shared" si="3"/>
        <v>23539627</v>
      </c>
      <c r="J16" s="831">
        <f t="shared" si="3"/>
        <v>1730822113</v>
      </c>
    </row>
    <row r="17" spans="3:10" x14ac:dyDescent="0.2">
      <c r="C17" s="479"/>
      <c r="E17" s="479"/>
      <c r="F17" s="479"/>
      <c r="G17" s="479"/>
      <c r="H17" s="479"/>
      <c r="I17" s="479"/>
      <c r="J17" s="479"/>
    </row>
    <row r="25" spans="3:10" x14ac:dyDescent="0.2">
      <c r="J25" s="480"/>
    </row>
  </sheetData>
  <mergeCells count="3">
    <mergeCell ref="A7:A9"/>
    <mergeCell ref="B7:D7"/>
    <mergeCell ref="E7:J7"/>
  </mergeCells>
  <pageMargins left="0.75" right="0.75" top="1" bottom="1" header="0.5" footer="0.5"/>
  <pageSetup paperSize="9" orientation="landscape" r:id="rId1"/>
  <headerFooter alignWithMargins="0">
    <oddHeader>&amp;R26. melléklet a 30/2017.(XI.30.)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view="pageLayout" topLeftCell="D4" zoomScaleNormal="100" workbookViewId="0">
      <selection activeCell="H4" sqref="H4"/>
    </sheetView>
  </sheetViews>
  <sheetFormatPr defaultColWidth="10.6640625" defaultRowHeight="12.75" x14ac:dyDescent="0.2"/>
  <cols>
    <col min="1" max="2" width="9.33203125" style="468" hidden="1" customWidth="1"/>
    <col min="3" max="3" width="58.1640625" style="468" hidden="1" customWidth="1"/>
    <col min="4" max="4" width="55" style="468" customWidth="1"/>
    <col min="5" max="5" width="14.33203125" style="468" customWidth="1"/>
    <col min="6" max="6" width="9.6640625" style="468" customWidth="1"/>
    <col min="7" max="7" width="10.6640625" style="468" customWidth="1"/>
    <col min="8" max="16384" width="10.6640625" style="468"/>
  </cols>
  <sheetData>
    <row r="1" spans="4:7" x14ac:dyDescent="0.2">
      <c r="D1" s="467"/>
      <c r="E1" s="470"/>
      <c r="F1" s="467"/>
      <c r="G1" s="467"/>
    </row>
    <row r="2" spans="4:7" x14ac:dyDescent="0.2">
      <c r="D2" s="467"/>
      <c r="E2" s="1002"/>
      <c r="F2" s="1002"/>
      <c r="G2" s="467"/>
    </row>
    <row r="3" spans="4:7" x14ac:dyDescent="0.2">
      <c r="D3" s="467"/>
      <c r="E3" s="467"/>
      <c r="F3" s="467"/>
      <c r="G3" s="467"/>
    </row>
    <row r="4" spans="4:7" ht="19.5" x14ac:dyDescent="0.35">
      <c r="D4" s="481" t="s">
        <v>420</v>
      </c>
      <c r="E4" s="473"/>
      <c r="F4" s="473"/>
      <c r="G4" s="473"/>
    </row>
    <row r="5" spans="4:7" ht="19.5" x14ac:dyDescent="0.35">
      <c r="D5" s="473"/>
      <c r="E5" s="473"/>
      <c r="F5" s="473"/>
      <c r="G5" s="473"/>
    </row>
    <row r="6" spans="4:7" ht="13.5" thickBot="1" x14ac:dyDescent="0.25">
      <c r="D6" s="467"/>
      <c r="E6" s="482"/>
      <c r="F6" s="467"/>
      <c r="G6" s="467"/>
    </row>
    <row r="7" spans="4:7" ht="15.95" customHeight="1" x14ac:dyDescent="0.2">
      <c r="D7" s="483"/>
      <c r="E7" s="1003" t="s">
        <v>421</v>
      </c>
      <c r="F7" s="484"/>
      <c r="G7" s="485"/>
    </row>
    <row r="8" spans="4:7" ht="15.95" customHeight="1" x14ac:dyDescent="0.2">
      <c r="D8" s="486" t="s">
        <v>422</v>
      </c>
      <c r="E8" s="1004"/>
      <c r="F8" s="487"/>
      <c r="G8" s="487"/>
    </row>
    <row r="9" spans="4:7" ht="15.95" customHeight="1" thickBot="1" x14ac:dyDescent="0.25">
      <c r="D9" s="488" t="s">
        <v>423</v>
      </c>
      <c r="E9" s="489"/>
      <c r="F9" s="487"/>
      <c r="G9" s="487"/>
    </row>
    <row r="10" spans="4:7" s="478" customFormat="1" ht="18" customHeight="1" x14ac:dyDescent="0.2">
      <c r="D10" s="288" t="s">
        <v>424</v>
      </c>
      <c r="E10" s="794">
        <v>25</v>
      </c>
      <c r="F10" s="490"/>
      <c r="G10" s="490"/>
    </row>
    <row r="11" spans="4:7" s="478" customFormat="1" ht="18" customHeight="1" x14ac:dyDescent="0.2">
      <c r="D11" s="289" t="s">
        <v>425</v>
      </c>
      <c r="E11" s="491">
        <v>54</v>
      </c>
      <c r="F11" s="442"/>
      <c r="G11" s="490"/>
    </row>
    <row r="12" spans="4:7" s="478" customFormat="1" ht="18" customHeight="1" x14ac:dyDescent="0.2">
      <c r="D12" s="290" t="s">
        <v>18</v>
      </c>
      <c r="E12" s="492">
        <f>17.75-1</f>
        <v>16.75</v>
      </c>
      <c r="F12" s="490"/>
      <c r="G12" s="490"/>
    </row>
    <row r="13" spans="4:7" s="478" customFormat="1" ht="18" customHeight="1" x14ac:dyDescent="0.2">
      <c r="D13" s="291" t="s">
        <v>426</v>
      </c>
      <c r="E13" s="899">
        <v>22</v>
      </c>
      <c r="F13" s="442"/>
      <c r="G13" s="490"/>
    </row>
    <row r="14" spans="4:7" s="478" customFormat="1" ht="18" customHeight="1" x14ac:dyDescent="0.2">
      <c r="D14" s="291" t="s">
        <v>482</v>
      </c>
      <c r="E14" s="493"/>
      <c r="F14" s="442"/>
      <c r="G14" s="490"/>
    </row>
    <row r="15" spans="4:7" s="478" customFormat="1" ht="18" customHeight="1" x14ac:dyDescent="0.2">
      <c r="D15" s="291" t="s">
        <v>649</v>
      </c>
      <c r="E15" s="493">
        <v>142.80000000000001</v>
      </c>
      <c r="F15" s="442"/>
      <c r="G15" s="490"/>
    </row>
    <row r="16" spans="4:7" s="478" customFormat="1" ht="18" customHeight="1" x14ac:dyDescent="0.2">
      <c r="D16" s="291" t="s">
        <v>650</v>
      </c>
      <c r="E16" s="493">
        <v>4</v>
      </c>
      <c r="F16" s="442"/>
      <c r="G16" s="490"/>
    </row>
    <row r="17" spans="4:7" s="478" customFormat="1" ht="18" customHeight="1" x14ac:dyDescent="0.2">
      <c r="D17" s="336" t="s">
        <v>652</v>
      </c>
      <c r="E17" s="493">
        <v>61</v>
      </c>
      <c r="F17" s="442"/>
      <c r="G17" s="490"/>
    </row>
    <row r="18" spans="4:7" s="478" customFormat="1" ht="18" customHeight="1" x14ac:dyDescent="0.2">
      <c r="D18" s="336" t="s">
        <v>651</v>
      </c>
      <c r="E18" s="493">
        <v>5</v>
      </c>
      <c r="F18" s="442"/>
      <c r="G18" s="490"/>
    </row>
    <row r="19" spans="4:7" s="478" customFormat="1" ht="18" customHeight="1" x14ac:dyDescent="0.2">
      <c r="D19" s="336" t="s">
        <v>763</v>
      </c>
      <c r="E19" s="493">
        <v>2</v>
      </c>
      <c r="F19" s="442"/>
      <c r="G19" s="490"/>
    </row>
    <row r="20" spans="4:7" s="467" customFormat="1" ht="13.5" thickBot="1" x14ac:dyDescent="0.25">
      <c r="D20" s="494" t="s">
        <v>656</v>
      </c>
      <c r="E20" s="898">
        <v>46</v>
      </c>
      <c r="F20" s="495"/>
      <c r="G20" s="495"/>
    </row>
    <row r="21" spans="4:7" s="467" customFormat="1" ht="13.5" thickBot="1" x14ac:dyDescent="0.25">
      <c r="D21" s="496" t="s">
        <v>427</v>
      </c>
      <c r="E21" s="497">
        <f>SUM(E10:E20)</f>
        <v>378.55</v>
      </c>
      <c r="F21" s="498"/>
      <c r="G21" s="498"/>
    </row>
    <row r="22" spans="4:7" s="467" customFormat="1" ht="13.5" thickBot="1" x14ac:dyDescent="0.25">
      <c r="D22" s="499" t="s">
        <v>633</v>
      </c>
      <c r="E22" s="497">
        <f>E10+E11+E12+E13+E15+E20</f>
        <v>306.55</v>
      </c>
      <c r="F22" s="498"/>
      <c r="G22" s="498"/>
    </row>
    <row r="23" spans="4:7" s="467" customFormat="1" x14ac:dyDescent="0.2">
      <c r="D23" s="500" t="s">
        <v>204</v>
      </c>
      <c r="E23" s="625">
        <v>6</v>
      </c>
      <c r="F23" s="498"/>
      <c r="G23" s="498"/>
    </row>
    <row r="24" spans="4:7" s="467" customFormat="1" x14ac:dyDescent="0.2">
      <c r="D24" s="501" t="s">
        <v>428</v>
      </c>
      <c r="E24" s="502">
        <v>0</v>
      </c>
      <c r="F24" s="490"/>
      <c r="G24" s="490"/>
    </row>
    <row r="25" spans="4:7" s="467" customFormat="1" x14ac:dyDescent="0.2">
      <c r="D25" s="501" t="s">
        <v>19</v>
      </c>
      <c r="E25" s="502">
        <v>0</v>
      </c>
      <c r="F25" s="490"/>
      <c r="G25" s="490"/>
    </row>
    <row r="26" spans="4:7" s="467" customFormat="1" ht="13.5" thickBot="1" x14ac:dyDescent="0.25">
      <c r="D26" s="503" t="s">
        <v>429</v>
      </c>
      <c r="E26" s="504">
        <f>SUM(E22:E25)</f>
        <v>312.55</v>
      </c>
      <c r="F26" s="498"/>
      <c r="G26" s="498"/>
    </row>
    <row r="27" spans="4:7" ht="13.5" thickBot="1" x14ac:dyDescent="0.25">
      <c r="D27" s="505" t="s">
        <v>520</v>
      </c>
      <c r="E27" s="506">
        <f>E22+E23</f>
        <v>312.55</v>
      </c>
    </row>
  </sheetData>
  <mergeCells count="2">
    <mergeCell ref="E2:F2"/>
    <mergeCell ref="E7:E8"/>
  </mergeCells>
  <printOptions horizontalCentered="1"/>
  <pageMargins left="0.19685039370078741" right="0.23622047244094491" top="0.98425196850393704" bottom="0.6692913385826772" header="0.55118110236220474" footer="0.51181102362204722"/>
  <pageSetup paperSize="9" orientation="portrait" horizontalDpi="180" verticalDpi="180" r:id="rId1"/>
  <headerFooter alignWithMargins="0">
    <oddHeader>&amp;R27. melléklet a 30/2017.(XI.30.)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view="pageLayout" zoomScaleNormal="100" workbookViewId="0">
      <selection activeCell="D4" sqref="D4"/>
    </sheetView>
  </sheetViews>
  <sheetFormatPr defaultColWidth="10.6640625" defaultRowHeight="12.75" x14ac:dyDescent="0.2"/>
  <cols>
    <col min="1" max="1" width="10" style="508" customWidth="1"/>
    <col min="2" max="2" width="37.33203125" style="508" customWidth="1"/>
    <col min="3" max="3" width="24.83203125" style="508" customWidth="1"/>
    <col min="4" max="4" width="22.6640625" style="508" customWidth="1"/>
    <col min="5" max="5" width="11.6640625" style="508" bestFit="1" customWidth="1"/>
    <col min="6" max="16384" width="10.6640625" style="508"/>
  </cols>
  <sheetData>
    <row r="1" spans="1:6" ht="15.75" x14ac:dyDescent="0.25">
      <c r="A1" s="507"/>
      <c r="B1" s="507"/>
      <c r="C1" s="507"/>
      <c r="D1" s="443"/>
    </row>
    <row r="2" spans="1:6" ht="15.75" x14ac:dyDescent="0.25">
      <c r="A2" s="507"/>
      <c r="B2" s="507"/>
      <c r="C2" s="507"/>
      <c r="D2" s="509"/>
    </row>
    <row r="3" spans="1:6" ht="15.75" x14ac:dyDescent="0.25">
      <c r="A3" s="507"/>
      <c r="B3" s="507"/>
      <c r="C3" s="507"/>
      <c r="D3" s="443"/>
    </row>
    <row r="4" spans="1:6" ht="15.75" x14ac:dyDescent="0.25">
      <c r="A4" s="507"/>
      <c r="B4" s="507"/>
      <c r="C4" s="507"/>
      <c r="D4" s="444"/>
    </row>
    <row r="5" spans="1:6" ht="15.75" x14ac:dyDescent="0.25">
      <c r="A5" s="507"/>
      <c r="B5" s="507"/>
      <c r="C5" s="507"/>
      <c r="D5" s="444"/>
    </row>
    <row r="6" spans="1:6" ht="15.75" x14ac:dyDescent="0.25">
      <c r="A6" s="507"/>
      <c r="B6" s="507"/>
      <c r="C6" s="507"/>
      <c r="D6" s="445"/>
    </row>
    <row r="7" spans="1:6" ht="19.5" x14ac:dyDescent="0.35">
      <c r="A7" s="510" t="s">
        <v>414</v>
      </c>
      <c r="B7" s="510"/>
      <c r="C7" s="510"/>
      <c r="D7" s="446"/>
    </row>
    <row r="8" spans="1:6" ht="19.5" x14ac:dyDescent="0.35">
      <c r="A8" s="510" t="s">
        <v>667</v>
      </c>
      <c r="B8" s="510"/>
      <c r="C8" s="510"/>
      <c r="D8" s="446"/>
    </row>
    <row r="9" spans="1:6" ht="19.5" x14ac:dyDescent="0.35">
      <c r="A9" s="510"/>
      <c r="B9" s="510"/>
      <c r="C9" s="510"/>
      <c r="D9" s="446"/>
    </row>
    <row r="10" spans="1:6" ht="19.5" x14ac:dyDescent="0.35">
      <c r="A10" s="510"/>
      <c r="B10" s="510"/>
      <c r="C10" s="510"/>
      <c r="D10" s="446"/>
    </row>
    <row r="11" spans="1:6" ht="19.5" x14ac:dyDescent="0.35">
      <c r="A11" s="510"/>
      <c r="B11" s="510"/>
      <c r="C11" s="510"/>
      <c r="D11" s="446"/>
    </row>
    <row r="12" spans="1:6" ht="19.5" x14ac:dyDescent="0.35">
      <c r="A12" s="510"/>
      <c r="B12" s="510"/>
      <c r="C12" s="510"/>
      <c r="D12" s="446"/>
    </row>
    <row r="13" spans="1:6" ht="16.5" thickBot="1" x14ac:dyDescent="0.3">
      <c r="A13" s="507"/>
      <c r="B13" s="507"/>
      <c r="C13" s="507"/>
      <c r="D13" s="447" t="s">
        <v>21</v>
      </c>
    </row>
    <row r="14" spans="1:6" s="514" customFormat="1" ht="33" customHeight="1" thickBot="1" x14ac:dyDescent="0.25">
      <c r="A14" s="511" t="s">
        <v>90</v>
      </c>
      <c r="B14" s="512"/>
      <c r="C14" s="513"/>
      <c r="D14" s="448" t="s">
        <v>83</v>
      </c>
    </row>
    <row r="15" spans="1:6" ht="15.75" x14ac:dyDescent="0.25">
      <c r="A15" s="906" t="s">
        <v>87</v>
      </c>
      <c r="B15" s="907"/>
      <c r="C15" s="908"/>
      <c r="D15" s="909">
        <f>27975496+3000000</f>
        <v>30975496</v>
      </c>
      <c r="E15" s="515"/>
      <c r="F15" s="516"/>
    </row>
    <row r="16" spans="1:6" ht="15.75" x14ac:dyDescent="0.25">
      <c r="A16" s="449" t="s">
        <v>416</v>
      </c>
      <c r="B16" s="450"/>
      <c r="C16" s="451"/>
      <c r="D16" s="452"/>
      <c r="E16" s="516"/>
      <c r="F16" s="516"/>
    </row>
    <row r="17" spans="1:6" x14ac:dyDescent="0.2">
      <c r="A17" s="517" t="s">
        <v>22</v>
      </c>
      <c r="B17" s="518"/>
      <c r="C17" s="519"/>
      <c r="D17" s="453">
        <v>178000</v>
      </c>
      <c r="E17" s="520"/>
      <c r="F17" s="454"/>
    </row>
    <row r="18" spans="1:6" x14ac:dyDescent="0.2">
      <c r="A18" s="749" t="s">
        <v>417</v>
      </c>
      <c r="B18" s="750"/>
      <c r="C18" s="519"/>
      <c r="D18" s="453">
        <f>500000-53709-446291</f>
        <v>0</v>
      </c>
      <c r="E18" s="455"/>
      <c r="F18" s="454"/>
    </row>
    <row r="19" spans="1:6" x14ac:dyDescent="0.2">
      <c r="A19" s="749" t="s">
        <v>764</v>
      </c>
      <c r="B19" s="750"/>
      <c r="C19" s="519"/>
      <c r="D19" s="453">
        <f>5200000-200000</f>
        <v>5000000</v>
      </c>
      <c r="E19" s="455"/>
      <c r="F19" s="454"/>
    </row>
    <row r="20" spans="1:6" x14ac:dyDescent="0.2">
      <c r="A20" s="521" t="s">
        <v>765</v>
      </c>
      <c r="B20" s="751"/>
      <c r="C20" s="519"/>
      <c r="D20" s="453">
        <v>5739000</v>
      </c>
      <c r="E20" s="455"/>
      <c r="F20" s="456"/>
    </row>
    <row r="21" spans="1:6" x14ac:dyDescent="0.2">
      <c r="A21" s="749" t="s">
        <v>615</v>
      </c>
      <c r="B21" s="750"/>
      <c r="C21" s="519"/>
      <c r="D21" s="453">
        <v>1005000</v>
      </c>
      <c r="E21" s="455"/>
      <c r="F21" s="456"/>
    </row>
    <row r="22" spans="1:6" x14ac:dyDescent="0.2">
      <c r="A22" s="749" t="s">
        <v>705</v>
      </c>
      <c r="B22" s="750"/>
      <c r="C22" s="519"/>
      <c r="D22" s="453">
        <v>4075000</v>
      </c>
      <c r="E22" s="455"/>
      <c r="F22" s="456"/>
    </row>
    <row r="23" spans="1:6" x14ac:dyDescent="0.2">
      <c r="A23" s="521" t="s">
        <v>452</v>
      </c>
      <c r="B23" s="750"/>
      <c r="C23" s="626"/>
      <c r="D23" s="453">
        <f>34480400-3716991-10214202</f>
        <v>20549207</v>
      </c>
      <c r="E23" s="455"/>
      <c r="F23" s="454"/>
    </row>
    <row r="24" spans="1:6" x14ac:dyDescent="0.2">
      <c r="A24" s="521" t="s">
        <v>23</v>
      </c>
      <c r="B24" s="750"/>
      <c r="C24" s="522"/>
      <c r="D24" s="453">
        <v>200000</v>
      </c>
      <c r="E24" s="455"/>
      <c r="F24" s="454"/>
    </row>
    <row r="25" spans="1:6" x14ac:dyDescent="0.2">
      <c r="A25" s="1005" t="s">
        <v>641</v>
      </c>
      <c r="B25" s="1006"/>
      <c r="C25" s="902"/>
      <c r="D25" s="903">
        <v>0</v>
      </c>
      <c r="E25" s="455"/>
      <c r="F25" s="454"/>
    </row>
    <row r="26" spans="1:6" x14ac:dyDescent="0.2">
      <c r="A26" s="752" t="s">
        <v>20</v>
      </c>
      <c r="B26" s="753"/>
      <c r="C26" s="519"/>
      <c r="D26" s="453">
        <f>7545154-7180341-15563-349250</f>
        <v>0</v>
      </c>
      <c r="E26" s="455"/>
      <c r="F26" s="454"/>
    </row>
    <row r="27" spans="1:6" x14ac:dyDescent="0.2">
      <c r="A27" s="752" t="s">
        <v>24</v>
      </c>
      <c r="B27" s="753"/>
      <c r="C27" s="626"/>
      <c r="D27" s="453">
        <f>3797300-3594056</f>
        <v>203244</v>
      </c>
      <c r="E27" s="455"/>
      <c r="F27" s="454"/>
    </row>
    <row r="28" spans="1:6" x14ac:dyDescent="0.2">
      <c r="A28" s="752" t="s">
        <v>25</v>
      </c>
      <c r="B28" s="753"/>
      <c r="C28" s="519"/>
      <c r="D28" s="453">
        <f>400000-200000</f>
        <v>200000</v>
      </c>
      <c r="E28" s="455"/>
      <c r="F28" s="454"/>
    </row>
    <row r="29" spans="1:6" x14ac:dyDescent="0.2">
      <c r="A29" s="904" t="s">
        <v>694</v>
      </c>
      <c r="B29" s="905"/>
      <c r="C29" s="902"/>
      <c r="D29" s="903">
        <v>0</v>
      </c>
      <c r="E29" s="455"/>
      <c r="F29" s="454"/>
    </row>
    <row r="30" spans="1:6" x14ac:dyDescent="0.2">
      <c r="A30" s="752" t="s">
        <v>736</v>
      </c>
      <c r="B30" s="753"/>
      <c r="C30" s="519"/>
      <c r="D30" s="453">
        <f>37900000-17900650</f>
        <v>19999350</v>
      </c>
      <c r="E30" s="455"/>
      <c r="F30" s="454"/>
    </row>
    <row r="31" spans="1:6" x14ac:dyDescent="0.2">
      <c r="A31" s="752" t="s">
        <v>737</v>
      </c>
      <c r="B31" s="753"/>
      <c r="C31" s="519"/>
      <c r="D31" s="453">
        <v>3779393</v>
      </c>
      <c r="E31" s="455"/>
      <c r="F31" s="454"/>
    </row>
    <row r="32" spans="1:6" x14ac:dyDescent="0.2">
      <c r="A32" s="752" t="s">
        <v>766</v>
      </c>
      <c r="B32" s="753"/>
      <c r="C32" s="519"/>
      <c r="D32" s="453">
        <v>5866130</v>
      </c>
      <c r="E32" s="455"/>
      <c r="F32" s="454"/>
    </row>
    <row r="33" spans="1:4" ht="15.75" x14ac:dyDescent="0.25">
      <c r="A33" s="449" t="s">
        <v>418</v>
      </c>
      <c r="B33" s="457"/>
      <c r="C33" s="458"/>
      <c r="D33" s="459">
        <f>SUM(D17:D32)</f>
        <v>66794324</v>
      </c>
    </row>
    <row r="34" spans="1:4" ht="15.75" x14ac:dyDescent="0.25">
      <c r="A34" s="449"/>
      <c r="B34" s="457"/>
      <c r="C34" s="458"/>
      <c r="D34" s="458"/>
    </row>
    <row r="35" spans="1:4" ht="16.5" thickBot="1" x14ac:dyDescent="0.3">
      <c r="A35" s="460" t="s">
        <v>419</v>
      </c>
      <c r="B35" s="461"/>
      <c r="C35" s="462"/>
      <c r="D35" s="463">
        <f>SUM(D15,D33)</f>
        <v>97769820</v>
      </c>
    </row>
  </sheetData>
  <mergeCells count="1">
    <mergeCell ref="A25:B25"/>
  </mergeCells>
  <printOptions horizontalCentered="1"/>
  <pageMargins left="0.98425196850393704" right="0.98425196850393704" top="0.98425196850393704" bottom="0.98425196850393704" header="0.51181102362204722" footer="0.51181102362204722"/>
  <pageSetup paperSize="9" scale="94" orientation="portrait" r:id="rId1"/>
  <headerFooter alignWithMargins="0">
    <oddHeader>&amp;R28. melléklet  a 30/2017.(XI.30.)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view="pageLayout" topLeftCell="B1" zoomScaleNormal="100" workbookViewId="0">
      <selection activeCell="C2" sqref="C2"/>
    </sheetView>
  </sheetViews>
  <sheetFormatPr defaultRowHeight="15.75" x14ac:dyDescent="0.25"/>
  <cols>
    <col min="1" max="1" width="9" style="370" customWidth="1"/>
    <col min="2" max="2" width="75.83203125" style="370" customWidth="1"/>
    <col min="3" max="4" width="15.5" style="370" customWidth="1"/>
    <col min="5" max="5" width="14.33203125" style="348" hidden="1" customWidth="1"/>
    <col min="6" max="6" width="12.6640625" style="348" hidden="1" customWidth="1"/>
    <col min="7" max="7" width="14.33203125" style="348" hidden="1" customWidth="1"/>
    <col min="8" max="16384" width="9.33203125" style="348"/>
  </cols>
  <sheetData>
    <row r="1" spans="1:7" ht="15.95" customHeight="1" x14ac:dyDescent="0.25">
      <c r="A1" s="954" t="s">
        <v>42</v>
      </c>
      <c r="B1" s="954"/>
      <c r="C1" s="954"/>
      <c r="D1" s="954"/>
    </row>
    <row r="2" spans="1:7" ht="15.95" customHeight="1" thickBot="1" x14ac:dyDescent="0.3">
      <c r="A2" s="953" t="s">
        <v>167</v>
      </c>
      <c r="B2" s="953"/>
      <c r="C2" s="347"/>
      <c r="D2" s="400" t="s">
        <v>702</v>
      </c>
    </row>
    <row r="3" spans="1:7" ht="38.1" customHeight="1" thickBot="1" x14ac:dyDescent="0.3">
      <c r="A3" s="22" t="s">
        <v>96</v>
      </c>
      <c r="B3" s="23" t="s">
        <v>44</v>
      </c>
      <c r="C3" s="401" t="s">
        <v>26</v>
      </c>
      <c r="D3" s="35" t="s">
        <v>661</v>
      </c>
    </row>
    <row r="4" spans="1:7" s="349" customFormat="1" ht="12" customHeight="1" thickBot="1" x14ac:dyDescent="0.25">
      <c r="A4" s="31" t="s">
        <v>524</v>
      </c>
      <c r="B4" s="32" t="s">
        <v>525</v>
      </c>
      <c r="C4" s="402" t="s">
        <v>579</v>
      </c>
      <c r="D4" s="240" t="s">
        <v>526</v>
      </c>
    </row>
    <row r="5" spans="1:7" s="352" customFormat="1" ht="12" customHeight="1" thickBot="1" x14ac:dyDescent="0.25">
      <c r="A5" s="19" t="s">
        <v>45</v>
      </c>
      <c r="B5" s="20" t="s">
        <v>228</v>
      </c>
      <c r="C5" s="403">
        <f>+C6+C7+C8+C9+C10+C11</f>
        <v>1055342000</v>
      </c>
      <c r="D5" s="158">
        <f>SUM(D6:D11)</f>
        <v>1214566895</v>
      </c>
      <c r="E5" s="351">
        <f>+E6+E7+E8+E9+E10+E11</f>
        <v>1190343400</v>
      </c>
      <c r="F5" s="158">
        <f>+F6+F7+F8+F9+F10+F11</f>
        <v>0</v>
      </c>
      <c r="G5" s="158">
        <f>+G6+G7+G8+G9+G10+G11</f>
        <v>0</v>
      </c>
    </row>
    <row r="6" spans="1:7" s="352" customFormat="1" ht="12" customHeight="1" x14ac:dyDescent="0.2">
      <c r="A6" s="14" t="s">
        <v>121</v>
      </c>
      <c r="B6" s="246" t="s">
        <v>229</v>
      </c>
      <c r="C6" s="404">
        <v>231988000</v>
      </c>
      <c r="D6" s="393">
        <f>SUM(E6:G6)+905743</f>
        <v>228418282</v>
      </c>
      <c r="E6" s="358">
        <v>227512539</v>
      </c>
      <c r="F6" s="284"/>
      <c r="G6" s="284"/>
    </row>
    <row r="7" spans="1:7" s="352" customFormat="1" ht="12" customHeight="1" x14ac:dyDescent="0.2">
      <c r="A7" s="13" t="s">
        <v>122</v>
      </c>
      <c r="B7" s="247" t="s">
        <v>230</v>
      </c>
      <c r="C7" s="405">
        <v>217051000</v>
      </c>
      <c r="D7" s="394">
        <f>SUM(E7:G7)+10461768-4721982-4278000</f>
        <v>219569080</v>
      </c>
      <c r="E7" s="324">
        <v>218107294</v>
      </c>
      <c r="F7" s="162"/>
      <c r="G7" s="162"/>
    </row>
    <row r="8" spans="1:7" s="352" customFormat="1" ht="12" customHeight="1" x14ac:dyDescent="0.2">
      <c r="A8" s="13" t="s">
        <v>123</v>
      </c>
      <c r="B8" s="247" t="s">
        <v>231</v>
      </c>
      <c r="C8" s="405">
        <v>567601000</v>
      </c>
      <c r="D8" s="802">
        <f>SUM(E8:G8)-35761000-1921230+31350000</f>
        <v>534581835</v>
      </c>
      <c r="E8" s="324">
        <f>121200000+67844165+118423160+15562200+177597260+4526280+11511000+24250000</f>
        <v>540914065</v>
      </c>
      <c r="F8" s="162"/>
      <c r="G8" s="162"/>
    </row>
    <row r="9" spans="1:7" s="352" customFormat="1" ht="12" customHeight="1" x14ac:dyDescent="0.2">
      <c r="A9" s="13" t="s">
        <v>124</v>
      </c>
      <c r="B9" s="247" t="s">
        <v>232</v>
      </c>
      <c r="C9" s="405">
        <v>26943000</v>
      </c>
      <c r="D9" s="394">
        <f>SUM(E9:G9)-4412740+4412740+1038248</f>
        <v>31342308</v>
      </c>
      <c r="E9" s="324">
        <f>4412740+15262320+10629000</f>
        <v>30304060</v>
      </c>
      <c r="F9" s="162"/>
      <c r="G9" s="162"/>
    </row>
    <row r="10" spans="1:7" s="352" customFormat="1" ht="12" customHeight="1" x14ac:dyDescent="0.2">
      <c r="A10" s="13" t="s">
        <v>164</v>
      </c>
      <c r="B10" s="154" t="s">
        <v>527</v>
      </c>
      <c r="C10" s="405">
        <v>10020000</v>
      </c>
      <c r="D10" s="802">
        <f>SUM(E10:G10)+23885805+49094027+4501192-4412740-15000000+306000-31224336</f>
        <v>200655390</v>
      </c>
      <c r="E10" s="324">
        <f>3551000+1060845+168707597+58000+128000</f>
        <v>173505442</v>
      </c>
      <c r="F10" s="162"/>
      <c r="G10" s="162"/>
    </row>
    <row r="11" spans="1:7" s="352" customFormat="1" ht="12" customHeight="1" thickBot="1" x14ac:dyDescent="0.25">
      <c r="A11" s="15" t="s">
        <v>125</v>
      </c>
      <c r="B11" s="155" t="s">
        <v>528</v>
      </c>
      <c r="C11" s="405">
        <v>1739000</v>
      </c>
      <c r="D11" s="395">
        <f>SUM(E11:G11)</f>
        <v>0</v>
      </c>
      <c r="E11" s="145"/>
      <c r="F11" s="159"/>
      <c r="G11" s="159"/>
    </row>
    <row r="12" spans="1:7" s="352" customFormat="1" ht="12" customHeight="1" thickBot="1" x14ac:dyDescent="0.25">
      <c r="A12" s="19" t="s">
        <v>46</v>
      </c>
      <c r="B12" s="153" t="s">
        <v>233</v>
      </c>
      <c r="C12" s="403">
        <f>+C13+C14+C15+C16+C17</f>
        <v>781978000</v>
      </c>
      <c r="D12" s="158">
        <f>SUM(D13:D17)</f>
        <v>335849323</v>
      </c>
      <c r="E12" s="351">
        <f>+E13+E14+E15+E16+E17</f>
        <v>-145452435</v>
      </c>
      <c r="F12" s="158">
        <f>+F13+F14+F15+F16+F17</f>
        <v>0</v>
      </c>
      <c r="G12" s="158">
        <f>+G13+G14+G15+G16+G17</f>
        <v>5485000</v>
      </c>
    </row>
    <row r="13" spans="1:7" s="352" customFormat="1" ht="12" customHeight="1" x14ac:dyDescent="0.2">
      <c r="A13" s="14" t="s">
        <v>127</v>
      </c>
      <c r="B13" s="246" t="s">
        <v>234</v>
      </c>
      <c r="C13" s="404"/>
      <c r="D13" s="241">
        <f>SUM(E13:G13)</f>
        <v>0</v>
      </c>
      <c r="E13" s="353"/>
      <c r="F13" s="160"/>
      <c r="G13" s="160"/>
    </row>
    <row r="14" spans="1:7" s="352" customFormat="1" ht="12" customHeight="1" x14ac:dyDescent="0.2">
      <c r="A14" s="13" t="s">
        <v>128</v>
      </c>
      <c r="B14" s="247" t="s">
        <v>235</v>
      </c>
      <c r="C14" s="405"/>
      <c r="D14" s="418">
        <f>SUM(E14:G14)</f>
        <v>0</v>
      </c>
      <c r="E14" s="145"/>
      <c r="F14" s="159"/>
      <c r="G14" s="159"/>
    </row>
    <row r="15" spans="1:7" s="352" customFormat="1" ht="12" customHeight="1" x14ac:dyDescent="0.2">
      <c r="A15" s="13" t="s">
        <v>129</v>
      </c>
      <c r="B15" s="247" t="s">
        <v>404</v>
      </c>
      <c r="C15" s="405"/>
      <c r="D15" s="394">
        <f>SUM(E15:G15)</f>
        <v>0</v>
      </c>
      <c r="E15" s="145"/>
      <c r="F15" s="159"/>
      <c r="G15" s="159"/>
    </row>
    <row r="16" spans="1:7" s="352" customFormat="1" ht="12" customHeight="1" x14ac:dyDescent="0.2">
      <c r="A16" s="13" t="s">
        <v>130</v>
      </c>
      <c r="B16" s="247" t="s">
        <v>405</v>
      </c>
      <c r="C16" s="405"/>
      <c r="D16" s="394">
        <f>SUM(E16:G16)</f>
        <v>0</v>
      </c>
      <c r="E16" s="145"/>
      <c r="F16" s="159"/>
      <c r="G16" s="159"/>
    </row>
    <row r="17" spans="1:7" s="352" customFormat="1" ht="12" customHeight="1" x14ac:dyDescent="0.2">
      <c r="A17" s="13" t="s">
        <v>131</v>
      </c>
      <c r="B17" s="247" t="s">
        <v>236</v>
      </c>
      <c r="C17" s="405">
        <v>781978000</v>
      </c>
      <c r="D17" s="802">
        <f>SUM(E17:G17)+326152588+94906504+10325405+7215044+33734217+3483000</f>
        <v>335849323</v>
      </c>
      <c r="E17" s="329">
        <f>2285000+210000+110446000+65342000-323735435</f>
        <v>-145452435</v>
      </c>
      <c r="F17" s="326"/>
      <c r="G17" s="162">
        <v>5485000</v>
      </c>
    </row>
    <row r="18" spans="1:7" s="352" customFormat="1" ht="12" customHeight="1" thickBot="1" x14ac:dyDescent="0.25">
      <c r="A18" s="15" t="s">
        <v>140</v>
      </c>
      <c r="B18" s="155" t="s">
        <v>237</v>
      </c>
      <c r="C18" s="406"/>
      <c r="D18" s="395">
        <f>374405+16502729</f>
        <v>16877134</v>
      </c>
      <c r="E18" s="328"/>
      <c r="F18" s="235"/>
      <c r="G18" s="235"/>
    </row>
    <row r="19" spans="1:7" s="352" customFormat="1" ht="12" customHeight="1" thickBot="1" x14ac:dyDescent="0.25">
      <c r="A19" s="19" t="s">
        <v>47</v>
      </c>
      <c r="B19" s="20" t="s">
        <v>238</v>
      </c>
      <c r="C19" s="403">
        <f>+C20+C21+C22+C23+C24</f>
        <v>37234000</v>
      </c>
      <c r="D19" s="163">
        <f>SUM(D20:D24)</f>
        <v>532260298</v>
      </c>
      <c r="E19" s="351">
        <f>+E20+E21+E22+E23+E24</f>
        <v>-11381976</v>
      </c>
      <c r="F19" s="158">
        <f>+F20+F21+F22+F23+F24</f>
        <v>0</v>
      </c>
      <c r="G19" s="158">
        <f>+G20+G21+G22+G23+G24</f>
        <v>0</v>
      </c>
    </row>
    <row r="20" spans="1:7" s="352" customFormat="1" ht="12" customHeight="1" x14ac:dyDescent="0.2">
      <c r="A20" s="14" t="s">
        <v>110</v>
      </c>
      <c r="B20" s="246" t="s">
        <v>239</v>
      </c>
      <c r="C20" s="404">
        <v>20895000</v>
      </c>
      <c r="D20" s="393">
        <f>SUM(E20:G20)+15690532</f>
        <v>15690532</v>
      </c>
      <c r="E20" s="386"/>
      <c r="F20" s="323"/>
      <c r="G20" s="323"/>
    </row>
    <row r="21" spans="1:7" s="352" customFormat="1" ht="12" customHeight="1" x14ac:dyDescent="0.2">
      <c r="A21" s="13" t="s">
        <v>111</v>
      </c>
      <c r="B21" s="247" t="s">
        <v>240</v>
      </c>
      <c r="C21" s="405"/>
      <c r="D21" s="394">
        <f>SUM(E21:G21)</f>
        <v>0</v>
      </c>
      <c r="E21" s="324"/>
      <c r="F21" s="162"/>
      <c r="G21" s="162"/>
    </row>
    <row r="22" spans="1:7" s="352" customFormat="1" ht="12" customHeight="1" x14ac:dyDescent="0.2">
      <c r="A22" s="13" t="s">
        <v>112</v>
      </c>
      <c r="B22" s="247" t="s">
        <v>406</v>
      </c>
      <c r="C22" s="405"/>
      <c r="D22" s="394">
        <f>SUM(E22:G22)</f>
        <v>0</v>
      </c>
      <c r="E22" s="324"/>
      <c r="F22" s="162"/>
      <c r="G22" s="162"/>
    </row>
    <row r="23" spans="1:7" s="352" customFormat="1" ht="12" customHeight="1" x14ac:dyDescent="0.2">
      <c r="A23" s="13" t="s">
        <v>113</v>
      </c>
      <c r="B23" s="247" t="s">
        <v>407</v>
      </c>
      <c r="C23" s="405"/>
      <c r="D23" s="394">
        <f>SUM(E23:G23)</f>
        <v>0</v>
      </c>
      <c r="E23" s="324"/>
      <c r="F23" s="162"/>
      <c r="G23" s="162"/>
    </row>
    <row r="24" spans="1:7" s="352" customFormat="1" ht="12" customHeight="1" x14ac:dyDescent="0.2">
      <c r="A24" s="13" t="s">
        <v>175</v>
      </c>
      <c r="B24" s="247" t="s">
        <v>241</v>
      </c>
      <c r="C24" s="405">
        <v>16339000</v>
      </c>
      <c r="D24" s="394">
        <f>SUM(E24:G24)+15179276+93705029+216916507+202150930</f>
        <v>516569766</v>
      </c>
      <c r="E24" s="324">
        <f>3797300-15179276</f>
        <v>-11381976</v>
      </c>
      <c r="F24" s="162"/>
      <c r="G24" s="162"/>
    </row>
    <row r="25" spans="1:7" s="352" customFormat="1" ht="12" customHeight="1" thickBot="1" x14ac:dyDescent="0.25">
      <c r="A25" s="15" t="s">
        <v>176</v>
      </c>
      <c r="B25" s="248" t="s">
        <v>242</v>
      </c>
      <c r="C25" s="406"/>
      <c r="D25" s="395">
        <f>SUM(E25:G25)+91545029+214128350+202150930</f>
        <v>511621609</v>
      </c>
      <c r="E25" s="328">
        <v>3797300</v>
      </c>
      <c r="F25" s="235"/>
      <c r="G25" s="235"/>
    </row>
    <row r="26" spans="1:7" s="352" customFormat="1" ht="12" customHeight="1" thickBot="1" x14ac:dyDescent="0.25">
      <c r="A26" s="19" t="s">
        <v>177</v>
      </c>
      <c r="B26" s="20" t="s">
        <v>243</v>
      </c>
      <c r="C26" s="407">
        <f>C27+C31+C32+C33</f>
        <v>363460000</v>
      </c>
      <c r="D26" s="163">
        <f>SUM(D27)+SUM(D30:D33)</f>
        <v>356490000</v>
      </c>
      <c r="E26" s="355">
        <f>+E27+E31+E32+E33</f>
        <v>319390000</v>
      </c>
      <c r="F26" s="163">
        <f>+F27+F31+F32+F33</f>
        <v>0</v>
      </c>
      <c r="G26" s="163">
        <f>+G27+G31+G32+G33</f>
        <v>0</v>
      </c>
    </row>
    <row r="27" spans="1:7" s="352" customFormat="1" ht="12" customHeight="1" x14ac:dyDescent="0.2">
      <c r="A27" s="14" t="s">
        <v>244</v>
      </c>
      <c r="B27" s="246" t="s">
        <v>27</v>
      </c>
      <c r="C27" s="404">
        <f>C28+C29+C30</f>
        <v>320640000</v>
      </c>
      <c r="D27" s="393">
        <f>SUM(D28:D29)</f>
        <v>317830000</v>
      </c>
      <c r="E27" s="387">
        <f>SUM(E28:E30)</f>
        <v>282830000</v>
      </c>
      <c r="F27" s="241"/>
      <c r="G27" s="241"/>
    </row>
    <row r="28" spans="1:7" s="352" customFormat="1" ht="12" customHeight="1" x14ac:dyDescent="0.2">
      <c r="A28" s="13" t="s">
        <v>247</v>
      </c>
      <c r="B28" s="247" t="s">
        <v>29</v>
      </c>
      <c r="C28" s="405">
        <v>83000000</v>
      </c>
      <c r="D28" s="394">
        <f>SUM(E28:G28)</f>
        <v>78990000</v>
      </c>
      <c r="E28" s="145">
        <f>8990000+70000000</f>
        <v>78990000</v>
      </c>
      <c r="F28" s="159"/>
      <c r="G28" s="159"/>
    </row>
    <row r="29" spans="1:7" s="352" customFormat="1" ht="12" customHeight="1" x14ac:dyDescent="0.2">
      <c r="A29" s="13" t="s">
        <v>248</v>
      </c>
      <c r="B29" s="247" t="s">
        <v>631</v>
      </c>
      <c r="C29" s="405">
        <v>237500000</v>
      </c>
      <c r="D29" s="394">
        <f>SUM(E29:G29)+35000000</f>
        <v>238840000</v>
      </c>
      <c r="E29" s="145">
        <v>203840000</v>
      </c>
      <c r="F29" s="159"/>
      <c r="G29" s="159"/>
    </row>
    <row r="30" spans="1:7" s="352" customFormat="1" ht="12" customHeight="1" x14ac:dyDescent="0.2">
      <c r="A30" s="13" t="s">
        <v>249</v>
      </c>
      <c r="B30" s="247" t="s">
        <v>28</v>
      </c>
      <c r="C30" s="405">
        <v>140000</v>
      </c>
      <c r="D30" s="394">
        <f>SUM(E30:G30)</f>
        <v>0</v>
      </c>
      <c r="E30" s="324"/>
      <c r="F30" s="162"/>
      <c r="G30" s="162"/>
    </row>
    <row r="31" spans="1:7" s="352" customFormat="1" ht="12" customHeight="1" x14ac:dyDescent="0.2">
      <c r="A31" s="13" t="s">
        <v>630</v>
      </c>
      <c r="B31" s="247" t="s">
        <v>252</v>
      </c>
      <c r="C31" s="405">
        <v>28200000</v>
      </c>
      <c r="D31" s="394">
        <f>SUM(E31:G31)</f>
        <v>27000000</v>
      </c>
      <c r="E31" s="145">
        <f>27000000</f>
        <v>27000000</v>
      </c>
      <c r="F31" s="159"/>
      <c r="G31" s="159"/>
    </row>
    <row r="32" spans="1:7" s="352" customFormat="1" ht="12" customHeight="1" x14ac:dyDescent="0.2">
      <c r="A32" s="13" t="s">
        <v>657</v>
      </c>
      <c r="B32" s="247" t="s">
        <v>253</v>
      </c>
      <c r="C32" s="405">
        <v>5620000</v>
      </c>
      <c r="D32" s="394">
        <f>SUM(E32:G32)-4000000</f>
        <v>60000</v>
      </c>
      <c r="E32" s="145">
        <v>4060000</v>
      </c>
      <c r="F32" s="159"/>
      <c r="G32" s="159"/>
    </row>
    <row r="33" spans="1:7" s="352" customFormat="1" ht="12" customHeight="1" thickBot="1" x14ac:dyDescent="0.25">
      <c r="A33" s="15" t="s">
        <v>658</v>
      </c>
      <c r="B33" s="248" t="s">
        <v>254</v>
      </c>
      <c r="C33" s="406">
        <v>9000000</v>
      </c>
      <c r="D33" s="395">
        <f>SUM(E33:G33)+4000000+2100000</f>
        <v>11600000</v>
      </c>
      <c r="E33" s="328">
        <v>5500000</v>
      </c>
      <c r="F33" s="235"/>
      <c r="G33" s="235"/>
    </row>
    <row r="34" spans="1:7" s="352" customFormat="1" ht="12" customHeight="1" thickBot="1" x14ac:dyDescent="0.25">
      <c r="A34" s="19" t="s">
        <v>49</v>
      </c>
      <c r="B34" s="20" t="s">
        <v>532</v>
      </c>
      <c r="C34" s="403">
        <f>SUM(C35:C45)</f>
        <v>457659000</v>
      </c>
      <c r="D34" s="163">
        <f>SUM(D35:D45)</f>
        <v>469251145</v>
      </c>
      <c r="E34" s="351">
        <f>SUM(E35:E45)</f>
        <v>54395907</v>
      </c>
      <c r="F34" s="158">
        <f>SUM(F35:F45)</f>
        <v>9416500</v>
      </c>
      <c r="G34" s="158">
        <f>SUM(G35:G45)</f>
        <v>389838178</v>
      </c>
    </row>
    <row r="35" spans="1:7" s="352" customFormat="1" ht="12" customHeight="1" x14ac:dyDescent="0.2">
      <c r="A35" s="14" t="s">
        <v>114</v>
      </c>
      <c r="B35" s="246" t="s">
        <v>257</v>
      </c>
      <c r="C35" s="404">
        <v>13400000</v>
      </c>
      <c r="D35" s="803">
        <f>SUM(E35:G35)+5500000+275371-130000+3954000</f>
        <v>19744849</v>
      </c>
      <c r="E35" s="358">
        <f>3937000+4000000+5000000-2941522</f>
        <v>9995478</v>
      </c>
      <c r="F35" s="284"/>
      <c r="G35" s="284">
        <v>150000</v>
      </c>
    </row>
    <row r="36" spans="1:7" s="352" customFormat="1" ht="12" customHeight="1" x14ac:dyDescent="0.2">
      <c r="A36" s="13" t="s">
        <v>115</v>
      </c>
      <c r="B36" s="247" t="s">
        <v>258</v>
      </c>
      <c r="C36" s="405">
        <v>98371000</v>
      </c>
      <c r="D36" s="802">
        <f>SUM(E36:G36)+1813568-195228+4055000-5885856+1800934</f>
        <v>96708620</v>
      </c>
      <c r="E36" s="324">
        <f>100000+12004000+160000+7128864</f>
        <v>19392864</v>
      </c>
      <c r="F36" s="162">
        <v>7533500</v>
      </c>
      <c r="G36" s="284">
        <v>68193838</v>
      </c>
    </row>
    <row r="37" spans="1:7" s="352" customFormat="1" ht="12" customHeight="1" x14ac:dyDescent="0.2">
      <c r="A37" s="13" t="s">
        <v>116</v>
      </c>
      <c r="B37" s="247" t="s">
        <v>259</v>
      </c>
      <c r="C37" s="405">
        <v>95710000</v>
      </c>
      <c r="D37" s="802">
        <f>SUM(E37:G37)+1061599-195228+364027-3376000-189000-42520+2246520</f>
        <v>95492738</v>
      </c>
      <c r="E37" s="324">
        <f>8458000+947000</f>
        <v>9405000</v>
      </c>
      <c r="F37" s="162">
        <v>500000</v>
      </c>
      <c r="G37" s="284">
        <v>85718340</v>
      </c>
    </row>
    <row r="38" spans="1:7" s="352" customFormat="1" ht="12" customHeight="1" x14ac:dyDescent="0.2">
      <c r="A38" s="13" t="s">
        <v>179</v>
      </c>
      <c r="B38" s="247" t="s">
        <v>260</v>
      </c>
      <c r="C38" s="405">
        <v>376000</v>
      </c>
      <c r="D38" s="394">
        <f>SUM(E38:G38)</f>
        <v>430000</v>
      </c>
      <c r="E38" s="324">
        <f>430000</f>
        <v>430000</v>
      </c>
      <c r="F38" s="162"/>
      <c r="G38" s="284"/>
    </row>
    <row r="39" spans="1:7" s="352" customFormat="1" ht="12" customHeight="1" x14ac:dyDescent="0.2">
      <c r="A39" s="13" t="s">
        <v>180</v>
      </c>
      <c r="B39" s="247" t="s">
        <v>261</v>
      </c>
      <c r="C39" s="405">
        <v>182275000</v>
      </c>
      <c r="D39" s="802">
        <f>SUM(E39:G39)-1800934</f>
        <v>181010468</v>
      </c>
      <c r="E39" s="324"/>
      <c r="F39" s="162"/>
      <c r="G39" s="284">
        <v>182811402</v>
      </c>
    </row>
    <row r="40" spans="1:7" s="352" customFormat="1" ht="12" customHeight="1" x14ac:dyDescent="0.2">
      <c r="A40" s="13" t="s">
        <v>181</v>
      </c>
      <c r="B40" s="247" t="s">
        <v>262</v>
      </c>
      <c r="C40" s="405">
        <v>43482000</v>
      </c>
      <c r="D40" s="802">
        <f>SUM(E40:G40)+270000+1485000+976640+195228+195228+246410+2609072+189000+42520-2463811</f>
        <v>50887450</v>
      </c>
      <c r="E40" s="324">
        <f>1063000+3242000+5853000+44000+378000+600000+1350000+1408565</f>
        <v>13938565</v>
      </c>
      <c r="F40" s="162">
        <v>1283000</v>
      </c>
      <c r="G40" s="284">
        <v>31920598</v>
      </c>
    </row>
    <row r="41" spans="1:7" s="352" customFormat="1" ht="12" customHeight="1" x14ac:dyDescent="0.2">
      <c r="A41" s="13" t="s">
        <v>182</v>
      </c>
      <c r="B41" s="247" t="s">
        <v>263</v>
      </c>
      <c r="C41" s="405">
        <v>22424000</v>
      </c>
      <c r="D41" s="394">
        <f>SUM(E41:G41)-1286000+1924793</f>
        <v>21672793</v>
      </c>
      <c r="E41" s="324"/>
      <c r="F41" s="162"/>
      <c r="G41" s="284">
        <v>21034000</v>
      </c>
    </row>
    <row r="42" spans="1:7" s="352" customFormat="1" ht="12" customHeight="1" x14ac:dyDescent="0.2">
      <c r="A42" s="13" t="s">
        <v>183</v>
      </c>
      <c r="B42" s="247" t="s">
        <v>659</v>
      </c>
      <c r="C42" s="405">
        <v>21000</v>
      </c>
      <c r="D42" s="394">
        <f>SUM(E42:G42)</f>
        <v>40000</v>
      </c>
      <c r="E42" s="324">
        <v>30000</v>
      </c>
      <c r="F42" s="162"/>
      <c r="G42" s="284">
        <v>10000</v>
      </c>
    </row>
    <row r="43" spans="1:7" s="352" customFormat="1" ht="12" customHeight="1" x14ac:dyDescent="0.2">
      <c r="A43" s="13" t="s">
        <v>255</v>
      </c>
      <c r="B43" s="247" t="s">
        <v>265</v>
      </c>
      <c r="C43" s="408"/>
      <c r="D43" s="394">
        <f>SUM(E43:G43)</f>
        <v>0</v>
      </c>
      <c r="E43" s="324"/>
      <c r="F43" s="162"/>
      <c r="G43" s="284"/>
    </row>
    <row r="44" spans="1:7" s="352" customFormat="1" ht="12" customHeight="1" x14ac:dyDescent="0.2">
      <c r="A44" s="15" t="s">
        <v>256</v>
      </c>
      <c r="B44" s="248" t="s">
        <v>533</v>
      </c>
      <c r="C44" s="409">
        <v>500000</v>
      </c>
      <c r="D44" s="394">
        <f>SUM(E44:G44)</f>
        <v>500000</v>
      </c>
      <c r="E44" s="328">
        <f>500000</f>
        <v>500000</v>
      </c>
      <c r="F44" s="235"/>
      <c r="G44" s="284"/>
    </row>
    <row r="45" spans="1:7" s="352" customFormat="1" ht="12" customHeight="1" thickBot="1" x14ac:dyDescent="0.25">
      <c r="A45" s="15" t="s">
        <v>534</v>
      </c>
      <c r="B45" s="155" t="s">
        <v>266</v>
      </c>
      <c r="C45" s="409">
        <v>1100000</v>
      </c>
      <c r="D45" s="804">
        <f>SUM(E45:G45)+200318+416514+1343395</f>
        <v>2764227</v>
      </c>
      <c r="E45" s="328">
        <f>704000</f>
        <v>704000</v>
      </c>
      <c r="F45" s="235">
        <v>100000</v>
      </c>
      <c r="G45" s="284"/>
    </row>
    <row r="46" spans="1:7" s="352" customFormat="1" ht="12" customHeight="1" thickBot="1" x14ac:dyDescent="0.25">
      <c r="A46" s="19" t="s">
        <v>50</v>
      </c>
      <c r="B46" s="20" t="s">
        <v>267</v>
      </c>
      <c r="C46" s="403">
        <f>SUM(C47:C51)</f>
        <v>36253000</v>
      </c>
      <c r="D46" s="163">
        <f>SUM(D47:D51)</f>
        <v>47429000</v>
      </c>
      <c r="E46" s="351">
        <f>SUM(E47:E51)</f>
        <v>25179000</v>
      </c>
      <c r="F46" s="158">
        <f>SUM(F47:F51)</f>
        <v>0</v>
      </c>
      <c r="G46" s="158">
        <f>SUM(G47:G51)</f>
        <v>0</v>
      </c>
    </row>
    <row r="47" spans="1:7" s="352" customFormat="1" ht="12" customHeight="1" x14ac:dyDescent="0.2">
      <c r="A47" s="14" t="s">
        <v>117</v>
      </c>
      <c r="B47" s="246" t="s">
        <v>271</v>
      </c>
      <c r="C47" s="410"/>
      <c r="D47" s="393">
        <f>SUM(E47:G47)</f>
        <v>0</v>
      </c>
      <c r="E47" s="358"/>
      <c r="F47" s="284"/>
      <c r="G47" s="284"/>
    </row>
    <row r="48" spans="1:7" s="352" customFormat="1" ht="12" customHeight="1" x14ac:dyDescent="0.2">
      <c r="A48" s="13" t="s">
        <v>118</v>
      </c>
      <c r="B48" s="247" t="s">
        <v>272</v>
      </c>
      <c r="C48" s="408">
        <v>36043000</v>
      </c>
      <c r="D48" s="394">
        <f>SUM(E48:G48)+22000000</f>
        <v>47179000</v>
      </c>
      <c r="E48" s="324">
        <f>25179000</f>
        <v>25179000</v>
      </c>
      <c r="F48" s="162"/>
      <c r="G48" s="162"/>
    </row>
    <row r="49" spans="1:7" s="352" customFormat="1" ht="12" customHeight="1" x14ac:dyDescent="0.2">
      <c r="A49" s="13" t="s">
        <v>268</v>
      </c>
      <c r="B49" s="247" t="s">
        <v>273</v>
      </c>
      <c r="C49" s="408">
        <v>210000</v>
      </c>
      <c r="D49" s="394">
        <v>250000</v>
      </c>
      <c r="E49" s="324"/>
      <c r="F49" s="162"/>
      <c r="G49" s="162"/>
    </row>
    <row r="50" spans="1:7" s="352" customFormat="1" ht="12" customHeight="1" x14ac:dyDescent="0.2">
      <c r="A50" s="13" t="s">
        <v>269</v>
      </c>
      <c r="B50" s="247" t="s">
        <v>274</v>
      </c>
      <c r="C50" s="408"/>
      <c r="D50" s="394">
        <f>SUM(E50:G50)</f>
        <v>0</v>
      </c>
      <c r="E50" s="324"/>
      <c r="F50" s="162"/>
      <c r="G50" s="162"/>
    </row>
    <row r="51" spans="1:7" s="352" customFormat="1" ht="12" customHeight="1" thickBot="1" x14ac:dyDescent="0.25">
      <c r="A51" s="15" t="s">
        <v>270</v>
      </c>
      <c r="B51" s="155" t="s">
        <v>275</v>
      </c>
      <c r="C51" s="409"/>
      <c r="D51" s="395">
        <f>SUM(E51:G51)</f>
        <v>0</v>
      </c>
      <c r="E51" s="328"/>
      <c r="F51" s="235"/>
      <c r="G51" s="235"/>
    </row>
    <row r="52" spans="1:7" s="352" customFormat="1" ht="12" customHeight="1" thickBot="1" x14ac:dyDescent="0.25">
      <c r="A52" s="19" t="s">
        <v>184</v>
      </c>
      <c r="B52" s="20" t="s">
        <v>276</v>
      </c>
      <c r="C52" s="403">
        <f>SUM(C53:C55)</f>
        <v>17053000</v>
      </c>
      <c r="D52" s="163">
        <f>SUM(D53:D55)</f>
        <v>24244433</v>
      </c>
      <c r="E52" s="351">
        <f>SUM(E53:E55)</f>
        <v>6164433</v>
      </c>
      <c r="F52" s="158">
        <f>SUM(F53:F55)</f>
        <v>0</v>
      </c>
      <c r="G52" s="158">
        <f>SUM(G53:G55)</f>
        <v>0</v>
      </c>
    </row>
    <row r="53" spans="1:7" s="352" customFormat="1" ht="12" customHeight="1" x14ac:dyDescent="0.2">
      <c r="A53" s="14" t="s">
        <v>119</v>
      </c>
      <c r="B53" s="246" t="s">
        <v>277</v>
      </c>
      <c r="C53" s="404"/>
      <c r="D53" s="393">
        <f>SUM(E53:G53)</f>
        <v>0</v>
      </c>
      <c r="E53" s="353"/>
      <c r="F53" s="160"/>
      <c r="G53" s="160"/>
    </row>
    <row r="54" spans="1:7" s="352" customFormat="1" ht="12" customHeight="1" x14ac:dyDescent="0.2">
      <c r="A54" s="13" t="s">
        <v>120</v>
      </c>
      <c r="B54" s="247" t="s">
        <v>408</v>
      </c>
      <c r="C54" s="405">
        <v>3366000</v>
      </c>
      <c r="D54" s="802">
        <f>SUM(E54:G54)+18000000</f>
        <v>19949000</v>
      </c>
      <c r="E54" s="324">
        <f>383000+1566000</f>
        <v>1949000</v>
      </c>
      <c r="F54" s="162"/>
      <c r="G54" s="162"/>
    </row>
    <row r="55" spans="1:7" s="352" customFormat="1" ht="12" customHeight="1" x14ac:dyDescent="0.2">
      <c r="A55" s="13" t="s">
        <v>280</v>
      </c>
      <c r="B55" s="247" t="s">
        <v>278</v>
      </c>
      <c r="C55" s="405">
        <v>13687000</v>
      </c>
      <c r="D55" s="394">
        <f>SUM(E55:G55)+80000</f>
        <v>4295433</v>
      </c>
      <c r="E55" s="324">
        <f>4075000+140433</f>
        <v>4215433</v>
      </c>
      <c r="F55" s="162"/>
      <c r="G55" s="162"/>
    </row>
    <row r="56" spans="1:7" s="352" customFormat="1" ht="12" customHeight="1" thickBot="1" x14ac:dyDescent="0.25">
      <c r="A56" s="15" t="s">
        <v>281</v>
      </c>
      <c r="B56" s="155" t="s">
        <v>279</v>
      </c>
      <c r="C56" s="406"/>
      <c r="D56" s="395">
        <f>SUM(E56:G56)</f>
        <v>0</v>
      </c>
      <c r="E56" s="146"/>
      <c r="F56" s="161"/>
      <c r="G56" s="161"/>
    </row>
    <row r="57" spans="1:7" s="352" customFormat="1" ht="12" customHeight="1" thickBot="1" x14ac:dyDescent="0.25">
      <c r="A57" s="19" t="s">
        <v>52</v>
      </c>
      <c r="B57" s="153" t="s">
        <v>282</v>
      </c>
      <c r="C57" s="403">
        <f>SUM(C58:C60)</f>
        <v>4228000</v>
      </c>
      <c r="D57" s="163">
        <f>SUM(D58:D60)</f>
        <v>1400000</v>
      </c>
      <c r="E57" s="351">
        <f>SUM(E58:E60)</f>
        <v>0</v>
      </c>
      <c r="F57" s="158">
        <f>SUM(F58:F60)</f>
        <v>0</v>
      </c>
      <c r="G57" s="158">
        <f>SUM(G58:G60)</f>
        <v>0</v>
      </c>
    </row>
    <row r="58" spans="1:7" s="352" customFormat="1" ht="12" customHeight="1" x14ac:dyDescent="0.2">
      <c r="A58" s="14" t="s">
        <v>185</v>
      </c>
      <c r="B58" s="246" t="s">
        <v>284</v>
      </c>
      <c r="C58" s="408"/>
      <c r="D58" s="393">
        <f>SUM(E58:G58)</f>
        <v>0</v>
      </c>
      <c r="E58" s="324"/>
      <c r="F58" s="162"/>
      <c r="G58" s="162"/>
    </row>
    <row r="59" spans="1:7" s="352" customFormat="1" ht="12" customHeight="1" x14ac:dyDescent="0.2">
      <c r="A59" s="13" t="s">
        <v>186</v>
      </c>
      <c r="B59" s="247" t="s">
        <v>409</v>
      </c>
      <c r="C59" s="408"/>
      <c r="D59" s="394">
        <f>SUM(E59:G59)</f>
        <v>0</v>
      </c>
      <c r="E59" s="324"/>
      <c r="F59" s="162"/>
      <c r="G59" s="162"/>
    </row>
    <row r="60" spans="1:7" s="352" customFormat="1" ht="12" customHeight="1" x14ac:dyDescent="0.2">
      <c r="A60" s="13" t="s">
        <v>208</v>
      </c>
      <c r="B60" s="247" t="s">
        <v>285</v>
      </c>
      <c r="C60" s="408">
        <v>4228000</v>
      </c>
      <c r="D60" s="802">
        <f>1200000+200000</f>
        <v>1400000</v>
      </c>
      <c r="E60" s="324"/>
      <c r="F60" s="162"/>
      <c r="G60" s="162"/>
    </row>
    <row r="61" spans="1:7" s="352" customFormat="1" ht="12" customHeight="1" thickBot="1" x14ac:dyDescent="0.25">
      <c r="A61" s="15" t="s">
        <v>283</v>
      </c>
      <c r="B61" s="155" t="s">
        <v>286</v>
      </c>
      <c r="C61" s="408"/>
      <c r="D61" s="395">
        <f>SUM(E61:G61)</f>
        <v>0</v>
      </c>
      <c r="E61" s="324"/>
      <c r="F61" s="162"/>
      <c r="G61" s="162"/>
    </row>
    <row r="62" spans="1:7" s="352" customFormat="1" ht="12" customHeight="1" thickBot="1" x14ac:dyDescent="0.25">
      <c r="A62" s="306" t="s">
        <v>535</v>
      </c>
      <c r="B62" s="20" t="s">
        <v>287</v>
      </c>
      <c r="C62" s="407">
        <f>+C5+C12+C19+C26+C34+C46+C52+C57</f>
        <v>2753207000</v>
      </c>
      <c r="D62" s="163">
        <f>D57+D52+D46+D34+D26+D19+D12+D5</f>
        <v>2981491094</v>
      </c>
      <c r="E62" s="355">
        <f>+E5+E12+E19+E26+E34+E46+E52+E57</f>
        <v>1438638329</v>
      </c>
      <c r="F62" s="163">
        <f>+F5+F12+F19+F26+F34+F46+F52+F57</f>
        <v>9416500</v>
      </c>
      <c r="G62" s="163">
        <f>+G5+G12+G19+G26+G34+G46+G52+G57</f>
        <v>395323178</v>
      </c>
    </row>
    <row r="63" spans="1:7" s="352" customFormat="1" ht="12" customHeight="1" thickBot="1" x14ac:dyDescent="0.25">
      <c r="A63" s="307" t="s">
        <v>288</v>
      </c>
      <c r="B63" s="153" t="s">
        <v>660</v>
      </c>
      <c r="C63" s="403">
        <f>SUM(C64:C66)</f>
        <v>160303000</v>
      </c>
      <c r="D63" s="755">
        <f>SUM(D64:D66)</f>
        <v>187500000</v>
      </c>
      <c r="E63" s="351">
        <f>SUM(E64:E66)</f>
        <v>144100000</v>
      </c>
      <c r="F63" s="158">
        <f>SUM(F64:F66)</f>
        <v>0</v>
      </c>
      <c r="G63" s="158">
        <f>SUM(G64:G66)</f>
        <v>0</v>
      </c>
    </row>
    <row r="64" spans="1:7" s="352" customFormat="1" ht="12" customHeight="1" x14ac:dyDescent="0.2">
      <c r="A64" s="14" t="s">
        <v>320</v>
      </c>
      <c r="B64" s="246" t="s">
        <v>290</v>
      </c>
      <c r="C64" s="408">
        <v>60303000</v>
      </c>
      <c r="D64" s="393">
        <f>SUM(E64:G64)+37900000+5500000</f>
        <v>87500000</v>
      </c>
      <c r="E64" s="324">
        <v>44100000</v>
      </c>
      <c r="F64" s="162"/>
      <c r="G64" s="162"/>
    </row>
    <row r="65" spans="1:7" s="352" customFormat="1" ht="12" customHeight="1" x14ac:dyDescent="0.2">
      <c r="A65" s="13" t="s">
        <v>329</v>
      </c>
      <c r="B65" s="247" t="s">
        <v>291</v>
      </c>
      <c r="C65" s="408">
        <v>100000000</v>
      </c>
      <c r="D65" s="394">
        <f>SUM(E65:G65)</f>
        <v>100000000</v>
      </c>
      <c r="E65" s="324">
        <v>100000000</v>
      </c>
      <c r="F65" s="162"/>
      <c r="G65" s="162"/>
    </row>
    <row r="66" spans="1:7" s="352" customFormat="1" ht="12" customHeight="1" thickBot="1" x14ac:dyDescent="0.25">
      <c r="A66" s="15" t="s">
        <v>330</v>
      </c>
      <c r="B66" s="308" t="s">
        <v>536</v>
      </c>
      <c r="C66" s="408"/>
      <c r="D66" s="395">
        <f>SUM(E66:G66)</f>
        <v>0</v>
      </c>
      <c r="E66" s="324"/>
      <c r="F66" s="162"/>
      <c r="G66" s="162"/>
    </row>
    <row r="67" spans="1:7" s="352" customFormat="1" ht="12" customHeight="1" thickBot="1" x14ac:dyDescent="0.25">
      <c r="A67" s="307" t="s">
        <v>293</v>
      </c>
      <c r="B67" s="153" t="s">
        <v>294</v>
      </c>
      <c r="C67" s="403">
        <f>SUM(C68:C71)</f>
        <v>0</v>
      </c>
      <c r="D67" s="325">
        <f>SUM(D68:D71)</f>
        <v>0</v>
      </c>
      <c r="E67" s="351">
        <f>SUM(E68:E71)</f>
        <v>0</v>
      </c>
      <c r="F67" s="158">
        <f>SUM(F68:F71)</f>
        <v>0</v>
      </c>
      <c r="G67" s="158">
        <f>SUM(G68:G71)</f>
        <v>0</v>
      </c>
    </row>
    <row r="68" spans="1:7" s="352" customFormat="1" ht="12" customHeight="1" x14ac:dyDescent="0.2">
      <c r="A68" s="14" t="s">
        <v>165</v>
      </c>
      <c r="B68" s="246" t="s">
        <v>295</v>
      </c>
      <c r="C68" s="408"/>
      <c r="D68" s="393">
        <f>SUM(E68:G68)</f>
        <v>0</v>
      </c>
      <c r="E68" s="324"/>
      <c r="F68" s="162"/>
      <c r="G68" s="162"/>
    </row>
    <row r="69" spans="1:7" s="352" customFormat="1" ht="17.25" customHeight="1" x14ac:dyDescent="0.2">
      <c r="A69" s="13" t="s">
        <v>166</v>
      </c>
      <c r="B69" s="247" t="s">
        <v>296</v>
      </c>
      <c r="C69" s="408"/>
      <c r="D69" s="394">
        <f>SUM(E69:G69)</f>
        <v>0</v>
      </c>
      <c r="E69" s="324"/>
      <c r="F69" s="162"/>
      <c r="G69" s="162"/>
    </row>
    <row r="70" spans="1:7" s="352" customFormat="1" ht="12" customHeight="1" x14ac:dyDescent="0.2">
      <c r="A70" s="13" t="s">
        <v>321</v>
      </c>
      <c r="B70" s="247" t="s">
        <v>297</v>
      </c>
      <c r="C70" s="408"/>
      <c r="D70" s="394">
        <f>SUM(E70:G70)</f>
        <v>0</v>
      </c>
      <c r="E70" s="324"/>
      <c r="F70" s="162"/>
      <c r="G70" s="162"/>
    </row>
    <row r="71" spans="1:7" s="352" customFormat="1" ht="12" customHeight="1" thickBot="1" x14ac:dyDescent="0.25">
      <c r="A71" s="15" t="s">
        <v>322</v>
      </c>
      <c r="B71" s="155" t="s">
        <v>298</v>
      </c>
      <c r="C71" s="408"/>
      <c r="D71" s="395">
        <f>SUM(E71:G71)</f>
        <v>0</v>
      </c>
      <c r="E71" s="324"/>
      <c r="F71" s="162"/>
      <c r="G71" s="162"/>
    </row>
    <row r="72" spans="1:7" s="352" customFormat="1" ht="12" customHeight="1" thickBot="1" x14ac:dyDescent="0.25">
      <c r="A72" s="307" t="s">
        <v>299</v>
      </c>
      <c r="B72" s="153" t="s">
        <v>300</v>
      </c>
      <c r="C72" s="403">
        <f>SUM(C73:C74)</f>
        <v>264948000</v>
      </c>
      <c r="D72" s="163">
        <f>SUM(D73:D74)</f>
        <v>292999415</v>
      </c>
      <c r="E72" s="351">
        <f>SUM(E73:E74)</f>
        <v>289331423</v>
      </c>
      <c r="F72" s="158">
        <f>SUM(F73:F74)</f>
        <v>447404</v>
      </c>
      <c r="G72" s="158">
        <f>SUM(G73:G74)</f>
        <v>3220588</v>
      </c>
    </row>
    <row r="73" spans="1:7" s="352" customFormat="1" ht="12" customHeight="1" x14ac:dyDescent="0.2">
      <c r="A73" s="14" t="s">
        <v>323</v>
      </c>
      <c r="B73" s="246" t="s">
        <v>301</v>
      </c>
      <c r="C73" s="408">
        <v>264948000</v>
      </c>
      <c r="D73" s="393">
        <f>SUM(E73:G73)</f>
        <v>292999415</v>
      </c>
      <c r="E73" s="324">
        <v>289331423</v>
      </c>
      <c r="F73" s="162">
        <v>447404</v>
      </c>
      <c r="G73" s="162">
        <v>3220588</v>
      </c>
    </row>
    <row r="74" spans="1:7" s="352" customFormat="1" ht="12" customHeight="1" thickBot="1" x14ac:dyDescent="0.25">
      <c r="A74" s="15" t="s">
        <v>324</v>
      </c>
      <c r="B74" s="155" t="s">
        <v>302</v>
      </c>
      <c r="C74" s="408"/>
      <c r="D74" s="395">
        <f>SUM(E74:G74)</f>
        <v>0</v>
      </c>
      <c r="E74" s="324"/>
      <c r="F74" s="162"/>
      <c r="G74" s="162"/>
    </row>
    <row r="75" spans="1:7" s="352" customFormat="1" ht="12" customHeight="1" thickBot="1" x14ac:dyDescent="0.25">
      <c r="A75" s="307" t="s">
        <v>303</v>
      </c>
      <c r="B75" s="153" t="s">
        <v>304</v>
      </c>
      <c r="C75" s="403">
        <f>SUM(C76:C78)</f>
        <v>0</v>
      </c>
      <c r="D75" s="325">
        <f>SUM(D76:D78)</f>
        <v>0</v>
      </c>
      <c r="E75" s="351">
        <f>SUM(E76:E78)</f>
        <v>0</v>
      </c>
      <c r="F75" s="158">
        <f>SUM(F76:F78)</f>
        <v>0</v>
      </c>
      <c r="G75" s="158">
        <f>SUM(G76:G78)</f>
        <v>0</v>
      </c>
    </row>
    <row r="76" spans="1:7" s="352" customFormat="1" ht="12" customHeight="1" x14ac:dyDescent="0.2">
      <c r="A76" s="14" t="s">
        <v>325</v>
      </c>
      <c r="B76" s="246" t="s">
        <v>305</v>
      </c>
      <c r="C76" s="408"/>
      <c r="D76" s="393">
        <f>SUM(E76:G76)</f>
        <v>0</v>
      </c>
      <c r="E76" s="324"/>
      <c r="F76" s="162"/>
      <c r="G76" s="162"/>
    </row>
    <row r="77" spans="1:7" s="352" customFormat="1" ht="12" customHeight="1" x14ac:dyDescent="0.2">
      <c r="A77" s="13" t="s">
        <v>326</v>
      </c>
      <c r="B77" s="247" t="s">
        <v>306</v>
      </c>
      <c r="C77" s="408"/>
      <c r="D77" s="394">
        <f>SUM(E77:G77)</f>
        <v>0</v>
      </c>
      <c r="E77" s="324"/>
      <c r="F77" s="162"/>
      <c r="G77" s="162"/>
    </row>
    <row r="78" spans="1:7" s="352" customFormat="1" ht="12" customHeight="1" thickBot="1" x14ac:dyDescent="0.25">
      <c r="A78" s="15" t="s">
        <v>327</v>
      </c>
      <c r="B78" s="155" t="s">
        <v>307</v>
      </c>
      <c r="C78" s="408"/>
      <c r="D78" s="395">
        <f>SUM(E78:G78)</f>
        <v>0</v>
      </c>
      <c r="E78" s="324"/>
      <c r="F78" s="162"/>
      <c r="G78" s="162"/>
    </row>
    <row r="79" spans="1:7" s="352" customFormat="1" ht="12" customHeight="1" thickBot="1" x14ac:dyDescent="0.25">
      <c r="A79" s="307" t="s">
        <v>308</v>
      </c>
      <c r="B79" s="153" t="s">
        <v>328</v>
      </c>
      <c r="C79" s="403">
        <f>SUM(C80:C83)</f>
        <v>0</v>
      </c>
      <c r="D79" s="325">
        <f>SUM(D80:D83)</f>
        <v>0</v>
      </c>
      <c r="E79" s="351">
        <f>SUM(E80:E83)</f>
        <v>0</v>
      </c>
      <c r="F79" s="158">
        <f>SUM(F80:F83)</f>
        <v>0</v>
      </c>
      <c r="G79" s="158">
        <f>SUM(G80:G83)</f>
        <v>0</v>
      </c>
    </row>
    <row r="80" spans="1:7" s="352" customFormat="1" ht="12" customHeight="1" x14ac:dyDescent="0.2">
      <c r="A80" s="250" t="s">
        <v>309</v>
      </c>
      <c r="B80" s="246" t="s">
        <v>310</v>
      </c>
      <c r="C80" s="408"/>
      <c r="D80" s="393">
        <f t="shared" ref="D80:D85" si="0">SUM(E80:G80)</f>
        <v>0</v>
      </c>
      <c r="E80" s="324"/>
      <c r="F80" s="162"/>
      <c r="G80" s="162"/>
    </row>
    <row r="81" spans="1:7" s="352" customFormat="1" ht="12" customHeight="1" x14ac:dyDescent="0.2">
      <c r="A81" s="251" t="s">
        <v>311</v>
      </c>
      <c r="B81" s="247" t="s">
        <v>312</v>
      </c>
      <c r="C81" s="408"/>
      <c r="D81" s="394">
        <f t="shared" si="0"/>
        <v>0</v>
      </c>
      <c r="E81" s="324"/>
      <c r="F81" s="162"/>
      <c r="G81" s="162"/>
    </row>
    <row r="82" spans="1:7" s="352" customFormat="1" ht="12" customHeight="1" x14ac:dyDescent="0.2">
      <c r="A82" s="251" t="s">
        <v>313</v>
      </c>
      <c r="B82" s="247" t="s">
        <v>314</v>
      </c>
      <c r="C82" s="408"/>
      <c r="D82" s="394">
        <f t="shared" si="0"/>
        <v>0</v>
      </c>
      <c r="E82" s="324"/>
      <c r="F82" s="162"/>
      <c r="G82" s="162"/>
    </row>
    <row r="83" spans="1:7" s="352" customFormat="1" ht="12" customHeight="1" thickBot="1" x14ac:dyDescent="0.25">
      <c r="A83" s="252" t="s">
        <v>315</v>
      </c>
      <c r="B83" s="155" t="s">
        <v>316</v>
      </c>
      <c r="C83" s="408"/>
      <c r="D83" s="395">
        <f t="shared" si="0"/>
        <v>0</v>
      </c>
      <c r="E83" s="324"/>
      <c r="F83" s="162"/>
      <c r="G83" s="162"/>
    </row>
    <row r="84" spans="1:7" s="352" customFormat="1" ht="12" customHeight="1" thickBot="1" x14ac:dyDescent="0.25">
      <c r="A84" s="307" t="s">
        <v>317</v>
      </c>
      <c r="B84" s="153" t="s">
        <v>537</v>
      </c>
      <c r="C84" s="411"/>
      <c r="D84" s="756">
        <f t="shared" si="0"/>
        <v>0</v>
      </c>
      <c r="E84" s="359"/>
      <c r="F84" s="285"/>
      <c r="G84" s="285"/>
    </row>
    <row r="85" spans="1:7" s="352" customFormat="1" ht="12" customHeight="1" thickBot="1" x14ac:dyDescent="0.25">
      <c r="A85" s="307" t="s">
        <v>319</v>
      </c>
      <c r="B85" s="153" t="s">
        <v>318</v>
      </c>
      <c r="C85" s="411"/>
      <c r="D85" s="163">
        <f t="shared" si="0"/>
        <v>0</v>
      </c>
      <c r="E85" s="359"/>
      <c r="F85" s="285"/>
      <c r="G85" s="285"/>
    </row>
    <row r="86" spans="1:7" s="352" customFormat="1" ht="12" customHeight="1" thickBot="1" x14ac:dyDescent="0.25">
      <c r="A86" s="307" t="s">
        <v>331</v>
      </c>
      <c r="B86" s="253" t="s">
        <v>538</v>
      </c>
      <c r="C86" s="407">
        <f>+C63+C67+C72+C75+C79+C85+C84</f>
        <v>425251000</v>
      </c>
      <c r="D86" s="163">
        <f>D85+D84+D79+D75+D72+D67+D63</f>
        <v>480499415</v>
      </c>
      <c r="E86" s="355">
        <f>+E63+E67+E72+E75+E79+E85+E84</f>
        <v>433431423</v>
      </c>
      <c r="F86" s="163">
        <f>+F63+F67+F72+F75+F79+F85+F84</f>
        <v>447404</v>
      </c>
      <c r="G86" s="163">
        <f>+G63+G67+G72+G75+G79+G85+G84</f>
        <v>3220588</v>
      </c>
    </row>
    <row r="87" spans="1:7" s="352" customFormat="1" ht="12" customHeight="1" thickBot="1" x14ac:dyDescent="0.25">
      <c r="A87" s="309" t="s">
        <v>539</v>
      </c>
      <c r="B87" s="254" t="s">
        <v>540</v>
      </c>
      <c r="C87" s="407">
        <f>+C62+C86</f>
        <v>3178458000</v>
      </c>
      <c r="D87" s="163">
        <f>D62+D86</f>
        <v>3461990509</v>
      </c>
      <c r="E87" s="355">
        <f>+E62+E86</f>
        <v>1872069752</v>
      </c>
      <c r="F87" s="163">
        <f>+F62+F86</f>
        <v>9863904</v>
      </c>
      <c r="G87" s="163">
        <f>+G62+G86</f>
        <v>398543766</v>
      </c>
    </row>
    <row r="88" spans="1:7" s="352" customFormat="1" ht="12" customHeight="1" x14ac:dyDescent="0.2">
      <c r="A88" s="360"/>
      <c r="B88" s="361"/>
      <c r="C88" s="362"/>
      <c r="D88" s="415"/>
    </row>
    <row r="89" spans="1:7" s="352" customFormat="1" ht="12" customHeight="1" x14ac:dyDescent="0.2">
      <c r="A89" s="954" t="s">
        <v>74</v>
      </c>
      <c r="B89" s="954"/>
      <c r="C89" s="954"/>
      <c r="D89" s="954"/>
    </row>
    <row r="90" spans="1:7" s="352" customFormat="1" ht="12" customHeight="1" thickBot="1" x14ac:dyDescent="0.25">
      <c r="A90" s="955" t="s">
        <v>168</v>
      </c>
      <c r="B90" s="955"/>
      <c r="C90" s="347"/>
      <c r="D90" s="167" t="str">
        <f>D2</f>
        <v>Forintban!</v>
      </c>
    </row>
    <row r="91" spans="1:7" s="352" customFormat="1" ht="24" customHeight="1" thickBot="1" x14ac:dyDescent="0.25">
      <c r="A91" s="22" t="s">
        <v>43</v>
      </c>
      <c r="B91" s="23" t="s">
        <v>75</v>
      </c>
      <c r="C91" s="23" t="str">
        <f>+C3</f>
        <v>2016. évi módosított előirányzat</v>
      </c>
      <c r="D91" s="35" t="str">
        <f>+D3</f>
        <v>2017. évi előirányzat</v>
      </c>
    </row>
    <row r="92" spans="1:7" s="352" customFormat="1" ht="12" customHeight="1" thickBot="1" x14ac:dyDescent="0.25">
      <c r="A92" s="31" t="s">
        <v>524</v>
      </c>
      <c r="B92" s="32" t="s">
        <v>525</v>
      </c>
      <c r="C92" s="32" t="s">
        <v>579</v>
      </c>
      <c r="D92" s="240" t="s">
        <v>526</v>
      </c>
    </row>
    <row r="93" spans="1:7" s="352" customFormat="1" ht="15" customHeight="1" thickBot="1" x14ac:dyDescent="0.25">
      <c r="A93" s="21" t="s">
        <v>45</v>
      </c>
      <c r="B93" s="25" t="s">
        <v>578</v>
      </c>
      <c r="C93" s="416">
        <f>C94+C95+C96+C97+C98+C111</f>
        <v>2906143000</v>
      </c>
      <c r="D93" s="421">
        <f>SUM(D94:D98)+SUM(D111)</f>
        <v>2571441521</v>
      </c>
      <c r="E93" s="363">
        <f>+E94+E95+E96+E97+E98+E111</f>
        <v>370628367</v>
      </c>
      <c r="F93" s="157">
        <f>+F94+F95+F96+F97+F98+F111</f>
        <v>223822850</v>
      </c>
      <c r="G93" s="385">
        <f>G94+G95+G96+G97+G98+G111</f>
        <v>1388014694</v>
      </c>
    </row>
    <row r="94" spans="1:7" s="352" customFormat="1" ht="12.95" customHeight="1" x14ac:dyDescent="0.2">
      <c r="A94" s="16" t="s">
        <v>121</v>
      </c>
      <c r="B94" s="9" t="s">
        <v>76</v>
      </c>
      <c r="C94" s="412">
        <v>1371432000</v>
      </c>
      <c r="D94" s="805">
        <f>SUM(E94:G94)+252096521+85501355+27232396-1393308+7410662+5711096+12960546+166800</f>
        <v>1093963055</v>
      </c>
      <c r="E94" s="388">
        <f>25364000+485000+6010000+3749000+165142000+48000+105000-275033584</f>
        <v>-74130584</v>
      </c>
      <c r="F94" s="333">
        <v>119212000</v>
      </c>
      <c r="G94" s="342">
        <v>659195571</v>
      </c>
    </row>
    <row r="95" spans="1:7" ht="16.5" customHeight="1" x14ac:dyDescent="0.25">
      <c r="A95" s="13" t="s">
        <v>122</v>
      </c>
      <c r="B95" s="7" t="s">
        <v>187</v>
      </c>
      <c r="C95" s="405">
        <v>295923000</v>
      </c>
      <c r="D95" s="806">
        <f>SUM(E95:G95)+28812821+9405149+5800271-280382+2089507-570939+1438961+3013037+175648</f>
        <v>232171042</v>
      </c>
      <c r="E95" s="324">
        <f>5239000+143000+1233000+14000+1652000+19299000+10000+23000-28480392</f>
        <v>-867392</v>
      </c>
      <c r="F95" s="162">
        <v>28323500</v>
      </c>
      <c r="G95" s="326">
        <v>154830861</v>
      </c>
    </row>
    <row r="96" spans="1:7" x14ac:dyDescent="0.25">
      <c r="A96" s="13" t="s">
        <v>123</v>
      </c>
      <c r="B96" s="7" t="s">
        <v>157</v>
      </c>
      <c r="C96" s="406">
        <v>893999000</v>
      </c>
      <c r="D96" s="806">
        <f>SUM(E96:G96)+41579904+1600000+22320920+28158088+9295882+11813400+570939+10565807+4029458+20547308</f>
        <v>983158853</v>
      </c>
      <c r="E96" s="328">
        <f>11475000+835000+4801000+2722822+944166+8715000+1817000+17736000+735000+300000+8485000+34925000+628800+40773000+3429000+11212000+576000+3351000+1682000+16980000+46750042+1200000+4573000+1350000+376000-19720295</f>
        <v>206651535</v>
      </c>
      <c r="F96" s="235">
        <v>52037350</v>
      </c>
      <c r="G96" s="326">
        <v>573988262</v>
      </c>
    </row>
    <row r="97" spans="1:7" s="349" customFormat="1" ht="12" customHeight="1" x14ac:dyDescent="0.2">
      <c r="A97" s="13" t="s">
        <v>124</v>
      </c>
      <c r="B97" s="10" t="s">
        <v>188</v>
      </c>
      <c r="C97" s="406">
        <v>76171000</v>
      </c>
      <c r="D97" s="806">
        <f>SUM(E97:G97)-6901260-4000000</f>
        <v>79248740</v>
      </c>
      <c r="E97" s="328">
        <f>70980000-5080000</f>
        <v>65900000</v>
      </c>
      <c r="F97" s="235">
        <v>24250000</v>
      </c>
      <c r="G97" s="341"/>
    </row>
    <row r="98" spans="1:7" ht="12" customHeight="1" x14ac:dyDescent="0.25">
      <c r="A98" s="13" t="s">
        <v>135</v>
      </c>
      <c r="B98" s="18" t="s">
        <v>189</v>
      </c>
      <c r="C98" s="406">
        <v>183928000</v>
      </c>
      <c r="D98" s="427">
        <f>SUM(D99:D110)</f>
        <v>85130011</v>
      </c>
      <c r="E98" s="328">
        <f>SUM(E99:E110)</f>
        <v>43566000</v>
      </c>
      <c r="F98" s="235">
        <f>SUM(F99:F110)</f>
        <v>0</v>
      </c>
      <c r="G98" s="341"/>
    </row>
    <row r="99" spans="1:7" ht="12" customHeight="1" x14ac:dyDescent="0.25">
      <c r="A99" s="13" t="s">
        <v>125</v>
      </c>
      <c r="B99" s="7" t="s">
        <v>541</v>
      </c>
      <c r="C99" s="406">
        <v>6599000</v>
      </c>
      <c r="D99" s="427">
        <f>SUM(E99:G99)+1500+7242044+114463+2792500+6504</f>
        <v>10157011</v>
      </c>
      <c r="E99" s="328"/>
      <c r="F99" s="235"/>
      <c r="G99" s="341"/>
    </row>
    <row r="100" spans="1:7" ht="12" customHeight="1" x14ac:dyDescent="0.25">
      <c r="A100" s="13" t="s">
        <v>126</v>
      </c>
      <c r="B100" s="90" t="s">
        <v>542</v>
      </c>
      <c r="C100" s="406"/>
      <c r="D100" s="427">
        <f>SUM(E100:G100)</f>
        <v>0</v>
      </c>
      <c r="E100" s="328"/>
      <c r="F100" s="235"/>
      <c r="G100" s="341"/>
    </row>
    <row r="101" spans="1:7" ht="12" customHeight="1" x14ac:dyDescent="0.25">
      <c r="A101" s="13" t="s">
        <v>136</v>
      </c>
      <c r="B101" s="90" t="s">
        <v>543</v>
      </c>
      <c r="C101" s="406"/>
      <c r="D101" s="427">
        <f>SUM(E101:G101)</f>
        <v>0</v>
      </c>
      <c r="E101" s="328"/>
      <c r="F101" s="235"/>
      <c r="G101" s="341"/>
    </row>
    <row r="102" spans="1:7" ht="12" customHeight="1" x14ac:dyDescent="0.25">
      <c r="A102" s="13" t="s">
        <v>137</v>
      </c>
      <c r="B102" s="88" t="s">
        <v>334</v>
      </c>
      <c r="C102" s="406"/>
      <c r="D102" s="427">
        <f>SUM(E102:G102)</f>
        <v>0</v>
      </c>
      <c r="E102" s="328"/>
      <c r="F102" s="235"/>
      <c r="G102" s="341"/>
    </row>
    <row r="103" spans="1:7" ht="12" customHeight="1" x14ac:dyDescent="0.25">
      <c r="A103" s="13" t="s">
        <v>138</v>
      </c>
      <c r="B103" s="89" t="s">
        <v>335</v>
      </c>
      <c r="C103" s="406"/>
      <c r="D103" s="427">
        <f>SUM(E103:G103)</f>
        <v>0</v>
      </c>
      <c r="E103" s="328"/>
      <c r="F103" s="235"/>
      <c r="G103" s="341"/>
    </row>
    <row r="104" spans="1:7" ht="12" customHeight="1" x14ac:dyDescent="0.25">
      <c r="A104" s="13" t="s">
        <v>139</v>
      </c>
      <c r="B104" s="89" t="s">
        <v>336</v>
      </c>
      <c r="C104" s="406"/>
      <c r="D104" s="427">
        <f>SUM(E104:G104)</f>
        <v>0</v>
      </c>
      <c r="E104" s="328"/>
      <c r="F104" s="235"/>
      <c r="G104" s="341"/>
    </row>
    <row r="105" spans="1:7" ht="12" customHeight="1" x14ac:dyDescent="0.25">
      <c r="A105" s="13" t="s">
        <v>141</v>
      </c>
      <c r="B105" s="88" t="s">
        <v>337</v>
      </c>
      <c r="C105" s="406">
        <v>113427000</v>
      </c>
      <c r="D105" s="427">
        <f>SUM(E105:G105)+60754-60754</f>
        <v>0</v>
      </c>
      <c r="E105" s="328"/>
      <c r="F105" s="235"/>
      <c r="G105" s="341"/>
    </row>
    <row r="106" spans="1:7" ht="12" customHeight="1" x14ac:dyDescent="0.25">
      <c r="A106" s="13" t="s">
        <v>190</v>
      </c>
      <c r="B106" s="88" t="s">
        <v>338</v>
      </c>
      <c r="C106" s="406"/>
      <c r="D106" s="427">
        <f>SUM(E106:G106)</f>
        <v>0</v>
      </c>
      <c r="E106" s="328"/>
      <c r="F106" s="235"/>
      <c r="G106" s="341"/>
    </row>
    <row r="107" spans="1:7" ht="12" customHeight="1" x14ac:dyDescent="0.25">
      <c r="A107" s="13" t="s">
        <v>332</v>
      </c>
      <c r="B107" s="89" t="s">
        <v>339</v>
      </c>
      <c r="C107" s="406"/>
      <c r="D107" s="427">
        <f>SUM(E107:G107)</f>
        <v>0</v>
      </c>
      <c r="E107" s="328"/>
      <c r="F107" s="235"/>
      <c r="G107" s="341"/>
    </row>
    <row r="108" spans="1:7" ht="12" customHeight="1" x14ac:dyDescent="0.25">
      <c r="A108" s="12" t="s">
        <v>333</v>
      </c>
      <c r="B108" s="90" t="s">
        <v>340</v>
      </c>
      <c r="C108" s="406"/>
      <c r="D108" s="427">
        <f>SUM(E108:G108)</f>
        <v>0</v>
      </c>
      <c r="E108" s="328"/>
      <c r="F108" s="235"/>
      <c r="G108" s="341"/>
    </row>
    <row r="109" spans="1:7" ht="12" customHeight="1" x14ac:dyDescent="0.25">
      <c r="A109" s="13" t="s">
        <v>544</v>
      </c>
      <c r="B109" s="90" t="s">
        <v>341</v>
      </c>
      <c r="C109" s="406"/>
      <c r="D109" s="427">
        <f>SUM(E109:G109)</f>
        <v>0</v>
      </c>
      <c r="E109" s="328"/>
      <c r="F109" s="235"/>
      <c r="G109" s="341"/>
    </row>
    <row r="110" spans="1:7" ht="12" customHeight="1" x14ac:dyDescent="0.25">
      <c r="A110" s="15" t="s">
        <v>545</v>
      </c>
      <c r="B110" s="90" t="s">
        <v>342</v>
      </c>
      <c r="C110" s="406">
        <v>63902000</v>
      </c>
      <c r="D110" s="806">
        <f>SUM(E110:G110)+3500000+6600000+2000000+16082000+3225000+3000000-3000000</f>
        <v>74973000</v>
      </c>
      <c r="E110" s="324">
        <f>536000+11389000+8562000+16678000+6401000</f>
        <v>43566000</v>
      </c>
      <c r="F110" s="162"/>
      <c r="G110" s="341"/>
    </row>
    <row r="111" spans="1:7" ht="12" customHeight="1" x14ac:dyDescent="0.25">
      <c r="A111" s="13" t="s">
        <v>546</v>
      </c>
      <c r="B111" s="10" t="s">
        <v>77</v>
      </c>
      <c r="C111" s="405">
        <v>84690000</v>
      </c>
      <c r="D111" s="427">
        <f>SUM(D112:D113)</f>
        <v>97769820</v>
      </c>
      <c r="E111" s="324">
        <f>E112+E113</f>
        <v>129508808</v>
      </c>
      <c r="F111" s="162"/>
      <c r="G111" s="326">
        <f>G112+G113</f>
        <v>0</v>
      </c>
    </row>
    <row r="112" spans="1:7" ht="12" customHeight="1" x14ac:dyDescent="0.25">
      <c r="A112" s="13" t="s">
        <v>547</v>
      </c>
      <c r="B112" s="7" t="s">
        <v>548</v>
      </c>
      <c r="C112" s="405">
        <v>908000</v>
      </c>
      <c r="D112" s="806">
        <f>SUM(E112:G112)-9172313+8719388-4010722-1042502-1846399+5485909+8185627+3000000</f>
        <v>30975496</v>
      </c>
      <c r="E112" s="328">
        <f>20000000+1656508</f>
        <v>21656508</v>
      </c>
      <c r="F112" s="235"/>
      <c r="G112" s="326"/>
    </row>
    <row r="113" spans="1:7" ht="12" customHeight="1" thickBot="1" x14ac:dyDescent="0.3">
      <c r="A113" s="17" t="s">
        <v>549</v>
      </c>
      <c r="B113" s="310" t="s">
        <v>550</v>
      </c>
      <c r="C113" s="413">
        <v>83782000</v>
      </c>
      <c r="D113" s="807">
        <f>SUM(E113:G113)-8373330-1600000-8539600-6323156-7948000-7343244+31158286-32066515+411581-433998</f>
        <v>66794324</v>
      </c>
      <c r="E113" s="389">
        <f>110613300+500000-3261000</f>
        <v>107852300</v>
      </c>
      <c r="F113" s="345"/>
      <c r="G113" s="343"/>
    </row>
    <row r="114" spans="1:7" ht="12" customHeight="1" thickBot="1" x14ac:dyDescent="0.3">
      <c r="A114" s="311" t="s">
        <v>46</v>
      </c>
      <c r="B114" s="312" t="s">
        <v>343</v>
      </c>
      <c r="C114" s="417">
        <f>+C115+C117+C119</f>
        <v>135468000</v>
      </c>
      <c r="D114" s="421">
        <f>D115+D117+D119</f>
        <v>752223056</v>
      </c>
      <c r="E114" s="351">
        <f>+E115+E117+E119</f>
        <v>150430581</v>
      </c>
      <c r="F114" s="158">
        <f>+F115+F117+F119</f>
        <v>1901000</v>
      </c>
      <c r="G114" s="313">
        <f>+G115+G117+G119</f>
        <v>9272287</v>
      </c>
    </row>
    <row r="115" spans="1:7" ht="12" customHeight="1" x14ac:dyDescent="0.25">
      <c r="A115" s="14" t="s">
        <v>127</v>
      </c>
      <c r="B115" s="7" t="s">
        <v>207</v>
      </c>
      <c r="C115" s="404">
        <v>78647000</v>
      </c>
      <c r="D115" s="805">
        <f>SUM(E115:G115)+15239176+979170-265000+63976+93988736+220065714+8904148-1752617</f>
        <v>366184004</v>
      </c>
      <c r="E115" s="358">
        <f>6621000+2963001+787402+10624171+3081125+300001+529000+1654000+447000+2237000+90200+6604000+301000+204000-18155486</f>
        <v>18287414</v>
      </c>
      <c r="F115" s="284">
        <v>1901000</v>
      </c>
      <c r="G115" s="344">
        <v>8772287</v>
      </c>
    </row>
    <row r="116" spans="1:7" x14ac:dyDescent="0.25">
      <c r="A116" s="14" t="s">
        <v>128</v>
      </c>
      <c r="B116" s="11" t="s">
        <v>347</v>
      </c>
      <c r="C116" s="404"/>
      <c r="D116" s="806">
        <f>SUM(E116:G116)-1000000+87765636+214128350+2959448</f>
        <v>318346132</v>
      </c>
      <c r="E116" s="358">
        <v>14492698</v>
      </c>
      <c r="F116" s="284"/>
      <c r="G116" s="344"/>
    </row>
    <row r="117" spans="1:7" ht="12" customHeight="1" x14ac:dyDescent="0.25">
      <c r="A117" s="14" t="s">
        <v>129</v>
      </c>
      <c r="B117" s="11" t="s">
        <v>191</v>
      </c>
      <c r="C117" s="405">
        <v>46476000</v>
      </c>
      <c r="D117" s="427">
        <f>SUM(E117:G117)-134607+7509510+735000+1000000+839841+49594413+188498728</f>
        <v>337534552</v>
      </c>
      <c r="E117" s="324">
        <f>53340000+21000000+1513000+2996000+809000+9333667</f>
        <v>88991667</v>
      </c>
      <c r="F117" s="162"/>
      <c r="G117" s="326">
        <v>500000</v>
      </c>
    </row>
    <row r="118" spans="1:7" ht="12" customHeight="1" x14ac:dyDescent="0.25">
      <c r="A118" s="14" t="s">
        <v>130</v>
      </c>
      <c r="B118" s="11" t="s">
        <v>348</v>
      </c>
      <c r="C118" s="405"/>
      <c r="D118" s="427">
        <f>SUM(E118:G118)+1000000+3795044+189429682-203244</f>
        <v>247361482</v>
      </c>
      <c r="E118" s="324">
        <v>53340000</v>
      </c>
      <c r="F118" s="337"/>
      <c r="G118" s="324"/>
    </row>
    <row r="119" spans="1:7" ht="12" customHeight="1" x14ac:dyDescent="0.25">
      <c r="A119" s="14" t="s">
        <v>131</v>
      </c>
      <c r="B119" s="155" t="s">
        <v>209</v>
      </c>
      <c r="C119" s="405">
        <v>10345000</v>
      </c>
      <c r="D119" s="427">
        <f>SUM(D120:D127)</f>
        <v>48504500</v>
      </c>
      <c r="E119" s="324">
        <f>SUM(E120:E127)</f>
        <v>43151500</v>
      </c>
      <c r="F119" s="324"/>
      <c r="G119" s="324"/>
    </row>
    <row r="120" spans="1:7" ht="12" customHeight="1" x14ac:dyDescent="0.25">
      <c r="A120" s="14" t="s">
        <v>140</v>
      </c>
      <c r="B120" s="154" t="s">
        <v>410</v>
      </c>
      <c r="C120" s="405"/>
      <c r="D120" s="427">
        <f t="shared" ref="D120:D126" si="1">SUM(E120:G120)</f>
        <v>0</v>
      </c>
      <c r="E120" s="145"/>
      <c r="F120" s="145"/>
      <c r="G120" s="324"/>
    </row>
    <row r="121" spans="1:7" ht="12" customHeight="1" x14ac:dyDescent="0.25">
      <c r="A121" s="14" t="s">
        <v>142</v>
      </c>
      <c r="B121" s="242" t="s">
        <v>353</v>
      </c>
      <c r="C121" s="405"/>
      <c r="D121" s="427">
        <f t="shared" si="1"/>
        <v>0</v>
      </c>
      <c r="E121" s="145"/>
      <c r="F121" s="145"/>
      <c r="G121" s="324"/>
    </row>
    <row r="122" spans="1:7" ht="12" customHeight="1" x14ac:dyDescent="0.25">
      <c r="A122" s="14" t="s">
        <v>192</v>
      </c>
      <c r="B122" s="89" t="s">
        <v>336</v>
      </c>
      <c r="C122" s="405"/>
      <c r="D122" s="427">
        <f t="shared" si="1"/>
        <v>0</v>
      </c>
      <c r="E122" s="145"/>
      <c r="F122" s="145"/>
      <c r="G122" s="324"/>
    </row>
    <row r="123" spans="1:7" ht="12" customHeight="1" x14ac:dyDescent="0.25">
      <c r="A123" s="14" t="s">
        <v>193</v>
      </c>
      <c r="B123" s="89" t="s">
        <v>352</v>
      </c>
      <c r="C123" s="405"/>
      <c r="D123" s="427">
        <f t="shared" si="1"/>
        <v>0</v>
      </c>
      <c r="E123" s="145"/>
      <c r="F123" s="145"/>
      <c r="G123" s="324"/>
    </row>
    <row r="124" spans="1:7" ht="12" customHeight="1" x14ac:dyDescent="0.25">
      <c r="A124" s="14" t="s">
        <v>194</v>
      </c>
      <c r="B124" s="89" t="s">
        <v>351</v>
      </c>
      <c r="C124" s="405"/>
      <c r="D124" s="427">
        <f t="shared" si="1"/>
        <v>0</v>
      </c>
      <c r="E124" s="145"/>
      <c r="F124" s="145"/>
      <c r="G124" s="324"/>
    </row>
    <row r="125" spans="1:7" ht="12" customHeight="1" x14ac:dyDescent="0.25">
      <c r="A125" s="14" t="s">
        <v>344</v>
      </c>
      <c r="B125" s="89" t="s">
        <v>339</v>
      </c>
      <c r="C125" s="405"/>
      <c r="D125" s="427">
        <f>SUM(E125:G125)+5000</f>
        <v>5000</v>
      </c>
      <c r="E125" s="145"/>
      <c r="F125" s="145"/>
      <c r="G125" s="324"/>
    </row>
    <row r="126" spans="1:7" ht="12" customHeight="1" x14ac:dyDescent="0.25">
      <c r="A126" s="14" t="s">
        <v>345</v>
      </c>
      <c r="B126" s="89" t="s">
        <v>350</v>
      </c>
      <c r="C126" s="405"/>
      <c r="D126" s="427">
        <f t="shared" si="1"/>
        <v>0</v>
      </c>
      <c r="E126" s="145"/>
      <c r="F126" s="145"/>
      <c r="G126" s="324"/>
    </row>
    <row r="127" spans="1:7" ht="12" customHeight="1" thickBot="1" x14ac:dyDescent="0.3">
      <c r="A127" s="12" t="s">
        <v>346</v>
      </c>
      <c r="B127" s="89" t="s">
        <v>349</v>
      </c>
      <c r="C127" s="406">
        <v>10345000</v>
      </c>
      <c r="D127" s="807">
        <f>SUM(E127:G127)+2400000+1348000+600000+1000000</f>
        <v>48499500</v>
      </c>
      <c r="E127" s="328">
        <f>42072000+1079500</f>
        <v>43151500</v>
      </c>
      <c r="F127" s="328"/>
      <c r="G127" s="328"/>
    </row>
    <row r="128" spans="1:7" ht="12" customHeight="1" thickBot="1" x14ac:dyDescent="0.3">
      <c r="A128" s="19" t="s">
        <v>47</v>
      </c>
      <c r="B128" s="84" t="s">
        <v>551</v>
      </c>
      <c r="C128" s="350">
        <f>+C93+C114</f>
        <v>3041611000</v>
      </c>
      <c r="D128" s="421">
        <f>D114+D93</f>
        <v>3323664577</v>
      </c>
      <c r="E128" s="351">
        <f>+E93+E114</f>
        <v>521058948</v>
      </c>
      <c r="F128" s="158">
        <f>+F93+F114</f>
        <v>225723850</v>
      </c>
      <c r="G128" s="158">
        <f>+G93+G114</f>
        <v>1397286981</v>
      </c>
    </row>
    <row r="129" spans="1:7" ht="12" customHeight="1" thickBot="1" x14ac:dyDescent="0.3">
      <c r="A129" s="19" t="s">
        <v>48</v>
      </c>
      <c r="B129" s="84" t="s">
        <v>552</v>
      </c>
      <c r="C129" s="350">
        <f>+C130+C131+C132</f>
        <v>103545000</v>
      </c>
      <c r="D129" s="421">
        <f>SUM(D130:D132)</f>
        <v>103161000</v>
      </c>
      <c r="E129" s="351">
        <f>+E130+E131+E132</f>
        <v>103161000</v>
      </c>
      <c r="F129" s="158">
        <f>+F130+F131+F132</f>
        <v>0</v>
      </c>
      <c r="G129" s="158">
        <f>+G130+G131+G132</f>
        <v>0</v>
      </c>
    </row>
    <row r="130" spans="1:7" ht="12" customHeight="1" x14ac:dyDescent="0.25">
      <c r="A130" s="14" t="s">
        <v>244</v>
      </c>
      <c r="B130" s="11" t="s">
        <v>553</v>
      </c>
      <c r="C130" s="405">
        <v>3545000</v>
      </c>
      <c r="D130" s="423">
        <f>SUM(E130:G130)</f>
        <v>3161000</v>
      </c>
      <c r="E130" s="324">
        <v>3161000</v>
      </c>
      <c r="F130" s="324"/>
      <c r="G130" s="324"/>
    </row>
    <row r="131" spans="1:7" ht="12" customHeight="1" x14ac:dyDescent="0.25">
      <c r="A131" s="14" t="s">
        <v>247</v>
      </c>
      <c r="B131" s="11" t="s">
        <v>554</v>
      </c>
      <c r="C131" s="405">
        <v>100000000</v>
      </c>
      <c r="D131" s="422">
        <f>SUM(E131:G131)</f>
        <v>100000000</v>
      </c>
      <c r="E131" s="145">
        <v>100000000</v>
      </c>
      <c r="F131" s="145"/>
      <c r="G131" s="145"/>
    </row>
    <row r="132" spans="1:7" ht="12" customHeight="1" thickBot="1" x14ac:dyDescent="0.3">
      <c r="A132" s="12" t="s">
        <v>248</v>
      </c>
      <c r="B132" s="11" t="s">
        <v>555</v>
      </c>
      <c r="C132" s="405"/>
      <c r="D132" s="424">
        <f>SUM(E132:G132)</f>
        <v>0</v>
      </c>
      <c r="E132" s="145"/>
      <c r="F132" s="145"/>
      <c r="G132" s="145"/>
    </row>
    <row r="133" spans="1:7" ht="12" customHeight="1" thickBot="1" x14ac:dyDescent="0.3">
      <c r="A133" s="19" t="s">
        <v>49</v>
      </c>
      <c r="B133" s="84" t="s">
        <v>556</v>
      </c>
      <c r="C133" s="350">
        <f>SUM(C134:C139)</f>
        <v>0</v>
      </c>
      <c r="D133" s="425">
        <f>SUM(D134:D139)</f>
        <v>0</v>
      </c>
      <c r="E133" s="351">
        <f>+E134+E135+E136+E137+E138+E139</f>
        <v>0</v>
      </c>
      <c r="F133" s="158">
        <f>+F134+F135+F136+F137+F138+F139</f>
        <v>0</v>
      </c>
      <c r="G133" s="158">
        <f>SUM(G134:G139)</f>
        <v>0</v>
      </c>
    </row>
    <row r="134" spans="1:7" ht="12" customHeight="1" x14ac:dyDescent="0.25">
      <c r="A134" s="14" t="s">
        <v>114</v>
      </c>
      <c r="B134" s="8" t="s">
        <v>557</v>
      </c>
      <c r="C134" s="405"/>
      <c r="D134" s="423">
        <f t="shared" ref="D134:D139" si="2">SUM(E134:G134)</f>
        <v>0</v>
      </c>
      <c r="E134" s="145"/>
      <c r="F134" s="145"/>
      <c r="G134" s="145"/>
    </row>
    <row r="135" spans="1:7" ht="12" customHeight="1" x14ac:dyDescent="0.25">
      <c r="A135" s="14" t="s">
        <v>115</v>
      </c>
      <c r="B135" s="8" t="s">
        <v>558</v>
      </c>
      <c r="C135" s="405"/>
      <c r="D135" s="422">
        <f t="shared" si="2"/>
        <v>0</v>
      </c>
      <c r="E135" s="145"/>
      <c r="F135" s="145"/>
      <c r="G135" s="145"/>
    </row>
    <row r="136" spans="1:7" ht="12" customHeight="1" x14ac:dyDescent="0.25">
      <c r="A136" s="14" t="s">
        <v>116</v>
      </c>
      <c r="B136" s="8" t="s">
        <v>559</v>
      </c>
      <c r="C136" s="405"/>
      <c r="D136" s="422">
        <f t="shared" si="2"/>
        <v>0</v>
      </c>
      <c r="E136" s="145"/>
      <c r="F136" s="145"/>
      <c r="G136" s="145"/>
    </row>
    <row r="137" spans="1:7" ht="12" customHeight="1" x14ac:dyDescent="0.25">
      <c r="A137" s="14" t="s">
        <v>179</v>
      </c>
      <c r="B137" s="8" t="s">
        <v>560</v>
      </c>
      <c r="C137" s="405"/>
      <c r="D137" s="422">
        <f t="shared" si="2"/>
        <v>0</v>
      </c>
      <c r="E137" s="145"/>
      <c r="F137" s="145"/>
      <c r="G137" s="145"/>
    </row>
    <row r="138" spans="1:7" ht="12" customHeight="1" x14ac:dyDescent="0.25">
      <c r="A138" s="14" t="s">
        <v>180</v>
      </c>
      <c r="B138" s="8" t="s">
        <v>561</v>
      </c>
      <c r="C138" s="405"/>
      <c r="D138" s="422">
        <f t="shared" si="2"/>
        <v>0</v>
      </c>
      <c r="E138" s="145"/>
      <c r="F138" s="145"/>
      <c r="G138" s="145"/>
    </row>
    <row r="139" spans="1:7" ht="12" customHeight="1" thickBot="1" x14ac:dyDescent="0.3">
      <c r="A139" s="12" t="s">
        <v>181</v>
      </c>
      <c r="B139" s="8" t="s">
        <v>562</v>
      </c>
      <c r="C139" s="405"/>
      <c r="D139" s="424">
        <f t="shared" si="2"/>
        <v>0</v>
      </c>
      <c r="E139" s="145"/>
      <c r="F139" s="145"/>
      <c r="G139" s="145"/>
    </row>
    <row r="140" spans="1:7" ht="12" customHeight="1" thickBot="1" x14ac:dyDescent="0.3">
      <c r="A140" s="19" t="s">
        <v>50</v>
      </c>
      <c r="B140" s="84" t="s">
        <v>563</v>
      </c>
      <c r="C140" s="354">
        <f>+C141+C142+C143+C144</f>
        <v>33302000</v>
      </c>
      <c r="D140" s="421">
        <f>SUM(D141:D144)</f>
        <v>35164932</v>
      </c>
      <c r="E140" s="355">
        <f>+E141+E142+E143+E144</f>
        <v>35164932</v>
      </c>
      <c r="F140" s="163">
        <f>+F141+F142+F143+F144</f>
        <v>0</v>
      </c>
      <c r="G140" s="163">
        <f>+G141+G142+G143+G144</f>
        <v>0</v>
      </c>
    </row>
    <row r="141" spans="1:7" ht="12" customHeight="1" x14ac:dyDescent="0.25">
      <c r="A141" s="14" t="s">
        <v>117</v>
      </c>
      <c r="B141" s="8" t="s">
        <v>354</v>
      </c>
      <c r="C141" s="405"/>
      <c r="D141" s="423">
        <f>SUM(E141:G141)</f>
        <v>0</v>
      </c>
      <c r="E141" s="145"/>
      <c r="F141" s="145"/>
      <c r="G141" s="145"/>
    </row>
    <row r="142" spans="1:7" ht="12" customHeight="1" x14ac:dyDescent="0.25">
      <c r="A142" s="14" t="s">
        <v>118</v>
      </c>
      <c r="B142" s="8" t="s">
        <v>355</v>
      </c>
      <c r="C142" s="405">
        <v>33302000</v>
      </c>
      <c r="D142" s="422">
        <f>SUM(E142:G142)</f>
        <v>35164932</v>
      </c>
      <c r="E142" s="145">
        <f>35164932</f>
        <v>35164932</v>
      </c>
      <c r="F142" s="145"/>
      <c r="G142" s="145"/>
    </row>
    <row r="143" spans="1:7" ht="12" customHeight="1" x14ac:dyDescent="0.25">
      <c r="A143" s="14" t="s">
        <v>268</v>
      </c>
      <c r="B143" s="8" t="s">
        <v>564</v>
      </c>
      <c r="C143" s="405"/>
      <c r="D143" s="422">
        <f>SUM(E143:G143)</f>
        <v>0</v>
      </c>
      <c r="E143" s="145"/>
      <c r="F143" s="145"/>
      <c r="G143" s="145"/>
    </row>
    <row r="144" spans="1:7" ht="12" customHeight="1" thickBot="1" x14ac:dyDescent="0.3">
      <c r="A144" s="12" t="s">
        <v>269</v>
      </c>
      <c r="B144" s="6" t="s">
        <v>373</v>
      </c>
      <c r="C144" s="405"/>
      <c r="D144" s="424">
        <f>SUM(E144:G144)</f>
        <v>0</v>
      </c>
      <c r="E144" s="145"/>
      <c r="F144" s="145"/>
      <c r="G144" s="145"/>
    </row>
    <row r="145" spans="1:7" ht="12" customHeight="1" thickBot="1" x14ac:dyDescent="0.3">
      <c r="A145" s="19" t="s">
        <v>51</v>
      </c>
      <c r="B145" s="84" t="s">
        <v>565</v>
      </c>
      <c r="C145" s="365">
        <f>SUM(C146:C150)</f>
        <v>0</v>
      </c>
      <c r="D145" s="425">
        <f>SUM(D146:D150)</f>
        <v>0</v>
      </c>
      <c r="E145" s="366">
        <f>+E146+E147+E148+E149+E150</f>
        <v>0</v>
      </c>
      <c r="F145" s="166">
        <f>+F146+F147+F148+F149+F150</f>
        <v>0</v>
      </c>
      <c r="G145" s="166">
        <f>SUM(G146:G150)</f>
        <v>0</v>
      </c>
    </row>
    <row r="146" spans="1:7" ht="12" customHeight="1" x14ac:dyDescent="0.25">
      <c r="A146" s="14" t="s">
        <v>119</v>
      </c>
      <c r="B146" s="8" t="s">
        <v>566</v>
      </c>
      <c r="C146" s="405"/>
      <c r="D146" s="423">
        <f t="shared" ref="D146:D152" si="3">SUM(E146:G146)</f>
        <v>0</v>
      </c>
      <c r="E146" s="145"/>
      <c r="F146" s="145"/>
      <c r="G146" s="145"/>
    </row>
    <row r="147" spans="1:7" ht="12" customHeight="1" x14ac:dyDescent="0.25">
      <c r="A147" s="14" t="s">
        <v>120</v>
      </c>
      <c r="B147" s="8" t="s">
        <v>567</v>
      </c>
      <c r="C147" s="405"/>
      <c r="D147" s="422">
        <f t="shared" si="3"/>
        <v>0</v>
      </c>
      <c r="E147" s="145"/>
      <c r="F147" s="145"/>
      <c r="G147" s="145"/>
    </row>
    <row r="148" spans="1:7" ht="12" customHeight="1" x14ac:dyDescent="0.25">
      <c r="A148" s="14" t="s">
        <v>280</v>
      </c>
      <c r="B148" s="8" t="s">
        <v>568</v>
      </c>
      <c r="C148" s="405"/>
      <c r="D148" s="422">
        <f t="shared" si="3"/>
        <v>0</v>
      </c>
      <c r="E148" s="145"/>
      <c r="F148" s="145"/>
      <c r="G148" s="145"/>
    </row>
    <row r="149" spans="1:7" ht="12" customHeight="1" x14ac:dyDescent="0.25">
      <c r="A149" s="14" t="s">
        <v>281</v>
      </c>
      <c r="B149" s="8" t="s">
        <v>569</v>
      </c>
      <c r="C149" s="405"/>
      <c r="D149" s="422">
        <f t="shared" si="3"/>
        <v>0</v>
      </c>
      <c r="E149" s="145"/>
      <c r="F149" s="145"/>
      <c r="G149" s="145"/>
    </row>
    <row r="150" spans="1:7" ht="12" customHeight="1" thickBot="1" x14ac:dyDescent="0.3">
      <c r="A150" s="14" t="s">
        <v>570</v>
      </c>
      <c r="B150" s="8" t="s">
        <v>571</v>
      </c>
      <c r="C150" s="405"/>
      <c r="D150" s="424">
        <f t="shared" si="3"/>
        <v>0</v>
      </c>
      <c r="E150" s="146"/>
      <c r="F150" s="146"/>
      <c r="G150" s="145"/>
    </row>
    <row r="151" spans="1:7" ht="12" customHeight="1" thickBot="1" x14ac:dyDescent="0.3">
      <c r="A151" s="19" t="s">
        <v>52</v>
      </c>
      <c r="B151" s="84" t="s">
        <v>572</v>
      </c>
      <c r="C151" s="367"/>
      <c r="D151" s="425">
        <f t="shared" si="3"/>
        <v>0</v>
      </c>
      <c r="E151" s="366"/>
      <c r="F151" s="166"/>
      <c r="G151" s="314"/>
    </row>
    <row r="152" spans="1:7" ht="12" customHeight="1" thickBot="1" x14ac:dyDescent="0.3">
      <c r="A152" s="19" t="s">
        <v>53</v>
      </c>
      <c r="B152" s="84" t="s">
        <v>573</v>
      </c>
      <c r="C152" s="367"/>
      <c r="D152" s="425">
        <f t="shared" si="3"/>
        <v>0</v>
      </c>
      <c r="E152" s="366"/>
      <c r="F152" s="166"/>
      <c r="G152" s="314"/>
    </row>
    <row r="153" spans="1:7" ht="15" customHeight="1" thickBot="1" x14ac:dyDescent="0.3">
      <c r="A153" s="19" t="s">
        <v>54</v>
      </c>
      <c r="B153" s="84" t="s">
        <v>574</v>
      </c>
      <c r="C153" s="368">
        <f>+C129+C133+C140+C145+C151+C152</f>
        <v>136847000</v>
      </c>
      <c r="D153" s="421">
        <f>D152+D151+D145+D140+D133+D129</f>
        <v>138325932</v>
      </c>
      <c r="E153" s="369">
        <f>+E129+E133+E140+E145+E151+E152</f>
        <v>138325932</v>
      </c>
      <c r="F153" s="256">
        <f>+F129+F133+F140+F145+F151+F152</f>
        <v>0</v>
      </c>
      <c r="G153" s="256">
        <f>+G129+G133+G140+G145+G151+G152</f>
        <v>0</v>
      </c>
    </row>
    <row r="154" spans="1:7" s="352" customFormat="1" ht="12.95" customHeight="1" thickBot="1" x14ac:dyDescent="0.25">
      <c r="A154" s="156" t="s">
        <v>55</v>
      </c>
      <c r="B154" s="231" t="s">
        <v>575</v>
      </c>
      <c r="C154" s="368">
        <f>+C128+C153</f>
        <v>3178458000</v>
      </c>
      <c r="D154" s="421">
        <f>D153+D128</f>
        <v>3461990509</v>
      </c>
      <c r="E154" s="369">
        <f>+E128+E153</f>
        <v>659384880</v>
      </c>
      <c r="F154" s="256">
        <f>+F128+F153</f>
        <v>225723850</v>
      </c>
      <c r="G154" s="256">
        <f>+G128+G153</f>
        <v>1397286981</v>
      </c>
    </row>
    <row r="158" spans="1:7" ht="16.5" customHeight="1" x14ac:dyDescent="0.25"/>
  </sheetData>
  <mergeCells count="4">
    <mergeCell ref="A1:D1"/>
    <mergeCell ref="A2:B2"/>
    <mergeCell ref="A89:D89"/>
    <mergeCell ref="A90:B90"/>
  </mergeCells>
  <pageMargins left="0.75" right="0.75" top="1" bottom="1" header="0.5" footer="0.5"/>
  <pageSetup paperSize="9" scale="82" orientation="portrait" r:id="rId1"/>
  <headerFooter alignWithMargins="0">
    <oddHeader>&amp;R29. melléklet a 30/2017.(XI.30.) önkormányzati rendelethez
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I162"/>
  <sheetViews>
    <sheetView view="pageLayout" zoomScaleNormal="100" zoomScaleSheetLayoutView="100" workbookViewId="0">
      <selection activeCell="H2" sqref="H2"/>
    </sheetView>
  </sheetViews>
  <sheetFormatPr defaultRowHeight="15.75" x14ac:dyDescent="0.25"/>
  <cols>
    <col min="1" max="1" width="9.5" style="232" customWidth="1"/>
    <col min="2" max="2" width="83.83203125" style="232" customWidth="1"/>
    <col min="3" max="3" width="21.6640625" style="233" customWidth="1"/>
    <col min="4" max="4" width="19.33203125" style="243" hidden="1" customWidth="1"/>
    <col min="5" max="5" width="15.83203125" style="243" hidden="1" customWidth="1"/>
    <col min="6" max="6" width="15.33203125" style="243" hidden="1" customWidth="1"/>
    <col min="7" max="16384" width="9.33203125" style="243"/>
  </cols>
  <sheetData>
    <row r="1" spans="1:6" ht="15.95" customHeight="1" x14ac:dyDescent="0.25">
      <c r="A1" s="954" t="s">
        <v>42</v>
      </c>
      <c r="B1" s="954"/>
      <c r="C1" s="954"/>
    </row>
    <row r="2" spans="1:6" ht="15.95" customHeight="1" thickBot="1" x14ac:dyDescent="0.3">
      <c r="A2" s="957"/>
      <c r="B2" s="957"/>
      <c r="C2" s="167" t="s">
        <v>676</v>
      </c>
    </row>
    <row r="3" spans="1:6" ht="38.1" customHeight="1" thickBot="1" x14ac:dyDescent="0.3">
      <c r="A3" s="22" t="s">
        <v>96</v>
      </c>
      <c r="B3" s="23" t="s">
        <v>44</v>
      </c>
      <c r="C3" s="35" t="s">
        <v>661</v>
      </c>
      <c r="D3" s="232" t="s">
        <v>699</v>
      </c>
      <c r="E3" s="232" t="s">
        <v>700</v>
      </c>
      <c r="F3" s="232" t="s">
        <v>701</v>
      </c>
    </row>
    <row r="4" spans="1:6" s="244" customFormat="1" ht="12" customHeight="1" thickBot="1" x14ac:dyDescent="0.25">
      <c r="A4" s="238" t="s">
        <v>524</v>
      </c>
      <c r="B4" s="239" t="s">
        <v>525</v>
      </c>
      <c r="C4" s="240" t="s">
        <v>526</v>
      </c>
    </row>
    <row r="5" spans="1:6" s="245" customFormat="1" ht="12" customHeight="1" thickBot="1" x14ac:dyDescent="0.25">
      <c r="A5" s="19" t="s">
        <v>45</v>
      </c>
      <c r="B5" s="20" t="s">
        <v>228</v>
      </c>
      <c r="C5" s="163">
        <f t="shared" ref="C5:C68" si="0">SUM(D5:F5)</f>
        <v>139623633</v>
      </c>
      <c r="D5" s="351">
        <f>+D6+D7+D8+D9+D10+D11</f>
        <v>139623633</v>
      </c>
      <c r="E5" s="158">
        <f>+E6+E7+E8+E9+E10+E11</f>
        <v>0</v>
      </c>
      <c r="F5" s="158">
        <f>+F6+F7+F8+F9+F10+F11</f>
        <v>0</v>
      </c>
    </row>
    <row r="6" spans="1:6" s="245" customFormat="1" ht="12" customHeight="1" x14ac:dyDescent="0.2">
      <c r="A6" s="14" t="s">
        <v>121</v>
      </c>
      <c r="B6" s="246" t="s">
        <v>229</v>
      </c>
      <c r="C6" s="393">
        <f t="shared" si="0"/>
        <v>0</v>
      </c>
      <c r="D6" s="353"/>
      <c r="E6" s="284"/>
      <c r="F6" s="160"/>
    </row>
    <row r="7" spans="1:6" s="245" customFormat="1" ht="12" customHeight="1" x14ac:dyDescent="0.2">
      <c r="A7" s="13" t="s">
        <v>122</v>
      </c>
      <c r="B7" s="247" t="s">
        <v>230</v>
      </c>
      <c r="C7" s="394">
        <f t="shared" si="0"/>
        <v>0</v>
      </c>
      <c r="D7" s="145"/>
      <c r="E7" s="162"/>
      <c r="F7" s="159"/>
    </row>
    <row r="8" spans="1:6" s="245" customFormat="1" ht="12" customHeight="1" x14ac:dyDescent="0.2">
      <c r="A8" s="13" t="s">
        <v>123</v>
      </c>
      <c r="B8" s="247" t="s">
        <v>648</v>
      </c>
      <c r="C8" s="394">
        <f t="shared" si="0"/>
        <v>133737400</v>
      </c>
      <c r="D8" s="145">
        <f>118423160+15562200-247960</f>
        <v>133737400</v>
      </c>
      <c r="E8" s="162"/>
      <c r="F8" s="159"/>
    </row>
    <row r="9" spans="1:6" s="245" customFormat="1" ht="12" customHeight="1" x14ac:dyDescent="0.2">
      <c r="A9" s="13" t="s">
        <v>124</v>
      </c>
      <c r="B9" s="247" t="s">
        <v>232</v>
      </c>
      <c r="C9" s="394">
        <f t="shared" si="0"/>
        <v>0</v>
      </c>
      <c r="D9" s="145"/>
      <c r="E9" s="162"/>
      <c r="F9" s="159"/>
    </row>
    <row r="10" spans="1:6" s="245" customFormat="1" ht="12" customHeight="1" x14ac:dyDescent="0.2">
      <c r="A10" s="13" t="s">
        <v>164</v>
      </c>
      <c r="B10" s="154" t="s">
        <v>527</v>
      </c>
      <c r="C10" s="802">
        <f t="shared" si="0"/>
        <v>5886233</v>
      </c>
      <c r="D10" s="324">
        <f>9514709-3628476</f>
        <v>5886233</v>
      </c>
      <c r="E10" s="162"/>
      <c r="F10" s="162"/>
    </row>
    <row r="11" spans="1:6" s="245" customFormat="1" ht="12" customHeight="1" thickBot="1" x14ac:dyDescent="0.25">
      <c r="A11" s="15" t="s">
        <v>125</v>
      </c>
      <c r="B11" s="155" t="s">
        <v>528</v>
      </c>
      <c r="C11" s="395">
        <f t="shared" si="0"/>
        <v>0</v>
      </c>
      <c r="D11" s="145"/>
      <c r="E11" s="159"/>
      <c r="F11" s="159"/>
    </row>
    <row r="12" spans="1:6" s="245" customFormat="1" ht="12" customHeight="1" thickBot="1" x14ac:dyDescent="0.25">
      <c r="A12" s="19" t="s">
        <v>46</v>
      </c>
      <c r="B12" s="153" t="s">
        <v>233</v>
      </c>
      <c r="C12" s="163">
        <f t="shared" si="0"/>
        <v>159681666</v>
      </c>
      <c r="D12" s="351">
        <f>+D13+D14+D15+D16+D17</f>
        <v>154196666</v>
      </c>
      <c r="E12" s="158">
        <f>+E13+E14+E15+E16+E17</f>
        <v>0</v>
      </c>
      <c r="F12" s="158">
        <f>+F13+F14+F15+F16+F17</f>
        <v>5485000</v>
      </c>
    </row>
    <row r="13" spans="1:6" s="245" customFormat="1" ht="12" customHeight="1" x14ac:dyDescent="0.2">
      <c r="A13" s="14" t="s">
        <v>127</v>
      </c>
      <c r="B13" s="246" t="s">
        <v>234</v>
      </c>
      <c r="C13" s="393">
        <f t="shared" si="0"/>
        <v>0</v>
      </c>
      <c r="D13" s="353"/>
      <c r="E13" s="160"/>
      <c r="F13" s="160"/>
    </row>
    <row r="14" spans="1:6" s="245" customFormat="1" ht="12" customHeight="1" x14ac:dyDescent="0.2">
      <c r="A14" s="13" t="s">
        <v>128</v>
      </c>
      <c r="B14" s="247" t="s">
        <v>235</v>
      </c>
      <c r="C14" s="394">
        <f t="shared" si="0"/>
        <v>0</v>
      </c>
      <c r="D14" s="145"/>
      <c r="E14" s="159"/>
      <c r="F14" s="159"/>
    </row>
    <row r="15" spans="1:6" s="245" customFormat="1" ht="12" customHeight="1" x14ac:dyDescent="0.2">
      <c r="A15" s="13" t="s">
        <v>129</v>
      </c>
      <c r="B15" s="247" t="s">
        <v>404</v>
      </c>
      <c r="C15" s="394">
        <f t="shared" si="0"/>
        <v>0</v>
      </c>
      <c r="D15" s="145"/>
      <c r="E15" s="159"/>
      <c r="F15" s="159"/>
    </row>
    <row r="16" spans="1:6" s="245" customFormat="1" ht="12" customHeight="1" x14ac:dyDescent="0.2">
      <c r="A16" s="13" t="s">
        <v>130</v>
      </c>
      <c r="B16" s="247" t="s">
        <v>405</v>
      </c>
      <c r="C16" s="394">
        <f t="shared" si="0"/>
        <v>0</v>
      </c>
      <c r="D16" s="145"/>
      <c r="E16" s="159"/>
      <c r="F16" s="159"/>
    </row>
    <row r="17" spans="1:6" s="245" customFormat="1" ht="12" customHeight="1" x14ac:dyDescent="0.2">
      <c r="A17" s="13" t="s">
        <v>131</v>
      </c>
      <c r="B17" s="247" t="s">
        <v>236</v>
      </c>
      <c r="C17" s="802">
        <f t="shared" si="0"/>
        <v>159681666</v>
      </c>
      <c r="D17" s="324">
        <f>2285000+110446000+3111000+374405+5445044+12549488+16502729+3483000</f>
        <v>154196666</v>
      </c>
      <c r="E17" s="326"/>
      <c r="F17" s="162">
        <v>5485000</v>
      </c>
    </row>
    <row r="18" spans="1:6" s="245" customFormat="1" ht="12" customHeight="1" thickBot="1" x14ac:dyDescent="0.25">
      <c r="A18" s="15" t="s">
        <v>140</v>
      </c>
      <c r="B18" s="155" t="s">
        <v>237</v>
      </c>
      <c r="C18" s="395">
        <f t="shared" si="0"/>
        <v>16877134</v>
      </c>
      <c r="D18" s="328">
        <f>374405+16502729</f>
        <v>16877134</v>
      </c>
      <c r="E18" s="235"/>
      <c r="F18" s="235"/>
    </row>
    <row r="19" spans="1:6" s="245" customFormat="1" ht="12" customHeight="1" thickBot="1" x14ac:dyDescent="0.25">
      <c r="A19" s="19" t="s">
        <v>47</v>
      </c>
      <c r="B19" s="20" t="s">
        <v>238</v>
      </c>
      <c r="C19" s="325">
        <f t="shared" si="0"/>
        <v>204815930</v>
      </c>
      <c r="D19" s="351">
        <f>+D20+D21+D22+D23+D24</f>
        <v>204815930</v>
      </c>
      <c r="E19" s="158">
        <f>+E20+E21+E22+E23+E24</f>
        <v>0</v>
      </c>
      <c r="F19" s="158">
        <f>+F20+F21+F22+F23+F24</f>
        <v>0</v>
      </c>
    </row>
    <row r="20" spans="1:6" s="245" customFormat="1" ht="12" customHeight="1" x14ac:dyDescent="0.2">
      <c r="A20" s="14" t="s">
        <v>110</v>
      </c>
      <c r="B20" s="246" t="s">
        <v>239</v>
      </c>
      <c r="C20" s="393">
        <f t="shared" si="0"/>
        <v>0</v>
      </c>
      <c r="D20" s="353"/>
      <c r="E20" s="323"/>
      <c r="F20" s="160"/>
    </row>
    <row r="21" spans="1:6" s="245" customFormat="1" ht="12" customHeight="1" x14ac:dyDescent="0.2">
      <c r="A21" s="13" t="s">
        <v>111</v>
      </c>
      <c r="B21" s="247" t="s">
        <v>240</v>
      </c>
      <c r="C21" s="394">
        <f t="shared" si="0"/>
        <v>0</v>
      </c>
      <c r="D21" s="145"/>
      <c r="E21" s="162"/>
      <c r="F21" s="159"/>
    </row>
    <row r="22" spans="1:6" s="245" customFormat="1" ht="12" customHeight="1" x14ac:dyDescent="0.2">
      <c r="A22" s="13" t="s">
        <v>112</v>
      </c>
      <c r="B22" s="247" t="s">
        <v>406</v>
      </c>
      <c r="C22" s="394">
        <f t="shared" si="0"/>
        <v>0</v>
      </c>
      <c r="D22" s="145"/>
      <c r="E22" s="162"/>
      <c r="F22" s="159"/>
    </row>
    <row r="23" spans="1:6" s="245" customFormat="1" ht="12" customHeight="1" x14ac:dyDescent="0.2">
      <c r="A23" s="13" t="s">
        <v>113</v>
      </c>
      <c r="B23" s="247" t="s">
        <v>407</v>
      </c>
      <c r="C23" s="394">
        <f t="shared" si="0"/>
        <v>0</v>
      </c>
      <c r="D23" s="145"/>
      <c r="E23" s="162"/>
      <c r="F23" s="159"/>
    </row>
    <row r="24" spans="1:6" s="245" customFormat="1" ht="12" customHeight="1" x14ac:dyDescent="0.2">
      <c r="A24" s="13" t="s">
        <v>175</v>
      </c>
      <c r="B24" s="247" t="s">
        <v>241</v>
      </c>
      <c r="C24" s="394">
        <f t="shared" si="0"/>
        <v>204815930</v>
      </c>
      <c r="D24" s="324">
        <f>2665000+199720812+2430118</f>
        <v>204815930</v>
      </c>
      <c r="E24" s="162"/>
      <c r="F24" s="162"/>
    </row>
    <row r="25" spans="1:6" s="245" customFormat="1" ht="12" customHeight="1" thickBot="1" x14ac:dyDescent="0.25">
      <c r="A25" s="15" t="s">
        <v>176</v>
      </c>
      <c r="B25" s="248" t="s">
        <v>242</v>
      </c>
      <c r="C25" s="395">
        <f t="shared" si="0"/>
        <v>202150930</v>
      </c>
      <c r="D25" s="328">
        <f>199720812+2430118</f>
        <v>202150930</v>
      </c>
      <c r="E25" s="235"/>
      <c r="F25" s="235"/>
    </row>
    <row r="26" spans="1:6" s="245" customFormat="1" ht="12" customHeight="1" thickBot="1" x14ac:dyDescent="0.25">
      <c r="A26" s="19" t="s">
        <v>177</v>
      </c>
      <c r="B26" s="20" t="s">
        <v>243</v>
      </c>
      <c r="C26" s="325">
        <f t="shared" si="0"/>
        <v>0</v>
      </c>
      <c r="D26" s="355">
        <f>+D27+D31+D32+D33</f>
        <v>0</v>
      </c>
      <c r="E26" s="163">
        <f>+E27+E31+E32+E33</f>
        <v>0</v>
      </c>
      <c r="F26" s="163">
        <f>+F27+F31+F32+F33</f>
        <v>0</v>
      </c>
    </row>
    <row r="27" spans="1:6" s="245" customFormat="1" ht="12" customHeight="1" x14ac:dyDescent="0.2">
      <c r="A27" s="14" t="s">
        <v>244</v>
      </c>
      <c r="B27" s="246" t="s">
        <v>529</v>
      </c>
      <c r="C27" s="393">
        <f t="shared" si="0"/>
        <v>0</v>
      </c>
      <c r="D27" s="387">
        <f>+D28+D29+D30</f>
        <v>0</v>
      </c>
      <c r="E27" s="241"/>
      <c r="F27" s="241">
        <f>+F28+F29+F30</f>
        <v>0</v>
      </c>
    </row>
    <row r="28" spans="1:6" s="245" customFormat="1" ht="12" customHeight="1" x14ac:dyDescent="0.2">
      <c r="A28" s="13" t="s">
        <v>245</v>
      </c>
      <c r="B28" s="247" t="s">
        <v>250</v>
      </c>
      <c r="C28" s="394">
        <f t="shared" si="0"/>
        <v>0</v>
      </c>
      <c r="D28" s="145"/>
      <c r="E28" s="159"/>
      <c r="F28" s="159"/>
    </row>
    <row r="29" spans="1:6" s="245" customFormat="1" ht="12" customHeight="1" x14ac:dyDescent="0.2">
      <c r="A29" s="13" t="s">
        <v>246</v>
      </c>
      <c r="B29" s="247" t="s">
        <v>251</v>
      </c>
      <c r="C29" s="394">
        <f t="shared" si="0"/>
        <v>0</v>
      </c>
      <c r="D29" s="145"/>
      <c r="E29" s="159"/>
      <c r="F29" s="159"/>
    </row>
    <row r="30" spans="1:6" s="245" customFormat="1" ht="12" customHeight="1" x14ac:dyDescent="0.2">
      <c r="A30" s="13" t="s">
        <v>530</v>
      </c>
      <c r="B30" s="305" t="s">
        <v>531</v>
      </c>
      <c r="C30" s="394">
        <f t="shared" si="0"/>
        <v>0</v>
      </c>
      <c r="D30" s="145"/>
      <c r="E30" s="162"/>
      <c r="F30" s="159"/>
    </row>
    <row r="31" spans="1:6" s="245" customFormat="1" ht="12" customHeight="1" x14ac:dyDescent="0.2">
      <c r="A31" s="13" t="s">
        <v>247</v>
      </c>
      <c r="B31" s="247" t="s">
        <v>252</v>
      </c>
      <c r="C31" s="394">
        <f t="shared" si="0"/>
        <v>0</v>
      </c>
      <c r="D31" s="145"/>
      <c r="E31" s="159"/>
      <c r="F31" s="159"/>
    </row>
    <row r="32" spans="1:6" s="245" customFormat="1" ht="12" customHeight="1" x14ac:dyDescent="0.2">
      <c r="A32" s="13" t="s">
        <v>248</v>
      </c>
      <c r="B32" s="247" t="s">
        <v>253</v>
      </c>
      <c r="C32" s="394">
        <f t="shared" si="0"/>
        <v>0</v>
      </c>
      <c r="D32" s="145"/>
      <c r="E32" s="159"/>
      <c r="F32" s="159"/>
    </row>
    <row r="33" spans="1:6" s="245" customFormat="1" ht="12" customHeight="1" thickBot="1" x14ac:dyDescent="0.25">
      <c r="A33" s="15" t="s">
        <v>249</v>
      </c>
      <c r="B33" s="248" t="s">
        <v>254</v>
      </c>
      <c r="C33" s="395">
        <f t="shared" si="0"/>
        <v>0</v>
      </c>
      <c r="D33" s="146"/>
      <c r="E33" s="235"/>
      <c r="F33" s="161"/>
    </row>
    <row r="34" spans="1:6" s="245" customFormat="1" ht="12" customHeight="1" thickBot="1" x14ac:dyDescent="0.25">
      <c r="A34" s="19" t="s">
        <v>49</v>
      </c>
      <c r="B34" s="20" t="s">
        <v>532</v>
      </c>
      <c r="C34" s="163">
        <f t="shared" si="0"/>
        <v>230806968</v>
      </c>
      <c r="D34" s="351">
        <f>SUM(D35:D45)</f>
        <v>17965566</v>
      </c>
      <c r="E34" s="158">
        <f>SUM(E35:E45)</f>
        <v>635000</v>
      </c>
      <c r="F34" s="158">
        <f>SUM(F35:F45)</f>
        <v>212206402</v>
      </c>
    </row>
    <row r="35" spans="1:6" s="245" customFormat="1" ht="12" customHeight="1" x14ac:dyDescent="0.2">
      <c r="A35" s="14" t="s">
        <v>114</v>
      </c>
      <c r="B35" s="246" t="s">
        <v>257</v>
      </c>
      <c r="C35" s="803">
        <f t="shared" si="0"/>
        <v>13443677</v>
      </c>
      <c r="D35" s="353">
        <f>3937000+52677+5500000+3954000</f>
        <v>13443677</v>
      </c>
      <c r="E35" s="284"/>
      <c r="F35" s="160"/>
    </row>
    <row r="36" spans="1:6" s="245" customFormat="1" ht="12" customHeight="1" x14ac:dyDescent="0.2">
      <c r="A36" s="13" t="s">
        <v>115</v>
      </c>
      <c r="B36" s="247" t="s">
        <v>258</v>
      </c>
      <c r="C36" s="394">
        <f t="shared" si="0"/>
        <v>40174581</v>
      </c>
      <c r="D36" s="324">
        <f>160000+5500000+862205+3500000-5415056-5500000+719500</f>
        <v>-173351</v>
      </c>
      <c r="E36" s="162">
        <v>500000</v>
      </c>
      <c r="F36" s="160">
        <v>39847932</v>
      </c>
    </row>
    <row r="37" spans="1:6" s="245" customFormat="1" ht="12" customHeight="1" x14ac:dyDescent="0.2">
      <c r="A37" s="13" t="s">
        <v>116</v>
      </c>
      <c r="B37" s="247" t="s">
        <v>259</v>
      </c>
      <c r="C37" s="802">
        <f t="shared" si="0"/>
        <v>12471520</v>
      </c>
      <c r="D37" s="324">
        <v>1946520</v>
      </c>
      <c r="E37" s="162"/>
      <c r="F37" s="160">
        <v>10525000</v>
      </c>
    </row>
    <row r="38" spans="1:6" s="245" customFormat="1" ht="12" customHeight="1" x14ac:dyDescent="0.2">
      <c r="A38" s="13" t="s">
        <v>179</v>
      </c>
      <c r="B38" s="247" t="s">
        <v>260</v>
      </c>
      <c r="C38" s="394">
        <f t="shared" si="0"/>
        <v>0</v>
      </c>
      <c r="D38" s="145"/>
      <c r="E38" s="162"/>
      <c r="F38" s="160"/>
    </row>
    <row r="39" spans="1:6" s="245" customFormat="1" ht="12" customHeight="1" x14ac:dyDescent="0.2">
      <c r="A39" s="13" t="s">
        <v>180</v>
      </c>
      <c r="B39" s="247" t="s">
        <v>261</v>
      </c>
      <c r="C39" s="394">
        <f t="shared" si="0"/>
        <v>158991720</v>
      </c>
      <c r="D39" s="145"/>
      <c r="E39" s="162"/>
      <c r="F39" s="160">
        <v>158991720</v>
      </c>
    </row>
    <row r="40" spans="1:6" s="245" customFormat="1" ht="12" customHeight="1" x14ac:dyDescent="0.2">
      <c r="A40" s="13" t="s">
        <v>181</v>
      </c>
      <c r="B40" s="247" t="s">
        <v>262</v>
      </c>
      <c r="C40" s="802">
        <f t="shared" si="0"/>
        <v>5267145</v>
      </c>
      <c r="D40" s="145">
        <f>1063000+44000+1485000+14223+232795+2715688-719500-2548000+3189</f>
        <v>2290395</v>
      </c>
      <c r="E40" s="162">
        <v>135000</v>
      </c>
      <c r="F40" s="160">
        <v>2841750</v>
      </c>
    </row>
    <row r="41" spans="1:6" s="245" customFormat="1" ht="12" customHeight="1" x14ac:dyDescent="0.2">
      <c r="A41" s="13" t="s">
        <v>182</v>
      </c>
      <c r="B41" s="247" t="s">
        <v>263</v>
      </c>
      <c r="C41" s="394">
        <f t="shared" si="0"/>
        <v>0</v>
      </c>
      <c r="D41" s="145"/>
      <c r="E41" s="162"/>
      <c r="F41" s="160"/>
    </row>
    <row r="42" spans="1:6" s="245" customFormat="1" ht="12" customHeight="1" x14ac:dyDescent="0.2">
      <c r="A42" s="13" t="s">
        <v>183</v>
      </c>
      <c r="B42" s="247" t="s">
        <v>645</v>
      </c>
      <c r="C42" s="394">
        <f t="shared" si="0"/>
        <v>30000</v>
      </c>
      <c r="D42" s="145">
        <v>30000</v>
      </c>
      <c r="E42" s="162"/>
      <c r="F42" s="162"/>
    </row>
    <row r="43" spans="1:6" s="245" customFormat="1" ht="12" customHeight="1" x14ac:dyDescent="0.2">
      <c r="A43" s="13" t="s">
        <v>255</v>
      </c>
      <c r="B43" s="247" t="s">
        <v>265</v>
      </c>
      <c r="C43" s="394">
        <f t="shared" si="0"/>
        <v>0</v>
      </c>
      <c r="D43" s="324"/>
      <c r="E43" s="162"/>
      <c r="F43" s="162"/>
    </row>
    <row r="44" spans="1:6" s="245" customFormat="1" ht="12" customHeight="1" x14ac:dyDescent="0.2">
      <c r="A44" s="15" t="s">
        <v>256</v>
      </c>
      <c r="B44" s="248" t="s">
        <v>533</v>
      </c>
      <c r="C44" s="394">
        <f t="shared" si="0"/>
        <v>0</v>
      </c>
      <c r="D44" s="328"/>
      <c r="E44" s="235"/>
      <c r="F44" s="235"/>
    </row>
    <row r="45" spans="1:6" s="245" customFormat="1" ht="12" customHeight="1" thickBot="1" x14ac:dyDescent="0.25">
      <c r="A45" s="15" t="s">
        <v>534</v>
      </c>
      <c r="B45" s="155" t="s">
        <v>266</v>
      </c>
      <c r="C45" s="804">
        <f t="shared" si="0"/>
        <v>428325</v>
      </c>
      <c r="D45" s="328">
        <f>416514+11811</f>
        <v>428325</v>
      </c>
      <c r="E45" s="235"/>
      <c r="F45" s="235"/>
    </row>
    <row r="46" spans="1:6" s="245" customFormat="1" ht="12" customHeight="1" thickBot="1" x14ac:dyDescent="0.25">
      <c r="A46" s="19" t="s">
        <v>50</v>
      </c>
      <c r="B46" s="20" t="s">
        <v>267</v>
      </c>
      <c r="C46" s="163">
        <f t="shared" si="0"/>
        <v>250000</v>
      </c>
      <c r="D46" s="351">
        <f>SUM(D47:D51)</f>
        <v>250000</v>
      </c>
      <c r="E46" s="158">
        <f>SUM(E47:E51)</f>
        <v>0</v>
      </c>
      <c r="F46" s="158">
        <f>SUM(F47:F51)</f>
        <v>0</v>
      </c>
    </row>
    <row r="47" spans="1:6" s="245" customFormat="1" ht="12" customHeight="1" x14ac:dyDescent="0.2">
      <c r="A47" s="14" t="s">
        <v>117</v>
      </c>
      <c r="B47" s="246" t="s">
        <v>271</v>
      </c>
      <c r="C47" s="393">
        <f t="shared" si="0"/>
        <v>0</v>
      </c>
      <c r="D47" s="358"/>
      <c r="E47" s="284"/>
      <c r="F47" s="284"/>
    </row>
    <row r="48" spans="1:6" s="245" customFormat="1" ht="12" customHeight="1" x14ac:dyDescent="0.2">
      <c r="A48" s="13" t="s">
        <v>118</v>
      </c>
      <c r="B48" s="247" t="s">
        <v>272</v>
      </c>
      <c r="C48" s="394">
        <f t="shared" si="0"/>
        <v>0</v>
      </c>
      <c r="D48" s="324"/>
      <c r="E48" s="162"/>
      <c r="F48" s="162"/>
    </row>
    <row r="49" spans="1:6" s="245" customFormat="1" ht="12" customHeight="1" x14ac:dyDescent="0.2">
      <c r="A49" s="13" t="s">
        <v>268</v>
      </c>
      <c r="B49" s="247" t="s">
        <v>273</v>
      </c>
      <c r="C49" s="394">
        <f t="shared" si="0"/>
        <v>250000</v>
      </c>
      <c r="D49" s="324">
        <v>250000</v>
      </c>
      <c r="E49" s="162"/>
      <c r="F49" s="162"/>
    </row>
    <row r="50" spans="1:6" s="245" customFormat="1" ht="12" customHeight="1" x14ac:dyDescent="0.2">
      <c r="A50" s="13" t="s">
        <v>269</v>
      </c>
      <c r="B50" s="247" t="s">
        <v>274</v>
      </c>
      <c r="C50" s="394">
        <f t="shared" si="0"/>
        <v>0</v>
      </c>
      <c r="D50" s="324"/>
      <c r="E50" s="162"/>
      <c r="F50" s="162"/>
    </row>
    <row r="51" spans="1:6" s="245" customFormat="1" ht="12" customHeight="1" thickBot="1" x14ac:dyDescent="0.25">
      <c r="A51" s="15" t="s">
        <v>270</v>
      </c>
      <c r="B51" s="155" t="s">
        <v>275</v>
      </c>
      <c r="C51" s="395">
        <f t="shared" si="0"/>
        <v>0</v>
      </c>
      <c r="D51" s="328"/>
      <c r="E51" s="235"/>
      <c r="F51" s="235"/>
    </row>
    <row r="52" spans="1:6" s="245" customFormat="1" ht="12" customHeight="1" thickBot="1" x14ac:dyDescent="0.25">
      <c r="A52" s="19" t="s">
        <v>184</v>
      </c>
      <c r="B52" s="20" t="s">
        <v>276</v>
      </c>
      <c r="C52" s="163">
        <f t="shared" si="0"/>
        <v>1566000</v>
      </c>
      <c r="D52" s="351">
        <f>SUM(D53:D55)</f>
        <v>1566000</v>
      </c>
      <c r="E52" s="158">
        <f>SUM(E53:E55)</f>
        <v>0</v>
      </c>
      <c r="F52" s="158">
        <f>SUM(F53:F55)</f>
        <v>0</v>
      </c>
    </row>
    <row r="53" spans="1:6" s="245" customFormat="1" ht="12" customHeight="1" x14ac:dyDescent="0.2">
      <c r="A53" s="14" t="s">
        <v>119</v>
      </c>
      <c r="B53" s="246" t="s">
        <v>277</v>
      </c>
      <c r="C53" s="393">
        <f t="shared" si="0"/>
        <v>0</v>
      </c>
      <c r="D53" s="353"/>
      <c r="E53" s="160"/>
      <c r="F53" s="160"/>
    </row>
    <row r="54" spans="1:6" s="245" customFormat="1" ht="12" customHeight="1" x14ac:dyDescent="0.2">
      <c r="A54" s="13" t="s">
        <v>120</v>
      </c>
      <c r="B54" s="247" t="s">
        <v>408</v>
      </c>
      <c r="C54" s="394">
        <f t="shared" si="0"/>
        <v>1566000</v>
      </c>
      <c r="D54" s="324">
        <v>1566000</v>
      </c>
      <c r="E54" s="162"/>
      <c r="F54" s="162"/>
    </row>
    <row r="55" spans="1:6" s="245" customFormat="1" ht="12" customHeight="1" x14ac:dyDescent="0.2">
      <c r="A55" s="13" t="s">
        <v>280</v>
      </c>
      <c r="B55" s="247" t="s">
        <v>278</v>
      </c>
      <c r="C55" s="394">
        <f t="shared" si="0"/>
        <v>0</v>
      </c>
      <c r="D55" s="324"/>
      <c r="E55" s="162"/>
      <c r="F55" s="162"/>
    </row>
    <row r="56" spans="1:6" s="245" customFormat="1" ht="12" customHeight="1" thickBot="1" x14ac:dyDescent="0.25">
      <c r="A56" s="15" t="s">
        <v>281</v>
      </c>
      <c r="B56" s="155" t="s">
        <v>279</v>
      </c>
      <c r="C56" s="395">
        <f t="shared" si="0"/>
        <v>0</v>
      </c>
      <c r="D56" s="146"/>
      <c r="E56" s="161"/>
      <c r="F56" s="161"/>
    </row>
    <row r="57" spans="1:6" s="245" customFormat="1" ht="12" customHeight="1" thickBot="1" x14ac:dyDescent="0.25">
      <c r="A57" s="19" t="s">
        <v>52</v>
      </c>
      <c r="B57" s="153" t="s">
        <v>282</v>
      </c>
      <c r="C57" s="163">
        <f t="shared" si="0"/>
        <v>1200000</v>
      </c>
      <c r="D57" s="351">
        <f>SUM(D58:D60)</f>
        <v>1200000</v>
      </c>
      <c r="E57" s="158">
        <f>SUM(E58:E60)</f>
        <v>0</v>
      </c>
      <c r="F57" s="158">
        <f>SUM(F58:F60)</f>
        <v>0</v>
      </c>
    </row>
    <row r="58" spans="1:6" s="245" customFormat="1" ht="12" customHeight="1" x14ac:dyDescent="0.2">
      <c r="A58" s="14" t="s">
        <v>185</v>
      </c>
      <c r="B58" s="246" t="s">
        <v>284</v>
      </c>
      <c r="C58" s="393">
        <f t="shared" si="0"/>
        <v>0</v>
      </c>
      <c r="D58" s="324"/>
      <c r="E58" s="162"/>
      <c r="F58" s="162"/>
    </row>
    <row r="59" spans="1:6" s="245" customFormat="1" ht="12" customHeight="1" x14ac:dyDescent="0.2">
      <c r="A59" s="13" t="s">
        <v>186</v>
      </c>
      <c r="B59" s="247" t="s">
        <v>409</v>
      </c>
      <c r="C59" s="394">
        <f t="shared" si="0"/>
        <v>0</v>
      </c>
      <c r="D59" s="324"/>
      <c r="E59" s="162"/>
      <c r="F59" s="162"/>
    </row>
    <row r="60" spans="1:6" s="245" customFormat="1" ht="12" customHeight="1" x14ac:dyDescent="0.2">
      <c r="A60" s="13" t="s">
        <v>208</v>
      </c>
      <c r="B60" s="247" t="s">
        <v>285</v>
      </c>
      <c r="C60" s="394">
        <f t="shared" si="0"/>
        <v>1200000</v>
      </c>
      <c r="D60" s="324">
        <v>1200000</v>
      </c>
      <c r="E60" s="162"/>
      <c r="F60" s="162"/>
    </row>
    <row r="61" spans="1:6" s="245" customFormat="1" ht="12" customHeight="1" thickBot="1" x14ac:dyDescent="0.25">
      <c r="A61" s="15" t="s">
        <v>283</v>
      </c>
      <c r="B61" s="155" t="s">
        <v>286</v>
      </c>
      <c r="C61" s="395">
        <f t="shared" si="0"/>
        <v>0</v>
      </c>
      <c r="D61" s="324"/>
      <c r="E61" s="162"/>
      <c r="F61" s="162"/>
    </row>
    <row r="62" spans="1:6" s="245" customFormat="1" ht="12" customHeight="1" thickBot="1" x14ac:dyDescent="0.25">
      <c r="A62" s="306" t="s">
        <v>535</v>
      </c>
      <c r="B62" s="20" t="s">
        <v>287</v>
      </c>
      <c r="C62" s="163">
        <f t="shared" si="0"/>
        <v>737944197</v>
      </c>
      <c r="D62" s="355">
        <f>+D5+D12+D19+D26+D34+D46+D52+D57</f>
        <v>519617795</v>
      </c>
      <c r="E62" s="163">
        <f>+E5+E12+E19+E26+E34+E46+E52+E57</f>
        <v>635000</v>
      </c>
      <c r="F62" s="163">
        <f>+F5+F12+F19+F26+F34+F46+F52+F57</f>
        <v>217691402</v>
      </c>
    </row>
    <row r="63" spans="1:6" s="245" customFormat="1" ht="12" customHeight="1" thickBot="1" x14ac:dyDescent="0.25">
      <c r="A63" s="307" t="s">
        <v>288</v>
      </c>
      <c r="B63" s="153" t="s">
        <v>289</v>
      </c>
      <c r="C63" s="163">
        <f t="shared" si="0"/>
        <v>182000000</v>
      </c>
      <c r="D63" s="351">
        <f>SUM(D64:D66)</f>
        <v>182000000</v>
      </c>
      <c r="E63" s="158">
        <f>SUM(E64:E66)</f>
        <v>0</v>
      </c>
      <c r="F63" s="325">
        <f>SUM(F64:F66)</f>
        <v>0</v>
      </c>
    </row>
    <row r="64" spans="1:6" s="245" customFormat="1" ht="12" customHeight="1" x14ac:dyDescent="0.2">
      <c r="A64" s="14" t="s">
        <v>320</v>
      </c>
      <c r="B64" s="246" t="s">
        <v>290</v>
      </c>
      <c r="C64" s="393">
        <f t="shared" si="0"/>
        <v>82000000</v>
      </c>
      <c r="D64" s="329">
        <f>44100000+37900000</f>
        <v>82000000</v>
      </c>
      <c r="E64" s="162"/>
      <c r="F64" s="162">
        <v>0</v>
      </c>
    </row>
    <row r="65" spans="1:6" s="245" customFormat="1" ht="12" customHeight="1" x14ac:dyDescent="0.2">
      <c r="A65" s="13" t="s">
        <v>329</v>
      </c>
      <c r="B65" s="247" t="s">
        <v>291</v>
      </c>
      <c r="C65" s="394">
        <f t="shared" si="0"/>
        <v>100000000</v>
      </c>
      <c r="D65" s="324">
        <v>100000000</v>
      </c>
      <c r="E65" s="162"/>
      <c r="F65" s="162"/>
    </row>
    <row r="66" spans="1:6" s="245" customFormat="1" ht="12" customHeight="1" thickBot="1" x14ac:dyDescent="0.25">
      <c r="A66" s="15" t="s">
        <v>330</v>
      </c>
      <c r="B66" s="308" t="s">
        <v>536</v>
      </c>
      <c r="C66" s="395">
        <f t="shared" si="0"/>
        <v>0</v>
      </c>
      <c r="D66" s="324"/>
      <c r="E66" s="162"/>
      <c r="F66" s="162"/>
    </row>
    <row r="67" spans="1:6" s="245" customFormat="1" ht="12" customHeight="1" thickBot="1" x14ac:dyDescent="0.25">
      <c r="A67" s="307" t="s">
        <v>293</v>
      </c>
      <c r="B67" s="153" t="s">
        <v>294</v>
      </c>
      <c r="C67" s="325">
        <f t="shared" si="0"/>
        <v>0</v>
      </c>
      <c r="D67" s="351">
        <f>SUM(D68:D71)</f>
        <v>0</v>
      </c>
      <c r="E67" s="158">
        <f>SUM(E68:E71)</f>
        <v>0</v>
      </c>
      <c r="F67" s="158">
        <f>SUM(F68:F71)</f>
        <v>0</v>
      </c>
    </row>
    <row r="68" spans="1:6" s="245" customFormat="1" ht="12" customHeight="1" x14ac:dyDescent="0.2">
      <c r="A68" s="14" t="s">
        <v>165</v>
      </c>
      <c r="B68" s="246" t="s">
        <v>295</v>
      </c>
      <c r="C68" s="393">
        <f t="shared" si="0"/>
        <v>0</v>
      </c>
      <c r="D68" s="324"/>
      <c r="E68" s="162"/>
      <c r="F68" s="162"/>
    </row>
    <row r="69" spans="1:6" s="245" customFormat="1" ht="12" customHeight="1" x14ac:dyDescent="0.2">
      <c r="A69" s="13" t="s">
        <v>166</v>
      </c>
      <c r="B69" s="247" t="s">
        <v>296</v>
      </c>
      <c r="C69" s="394">
        <f t="shared" ref="C69:C87" si="1">SUM(D69:F69)</f>
        <v>0</v>
      </c>
      <c r="D69" s="324"/>
      <c r="E69" s="162"/>
      <c r="F69" s="162"/>
    </row>
    <row r="70" spans="1:6" s="245" customFormat="1" ht="12" customHeight="1" x14ac:dyDescent="0.2">
      <c r="A70" s="13" t="s">
        <v>321</v>
      </c>
      <c r="B70" s="247" t="s">
        <v>297</v>
      </c>
      <c r="C70" s="394">
        <f t="shared" si="1"/>
        <v>0</v>
      </c>
      <c r="D70" s="324"/>
      <c r="E70" s="162"/>
      <c r="F70" s="162"/>
    </row>
    <row r="71" spans="1:6" s="245" customFormat="1" ht="12" customHeight="1" thickBot="1" x14ac:dyDescent="0.25">
      <c r="A71" s="15" t="s">
        <v>322</v>
      </c>
      <c r="B71" s="155" t="s">
        <v>298</v>
      </c>
      <c r="C71" s="395">
        <f t="shared" si="1"/>
        <v>0</v>
      </c>
      <c r="D71" s="324"/>
      <c r="E71" s="162"/>
      <c r="F71" s="162"/>
    </row>
    <row r="72" spans="1:6" s="245" customFormat="1" ht="12" customHeight="1" thickBot="1" x14ac:dyDescent="0.25">
      <c r="A72" s="307" t="s">
        <v>299</v>
      </c>
      <c r="B72" s="153" t="s">
        <v>300</v>
      </c>
      <c r="C72" s="163">
        <f t="shared" si="1"/>
        <v>418046</v>
      </c>
      <c r="D72" s="351">
        <f>SUM(D73:D74)</f>
        <v>0</v>
      </c>
      <c r="E72" s="158">
        <f>SUM(E73:E74)</f>
        <v>0</v>
      </c>
      <c r="F72" s="158">
        <f>SUM(F73:F74)</f>
        <v>418046</v>
      </c>
    </row>
    <row r="73" spans="1:6" s="245" customFormat="1" ht="12" customHeight="1" x14ac:dyDescent="0.2">
      <c r="A73" s="14" t="s">
        <v>323</v>
      </c>
      <c r="B73" s="246" t="s">
        <v>301</v>
      </c>
      <c r="C73" s="393">
        <f t="shared" si="1"/>
        <v>418046</v>
      </c>
      <c r="D73" s="324"/>
      <c r="E73" s="162"/>
      <c r="F73" s="162">
        <v>418046</v>
      </c>
    </row>
    <row r="74" spans="1:6" s="245" customFormat="1" ht="12" customHeight="1" thickBot="1" x14ac:dyDescent="0.25">
      <c r="A74" s="15" t="s">
        <v>324</v>
      </c>
      <c r="B74" s="155" t="s">
        <v>302</v>
      </c>
      <c r="C74" s="395">
        <f t="shared" si="1"/>
        <v>0</v>
      </c>
      <c r="D74" s="324"/>
      <c r="E74" s="162"/>
      <c r="F74" s="162"/>
    </row>
    <row r="75" spans="1:6" s="245" customFormat="1" ht="12" customHeight="1" thickBot="1" x14ac:dyDescent="0.25">
      <c r="A75" s="307" t="s">
        <v>303</v>
      </c>
      <c r="B75" s="153" t="s">
        <v>304</v>
      </c>
      <c r="C75" s="163">
        <f t="shared" si="1"/>
        <v>0</v>
      </c>
      <c r="D75" s="351">
        <f>SUM(D76:D78)</f>
        <v>0</v>
      </c>
      <c r="E75" s="158">
        <f>SUM(E76:E78)</f>
        <v>0</v>
      </c>
      <c r="F75" s="158">
        <f>SUM(F76:F78)</f>
        <v>0</v>
      </c>
    </row>
    <row r="76" spans="1:6" s="245" customFormat="1" ht="12" customHeight="1" x14ac:dyDescent="0.2">
      <c r="A76" s="14" t="s">
        <v>325</v>
      </c>
      <c r="B76" s="246" t="s">
        <v>305</v>
      </c>
      <c r="C76" s="393">
        <f t="shared" si="1"/>
        <v>0</v>
      </c>
      <c r="D76" s="324"/>
      <c r="E76" s="162"/>
      <c r="F76" s="162"/>
    </row>
    <row r="77" spans="1:6" s="245" customFormat="1" ht="12" customHeight="1" x14ac:dyDescent="0.2">
      <c r="A77" s="13" t="s">
        <v>326</v>
      </c>
      <c r="B77" s="247" t="s">
        <v>306</v>
      </c>
      <c r="C77" s="394">
        <f t="shared" si="1"/>
        <v>0</v>
      </c>
      <c r="D77" s="324"/>
      <c r="E77" s="162"/>
      <c r="F77" s="162"/>
    </row>
    <row r="78" spans="1:6" s="245" customFormat="1" ht="12" customHeight="1" thickBot="1" x14ac:dyDescent="0.25">
      <c r="A78" s="15" t="s">
        <v>327</v>
      </c>
      <c r="B78" s="155" t="s">
        <v>307</v>
      </c>
      <c r="C78" s="395">
        <f t="shared" si="1"/>
        <v>0</v>
      </c>
      <c r="D78" s="324"/>
      <c r="E78" s="162"/>
      <c r="F78" s="162"/>
    </row>
    <row r="79" spans="1:6" s="245" customFormat="1" ht="12" customHeight="1" thickBot="1" x14ac:dyDescent="0.25">
      <c r="A79" s="307" t="s">
        <v>308</v>
      </c>
      <c r="B79" s="153" t="s">
        <v>328</v>
      </c>
      <c r="C79" s="163">
        <f t="shared" si="1"/>
        <v>0</v>
      </c>
      <c r="D79" s="351">
        <f>SUM(D80:D83)</f>
        <v>0</v>
      </c>
      <c r="E79" s="158">
        <f>SUM(E80:E83)</f>
        <v>0</v>
      </c>
      <c r="F79" s="158">
        <f>SUM(F80:F83)</f>
        <v>0</v>
      </c>
    </row>
    <row r="80" spans="1:6" s="245" customFormat="1" ht="12" customHeight="1" x14ac:dyDescent="0.2">
      <c r="A80" s="250" t="s">
        <v>309</v>
      </c>
      <c r="B80" s="246" t="s">
        <v>310</v>
      </c>
      <c r="C80" s="393">
        <f t="shared" si="1"/>
        <v>0</v>
      </c>
      <c r="D80" s="324"/>
      <c r="E80" s="162"/>
      <c r="F80" s="162"/>
    </row>
    <row r="81" spans="1:6" s="245" customFormat="1" ht="12" customHeight="1" x14ac:dyDescent="0.2">
      <c r="A81" s="251" t="s">
        <v>311</v>
      </c>
      <c r="B81" s="247" t="s">
        <v>312</v>
      </c>
      <c r="C81" s="394">
        <f t="shared" si="1"/>
        <v>0</v>
      </c>
      <c r="D81" s="324"/>
      <c r="E81" s="162"/>
      <c r="F81" s="162"/>
    </row>
    <row r="82" spans="1:6" s="245" customFormat="1" ht="12" customHeight="1" x14ac:dyDescent="0.2">
      <c r="A82" s="251" t="s">
        <v>313</v>
      </c>
      <c r="B82" s="247" t="s">
        <v>314</v>
      </c>
      <c r="C82" s="394">
        <f t="shared" si="1"/>
        <v>0</v>
      </c>
      <c r="D82" s="324"/>
      <c r="E82" s="162"/>
      <c r="F82" s="162"/>
    </row>
    <row r="83" spans="1:6" s="245" customFormat="1" ht="12" customHeight="1" thickBot="1" x14ac:dyDescent="0.25">
      <c r="A83" s="252" t="s">
        <v>315</v>
      </c>
      <c r="B83" s="155" t="s">
        <v>316</v>
      </c>
      <c r="C83" s="395">
        <f t="shared" si="1"/>
        <v>0</v>
      </c>
      <c r="D83" s="324"/>
      <c r="E83" s="162"/>
      <c r="F83" s="162"/>
    </row>
    <row r="84" spans="1:6" s="245" customFormat="1" ht="12" customHeight="1" thickBot="1" x14ac:dyDescent="0.25">
      <c r="A84" s="307" t="s">
        <v>317</v>
      </c>
      <c r="B84" s="153" t="s">
        <v>537</v>
      </c>
      <c r="C84" s="158">
        <f t="shared" si="1"/>
        <v>0</v>
      </c>
      <c r="D84" s="359"/>
      <c r="E84" s="285"/>
      <c r="F84" s="285"/>
    </row>
    <row r="85" spans="1:6" s="245" customFormat="1" ht="13.5" customHeight="1" thickBot="1" x14ac:dyDescent="0.25">
      <c r="A85" s="307" t="s">
        <v>319</v>
      </c>
      <c r="B85" s="153" t="s">
        <v>318</v>
      </c>
      <c r="C85" s="158">
        <f t="shared" si="1"/>
        <v>0</v>
      </c>
      <c r="D85" s="359"/>
      <c r="E85" s="285"/>
      <c r="F85" s="285"/>
    </row>
    <row r="86" spans="1:6" s="245" customFormat="1" ht="15.75" customHeight="1" thickBot="1" x14ac:dyDescent="0.25">
      <c r="A86" s="307" t="s">
        <v>331</v>
      </c>
      <c r="B86" s="253" t="s">
        <v>538</v>
      </c>
      <c r="C86" s="158">
        <f t="shared" si="1"/>
        <v>182418046</v>
      </c>
      <c r="D86" s="355">
        <f>+D63+D67+D72+D75+D79+D85+D84</f>
        <v>182000000</v>
      </c>
      <c r="E86" s="163">
        <f>+E63+E67+E72+E75+E79+E85+E84</f>
        <v>0</v>
      </c>
      <c r="F86" s="163">
        <f>+F63+F67+F72+F75+F79+F85+F84</f>
        <v>418046</v>
      </c>
    </row>
    <row r="87" spans="1:6" s="245" customFormat="1" ht="16.5" customHeight="1" thickBot="1" x14ac:dyDescent="0.25">
      <c r="A87" s="309" t="s">
        <v>539</v>
      </c>
      <c r="B87" s="254" t="s">
        <v>540</v>
      </c>
      <c r="C87" s="158">
        <f t="shared" si="1"/>
        <v>920362243</v>
      </c>
      <c r="D87" s="355">
        <f>+D62+D86</f>
        <v>701617795</v>
      </c>
      <c r="E87" s="163">
        <f>+E62+E86</f>
        <v>635000</v>
      </c>
      <c r="F87" s="163">
        <f>+F62+F86</f>
        <v>218109448</v>
      </c>
    </row>
    <row r="88" spans="1:6" s="245" customFormat="1" ht="83.25" customHeight="1" x14ac:dyDescent="0.2">
      <c r="A88" s="4"/>
      <c r="B88" s="5"/>
      <c r="C88" s="164"/>
    </row>
    <row r="89" spans="1:6" ht="16.5" customHeight="1" x14ac:dyDescent="0.25">
      <c r="A89" s="954" t="s">
        <v>74</v>
      </c>
      <c r="B89" s="954"/>
      <c r="C89" s="954"/>
    </row>
    <row r="90" spans="1:6" s="255" customFormat="1" ht="16.5" customHeight="1" thickBot="1" x14ac:dyDescent="0.3">
      <c r="A90" s="955" t="s">
        <v>168</v>
      </c>
      <c r="B90" s="955"/>
      <c r="C90" s="86" t="s">
        <v>676</v>
      </c>
    </row>
    <row r="91" spans="1:6" ht="38.1" customHeight="1" thickBot="1" x14ac:dyDescent="0.3">
      <c r="A91" s="22" t="s">
        <v>96</v>
      </c>
      <c r="B91" s="23" t="s">
        <v>75</v>
      </c>
      <c r="C91" s="35" t="str">
        <f>+C3</f>
        <v>2017. évi előirányzat</v>
      </c>
    </row>
    <row r="92" spans="1:6" s="244" customFormat="1" ht="12" customHeight="1" thickBot="1" x14ac:dyDescent="0.25">
      <c r="A92" s="31" t="s">
        <v>524</v>
      </c>
      <c r="B92" s="32" t="s">
        <v>525</v>
      </c>
      <c r="C92" s="33" t="s">
        <v>526</v>
      </c>
    </row>
    <row r="93" spans="1:6" ht="12" customHeight="1" thickBot="1" x14ac:dyDescent="0.3">
      <c r="A93" s="21" t="s">
        <v>45</v>
      </c>
      <c r="B93" s="25" t="s">
        <v>578</v>
      </c>
      <c r="C93" s="158">
        <f t="shared" ref="C93:C154" si="2">SUM(D93:F93)</f>
        <v>686565738</v>
      </c>
      <c r="D93" s="363">
        <f>+D94+D95+D96+D97+D98+D111</f>
        <v>122173294</v>
      </c>
      <c r="E93" s="157">
        <f>+E94+E95+E96+E97+E98+E111</f>
        <v>4419000</v>
      </c>
      <c r="F93" s="158">
        <f>F94+F95+F96+F97+F98+F111</f>
        <v>559973444</v>
      </c>
    </row>
    <row r="94" spans="1:6" ht="12" customHeight="1" x14ac:dyDescent="0.25">
      <c r="A94" s="16" t="s">
        <v>121</v>
      </c>
      <c r="B94" s="9" t="s">
        <v>76</v>
      </c>
      <c r="C94" s="803">
        <f t="shared" si="2"/>
        <v>325934053</v>
      </c>
      <c r="D94" s="388">
        <f>310000+175000+172000+24000+3882000+3749000-282000+589000+24000+76000+2550000+416250+2550648+481496+3435648+3375000+515000+4000+6730000+750000+2921000-1000000+15800+15000</f>
        <v>31478842</v>
      </c>
      <c r="E94" s="333"/>
      <c r="F94" s="333">
        <f>258452451+7750306+28252454</f>
        <v>294455211</v>
      </c>
    </row>
    <row r="95" spans="1:6" ht="12" customHeight="1" x14ac:dyDescent="0.25">
      <c r="A95" s="13" t="s">
        <v>122</v>
      </c>
      <c r="B95" s="7" t="s">
        <v>187</v>
      </c>
      <c r="C95" s="802">
        <f t="shared" si="2"/>
        <v>77004687</v>
      </c>
      <c r="D95" s="324">
        <f>62000+33000+48000+808000+1652000-63900+117000+10800+37984+561000-41845+554400+765067+210221+911250+102000+1460052+149000+578359+1000000+6910+2970</f>
        <v>8964268</v>
      </c>
      <c r="E95" s="162"/>
      <c r="F95" s="162">
        <f>60280532+1688942+6070945</f>
        <v>68040419</v>
      </c>
    </row>
    <row r="96" spans="1:6" ht="12" customHeight="1" x14ac:dyDescent="0.25">
      <c r="A96" s="13" t="s">
        <v>123</v>
      </c>
      <c r="B96" s="7" t="s">
        <v>157</v>
      </c>
      <c r="C96" s="802">
        <f t="shared" si="2"/>
        <v>269916994</v>
      </c>
      <c r="D96" s="328">
        <f>4801000+800001+376000+120000+386000+50000+18800+32000+22000+11212000+1682000+295900+401000+411000+1600000+26600000+7585000+1232300+80000-29210-800001+1025256+1035000+143504+138750-19000000-4000+8134750+8729191+115500+400000+2110440+4266+1260524+3189+1946520+5101500</f>
        <v>68020180</v>
      </c>
      <c r="E96" s="235">
        <v>4419000</v>
      </c>
      <c r="F96" s="162">
        <f>196774214-59900+635000+128500</f>
        <v>197477814</v>
      </c>
    </row>
    <row r="97" spans="1:6" ht="12" customHeight="1" x14ac:dyDescent="0.25">
      <c r="A97" s="13" t="s">
        <v>124</v>
      </c>
      <c r="B97" s="7" t="s">
        <v>188</v>
      </c>
      <c r="C97" s="394">
        <f t="shared" si="2"/>
        <v>0</v>
      </c>
      <c r="D97" s="328"/>
      <c r="E97" s="235"/>
      <c r="F97" s="162"/>
    </row>
    <row r="98" spans="1:6" ht="12" customHeight="1" x14ac:dyDescent="0.25">
      <c r="A98" s="13" t="s">
        <v>135</v>
      </c>
      <c r="B98" s="6" t="s">
        <v>189</v>
      </c>
      <c r="C98" s="394">
        <f t="shared" si="2"/>
        <v>13710004</v>
      </c>
      <c r="D98" s="328">
        <f>SUM(D99:D110)</f>
        <v>13710004</v>
      </c>
      <c r="E98" s="235">
        <f>SUM(E99:E110)</f>
        <v>0</v>
      </c>
      <c r="F98" s="235"/>
    </row>
    <row r="99" spans="1:6" ht="12" customHeight="1" x14ac:dyDescent="0.25">
      <c r="A99" s="13" t="s">
        <v>125</v>
      </c>
      <c r="B99" s="7" t="s">
        <v>541</v>
      </c>
      <c r="C99" s="394">
        <f t="shared" si="2"/>
        <v>2799004</v>
      </c>
      <c r="D99" s="328">
        <f>2792500+6504</f>
        <v>2799004</v>
      </c>
      <c r="E99" s="235"/>
      <c r="F99" s="235"/>
    </row>
    <row r="100" spans="1:6" ht="12" customHeight="1" x14ac:dyDescent="0.25">
      <c r="A100" s="13" t="s">
        <v>126</v>
      </c>
      <c r="B100" s="90" t="s">
        <v>542</v>
      </c>
      <c r="C100" s="394">
        <f t="shared" si="2"/>
        <v>0</v>
      </c>
      <c r="D100" s="328"/>
      <c r="E100" s="235"/>
      <c r="F100" s="235"/>
    </row>
    <row r="101" spans="1:6" ht="12" customHeight="1" x14ac:dyDescent="0.25">
      <c r="A101" s="13" t="s">
        <v>136</v>
      </c>
      <c r="B101" s="90" t="s">
        <v>543</v>
      </c>
      <c r="C101" s="394">
        <f t="shared" si="2"/>
        <v>0</v>
      </c>
      <c r="D101" s="328"/>
      <c r="E101" s="235"/>
      <c r="F101" s="235"/>
    </row>
    <row r="102" spans="1:6" ht="12" customHeight="1" x14ac:dyDescent="0.25">
      <c r="A102" s="13" t="s">
        <v>137</v>
      </c>
      <c r="B102" s="88" t="s">
        <v>334</v>
      </c>
      <c r="C102" s="394">
        <f t="shared" si="2"/>
        <v>0</v>
      </c>
      <c r="D102" s="328"/>
      <c r="E102" s="235"/>
      <c r="F102" s="235"/>
    </row>
    <row r="103" spans="1:6" ht="12" customHeight="1" x14ac:dyDescent="0.25">
      <c r="A103" s="13" t="s">
        <v>138</v>
      </c>
      <c r="B103" s="89" t="s">
        <v>335</v>
      </c>
      <c r="C103" s="394">
        <f t="shared" si="2"/>
        <v>0</v>
      </c>
      <c r="D103" s="328"/>
      <c r="E103" s="235"/>
      <c r="F103" s="235"/>
    </row>
    <row r="104" spans="1:6" ht="12" customHeight="1" x14ac:dyDescent="0.25">
      <c r="A104" s="13" t="s">
        <v>139</v>
      </c>
      <c r="B104" s="89" t="s">
        <v>336</v>
      </c>
      <c r="C104" s="394">
        <f t="shared" si="2"/>
        <v>0</v>
      </c>
      <c r="D104" s="328"/>
      <c r="E104" s="235"/>
      <c r="F104" s="235"/>
    </row>
    <row r="105" spans="1:6" ht="12" customHeight="1" x14ac:dyDescent="0.25">
      <c r="A105" s="13" t="s">
        <v>141</v>
      </c>
      <c r="B105" s="88" t="s">
        <v>337</v>
      </c>
      <c r="C105" s="394">
        <f t="shared" si="2"/>
        <v>0</v>
      </c>
      <c r="D105" s="328"/>
      <c r="E105" s="235"/>
      <c r="F105" s="235"/>
    </row>
    <row r="106" spans="1:6" ht="12" customHeight="1" x14ac:dyDescent="0.25">
      <c r="A106" s="13" t="s">
        <v>190</v>
      </c>
      <c r="B106" s="88" t="s">
        <v>338</v>
      </c>
      <c r="C106" s="394">
        <f t="shared" si="2"/>
        <v>0</v>
      </c>
      <c r="D106" s="328"/>
      <c r="E106" s="235"/>
      <c r="F106" s="235"/>
    </row>
    <row r="107" spans="1:6" ht="12" customHeight="1" x14ac:dyDescent="0.25">
      <c r="A107" s="13" t="s">
        <v>332</v>
      </c>
      <c r="B107" s="89" t="s">
        <v>339</v>
      </c>
      <c r="C107" s="394">
        <f t="shared" si="2"/>
        <v>0</v>
      </c>
      <c r="D107" s="328"/>
      <c r="E107" s="235"/>
      <c r="F107" s="235"/>
    </row>
    <row r="108" spans="1:6" ht="12" customHeight="1" x14ac:dyDescent="0.25">
      <c r="A108" s="12" t="s">
        <v>333</v>
      </c>
      <c r="B108" s="90" t="s">
        <v>340</v>
      </c>
      <c r="C108" s="394">
        <f t="shared" si="2"/>
        <v>0</v>
      </c>
      <c r="D108" s="328"/>
      <c r="E108" s="235"/>
      <c r="F108" s="235"/>
    </row>
    <row r="109" spans="1:6" ht="12" customHeight="1" x14ac:dyDescent="0.25">
      <c r="A109" s="13" t="s">
        <v>544</v>
      </c>
      <c r="B109" s="90" t="s">
        <v>341</v>
      </c>
      <c r="C109" s="394">
        <f t="shared" si="2"/>
        <v>0</v>
      </c>
      <c r="D109" s="328"/>
      <c r="E109" s="235"/>
      <c r="F109" s="235"/>
    </row>
    <row r="110" spans="1:6" ht="12" customHeight="1" x14ac:dyDescent="0.25">
      <c r="A110" s="15" t="s">
        <v>545</v>
      </c>
      <c r="B110" s="90" t="s">
        <v>342</v>
      </c>
      <c r="C110" s="802">
        <f t="shared" si="2"/>
        <v>10911000</v>
      </c>
      <c r="D110" s="324">
        <f>5000000+800000+150000+50000+163000+4568000+100000+80000+3000000-3000000</f>
        <v>10911000</v>
      </c>
      <c r="E110" s="162"/>
      <c r="F110" s="338"/>
    </row>
    <row r="111" spans="1:6" ht="12" customHeight="1" x14ac:dyDescent="0.25">
      <c r="A111" s="13" t="s">
        <v>546</v>
      </c>
      <c r="B111" s="7" t="s">
        <v>77</v>
      </c>
      <c r="C111" s="394">
        <f t="shared" si="2"/>
        <v>0</v>
      </c>
      <c r="D111" s="145"/>
      <c r="E111" s="162"/>
      <c r="F111" s="159"/>
    </row>
    <row r="112" spans="1:6" ht="12" customHeight="1" x14ac:dyDescent="0.25">
      <c r="A112" s="13" t="s">
        <v>547</v>
      </c>
      <c r="B112" s="7" t="s">
        <v>548</v>
      </c>
      <c r="C112" s="394">
        <f t="shared" si="2"/>
        <v>0</v>
      </c>
      <c r="D112" s="146"/>
      <c r="E112" s="235"/>
      <c r="F112" s="159"/>
    </row>
    <row r="113" spans="1:6" ht="12" customHeight="1" thickBot="1" x14ac:dyDescent="0.3">
      <c r="A113" s="17" t="s">
        <v>549</v>
      </c>
      <c r="B113" s="310" t="s">
        <v>550</v>
      </c>
      <c r="C113" s="395">
        <f t="shared" si="2"/>
        <v>0</v>
      </c>
      <c r="D113" s="364"/>
      <c r="E113" s="345"/>
      <c r="F113" s="165"/>
    </row>
    <row r="114" spans="1:6" ht="12" customHeight="1" thickBot="1" x14ac:dyDescent="0.3">
      <c r="A114" s="311" t="s">
        <v>46</v>
      </c>
      <c r="B114" s="312" t="s">
        <v>343</v>
      </c>
      <c r="C114" s="163">
        <f t="shared" si="2"/>
        <v>241310939</v>
      </c>
      <c r="D114" s="351">
        <f>+D115+D117+D119</f>
        <v>238095779</v>
      </c>
      <c r="E114" s="158">
        <f>+E115+E117+E119</f>
        <v>0</v>
      </c>
      <c r="F114" s="313">
        <f>+F115+F117+F119</f>
        <v>3215160</v>
      </c>
    </row>
    <row r="115" spans="1:6" ht="12" customHeight="1" x14ac:dyDescent="0.25">
      <c r="A115" s="14" t="s">
        <v>127</v>
      </c>
      <c r="B115" s="7" t="s">
        <v>207</v>
      </c>
      <c r="C115" s="393">
        <f t="shared" si="2"/>
        <v>11280605</v>
      </c>
      <c r="D115" s="358">
        <f>2963001+300001+90200+301000+973976-300001+96110+2835000+310040+60000+127000+2430118+1200000-2921000-400000</f>
        <v>8065445</v>
      </c>
      <c r="E115" s="284"/>
      <c r="F115" s="284">
        <f>3155260+59900</f>
        <v>3215160</v>
      </c>
    </row>
    <row r="116" spans="1:6" ht="12" customHeight="1" x14ac:dyDescent="0.25">
      <c r="A116" s="14" t="s">
        <v>128</v>
      </c>
      <c r="B116" s="11" t="s">
        <v>347</v>
      </c>
      <c r="C116" s="394">
        <f t="shared" si="2"/>
        <v>0</v>
      </c>
      <c r="D116" s="358"/>
      <c r="E116" s="284"/>
      <c r="F116" s="284"/>
    </row>
    <row r="117" spans="1:6" ht="12" customHeight="1" x14ac:dyDescent="0.25">
      <c r="A117" s="14" t="s">
        <v>129</v>
      </c>
      <c r="B117" s="11" t="s">
        <v>191</v>
      </c>
      <c r="C117" s="394">
        <f t="shared" si="2"/>
        <v>229430334</v>
      </c>
      <c r="D117" s="145">
        <f>21000000+300001+18700651+189429682</f>
        <v>229430334</v>
      </c>
      <c r="E117" s="162"/>
      <c r="F117" s="162"/>
    </row>
    <row r="118" spans="1:6" ht="12" customHeight="1" x14ac:dyDescent="0.25">
      <c r="A118" s="14" t="s">
        <v>130</v>
      </c>
      <c r="B118" s="11" t="s">
        <v>348</v>
      </c>
      <c r="C118" s="394">
        <f t="shared" si="2"/>
        <v>189429682</v>
      </c>
      <c r="D118" s="145">
        <v>189429682</v>
      </c>
      <c r="E118" s="337"/>
      <c r="F118" s="324"/>
    </row>
    <row r="119" spans="1:6" ht="12" customHeight="1" x14ac:dyDescent="0.25">
      <c r="A119" s="14" t="s">
        <v>131</v>
      </c>
      <c r="B119" s="155" t="s">
        <v>209</v>
      </c>
      <c r="C119" s="394">
        <f t="shared" si="2"/>
        <v>600000</v>
      </c>
      <c r="D119" s="329">
        <f>SUM(D120:D127)</f>
        <v>600000</v>
      </c>
      <c r="E119" s="324"/>
      <c r="F119" s="324"/>
    </row>
    <row r="120" spans="1:6" ht="12" customHeight="1" x14ac:dyDescent="0.25">
      <c r="A120" s="14" t="s">
        <v>140</v>
      </c>
      <c r="B120" s="154" t="s">
        <v>410</v>
      </c>
      <c r="C120" s="394">
        <f t="shared" si="2"/>
        <v>0</v>
      </c>
      <c r="D120" s="329"/>
      <c r="E120" s="145"/>
      <c r="F120" s="145"/>
    </row>
    <row r="121" spans="1:6" ht="12" customHeight="1" x14ac:dyDescent="0.25">
      <c r="A121" s="14" t="s">
        <v>142</v>
      </c>
      <c r="B121" s="242" t="s">
        <v>353</v>
      </c>
      <c r="C121" s="394">
        <f t="shared" si="2"/>
        <v>0</v>
      </c>
      <c r="D121" s="329"/>
      <c r="E121" s="145"/>
      <c r="F121" s="145"/>
    </row>
    <row r="122" spans="1:6" x14ac:dyDescent="0.25">
      <c r="A122" s="14" t="s">
        <v>192</v>
      </c>
      <c r="B122" s="89" t="s">
        <v>336</v>
      </c>
      <c r="C122" s="394">
        <f t="shared" si="2"/>
        <v>0</v>
      </c>
      <c r="D122" s="329"/>
      <c r="E122" s="145"/>
      <c r="F122" s="145"/>
    </row>
    <row r="123" spans="1:6" ht="12" customHeight="1" x14ac:dyDescent="0.25">
      <c r="A123" s="14" t="s">
        <v>193</v>
      </c>
      <c r="B123" s="89" t="s">
        <v>352</v>
      </c>
      <c r="C123" s="394">
        <f t="shared" si="2"/>
        <v>0</v>
      </c>
      <c r="D123" s="329"/>
      <c r="E123" s="145"/>
      <c r="F123" s="145"/>
    </row>
    <row r="124" spans="1:6" ht="12" customHeight="1" x14ac:dyDescent="0.25">
      <c r="A124" s="14" t="s">
        <v>194</v>
      </c>
      <c r="B124" s="89" t="s">
        <v>351</v>
      </c>
      <c r="C124" s="394">
        <f t="shared" si="2"/>
        <v>0</v>
      </c>
      <c r="D124" s="329"/>
      <c r="E124" s="145"/>
      <c r="F124" s="145"/>
    </row>
    <row r="125" spans="1:6" ht="12" customHeight="1" x14ac:dyDescent="0.25">
      <c r="A125" s="14" t="s">
        <v>344</v>
      </c>
      <c r="B125" s="89" t="s">
        <v>339</v>
      </c>
      <c r="C125" s="394">
        <f t="shared" si="2"/>
        <v>0</v>
      </c>
      <c r="D125" s="329"/>
      <c r="E125" s="145"/>
      <c r="F125" s="145"/>
    </row>
    <row r="126" spans="1:6" ht="12" customHeight="1" x14ac:dyDescent="0.25">
      <c r="A126" s="14" t="s">
        <v>345</v>
      </c>
      <c r="B126" s="89" t="s">
        <v>350</v>
      </c>
      <c r="C126" s="394">
        <f t="shared" si="2"/>
        <v>0</v>
      </c>
      <c r="D126" s="329"/>
      <c r="E126" s="145"/>
      <c r="F126" s="145"/>
    </row>
    <row r="127" spans="1:6" ht="16.5" thickBot="1" x14ac:dyDescent="0.3">
      <c r="A127" s="12" t="s">
        <v>346</v>
      </c>
      <c r="B127" s="89" t="s">
        <v>349</v>
      </c>
      <c r="C127" s="395">
        <f t="shared" si="2"/>
        <v>600000</v>
      </c>
      <c r="D127" s="330">
        <v>600000</v>
      </c>
      <c r="E127" s="328"/>
      <c r="F127" s="328"/>
    </row>
    <row r="128" spans="1:6" ht="12" customHeight="1" thickBot="1" x14ac:dyDescent="0.3">
      <c r="A128" s="19" t="s">
        <v>47</v>
      </c>
      <c r="B128" s="84" t="s">
        <v>551</v>
      </c>
      <c r="C128" s="163">
        <f t="shared" si="2"/>
        <v>927876677</v>
      </c>
      <c r="D128" s="351">
        <f>+D93+D114</f>
        <v>360269073</v>
      </c>
      <c r="E128" s="158">
        <f>+E93+E114</f>
        <v>4419000</v>
      </c>
      <c r="F128" s="158">
        <f>+F93+F114</f>
        <v>563188604</v>
      </c>
    </row>
    <row r="129" spans="1:6" ht="12" customHeight="1" thickBot="1" x14ac:dyDescent="0.3">
      <c r="A129" s="19" t="s">
        <v>48</v>
      </c>
      <c r="B129" s="84" t="s">
        <v>552</v>
      </c>
      <c r="C129" s="163">
        <f t="shared" si="2"/>
        <v>103161000</v>
      </c>
      <c r="D129" s="351">
        <f>+D130+D131+D132</f>
        <v>103161000</v>
      </c>
      <c r="E129" s="158">
        <f>+E130+E131+E132</f>
        <v>0</v>
      </c>
      <c r="F129" s="158">
        <f>+F130+F131+F132</f>
        <v>0</v>
      </c>
    </row>
    <row r="130" spans="1:6" ht="12" customHeight="1" x14ac:dyDescent="0.25">
      <c r="A130" s="14" t="s">
        <v>244</v>
      </c>
      <c r="B130" s="11" t="s">
        <v>553</v>
      </c>
      <c r="C130" s="393">
        <f t="shared" si="2"/>
        <v>3161000</v>
      </c>
      <c r="D130" s="324">
        <v>3161000</v>
      </c>
      <c r="E130" s="324"/>
      <c r="F130" s="324"/>
    </row>
    <row r="131" spans="1:6" ht="12" customHeight="1" x14ac:dyDescent="0.25">
      <c r="A131" s="14" t="s">
        <v>247</v>
      </c>
      <c r="B131" s="11" t="s">
        <v>554</v>
      </c>
      <c r="C131" s="394">
        <f t="shared" si="2"/>
        <v>100000000</v>
      </c>
      <c r="D131" s="145">
        <v>100000000</v>
      </c>
      <c r="E131" s="145"/>
      <c r="F131" s="145"/>
    </row>
    <row r="132" spans="1:6" ht="12" customHeight="1" thickBot="1" x14ac:dyDescent="0.3">
      <c r="A132" s="12" t="s">
        <v>248</v>
      </c>
      <c r="B132" s="11" t="s">
        <v>555</v>
      </c>
      <c r="C132" s="395">
        <f t="shared" si="2"/>
        <v>0</v>
      </c>
      <c r="D132" s="145"/>
      <c r="E132" s="145"/>
      <c r="F132" s="145"/>
    </row>
    <row r="133" spans="1:6" ht="12" customHeight="1" thickBot="1" x14ac:dyDescent="0.3">
      <c r="A133" s="19" t="s">
        <v>49</v>
      </c>
      <c r="B133" s="84" t="s">
        <v>556</v>
      </c>
      <c r="C133" s="325">
        <f t="shared" si="2"/>
        <v>0</v>
      </c>
      <c r="D133" s="351">
        <f>+D134+D135+D136+D137+D138+D139</f>
        <v>0</v>
      </c>
      <c r="E133" s="158">
        <f>+E134+E135+E136+E137+E138+E139</f>
        <v>0</v>
      </c>
      <c r="F133" s="158">
        <f>SUM(F134:F139)</f>
        <v>0</v>
      </c>
    </row>
    <row r="134" spans="1:6" ht="12" customHeight="1" x14ac:dyDescent="0.25">
      <c r="A134" s="14" t="s">
        <v>114</v>
      </c>
      <c r="B134" s="8" t="s">
        <v>557</v>
      </c>
      <c r="C134" s="393">
        <f t="shared" si="2"/>
        <v>0</v>
      </c>
      <c r="D134" s="145"/>
      <c r="E134" s="145"/>
      <c r="F134" s="145"/>
    </row>
    <row r="135" spans="1:6" ht="12" customHeight="1" x14ac:dyDescent="0.25">
      <c r="A135" s="14" t="s">
        <v>115</v>
      </c>
      <c r="B135" s="8" t="s">
        <v>558</v>
      </c>
      <c r="C135" s="394">
        <f t="shared" si="2"/>
        <v>0</v>
      </c>
      <c r="D135" s="145"/>
      <c r="E135" s="145"/>
      <c r="F135" s="145"/>
    </row>
    <row r="136" spans="1:6" ht="12" customHeight="1" x14ac:dyDescent="0.25">
      <c r="A136" s="14" t="s">
        <v>116</v>
      </c>
      <c r="B136" s="8" t="s">
        <v>559</v>
      </c>
      <c r="C136" s="394">
        <f t="shared" si="2"/>
        <v>0</v>
      </c>
      <c r="D136" s="145"/>
      <c r="E136" s="145"/>
      <c r="F136" s="145"/>
    </row>
    <row r="137" spans="1:6" ht="12" customHeight="1" x14ac:dyDescent="0.25">
      <c r="A137" s="14" t="s">
        <v>179</v>
      </c>
      <c r="B137" s="8" t="s">
        <v>560</v>
      </c>
      <c r="C137" s="394">
        <f t="shared" si="2"/>
        <v>0</v>
      </c>
      <c r="D137" s="145"/>
      <c r="E137" s="145"/>
      <c r="F137" s="145"/>
    </row>
    <row r="138" spans="1:6" ht="12" customHeight="1" x14ac:dyDescent="0.25">
      <c r="A138" s="14" t="s">
        <v>180</v>
      </c>
      <c r="B138" s="8" t="s">
        <v>561</v>
      </c>
      <c r="C138" s="394">
        <f t="shared" si="2"/>
        <v>0</v>
      </c>
      <c r="D138" s="145"/>
      <c r="E138" s="145"/>
      <c r="F138" s="145"/>
    </row>
    <row r="139" spans="1:6" ht="12" customHeight="1" thickBot="1" x14ac:dyDescent="0.3">
      <c r="A139" s="12" t="s">
        <v>181</v>
      </c>
      <c r="B139" s="8" t="s">
        <v>562</v>
      </c>
      <c r="C139" s="395">
        <f t="shared" si="2"/>
        <v>0</v>
      </c>
      <c r="D139" s="145"/>
      <c r="E139" s="145"/>
      <c r="F139" s="145"/>
    </row>
    <row r="140" spans="1:6" ht="12" customHeight="1" thickBot="1" x14ac:dyDescent="0.3">
      <c r="A140" s="19" t="s">
        <v>50</v>
      </c>
      <c r="B140" s="84" t="s">
        <v>563</v>
      </c>
      <c r="C140" s="163">
        <f t="shared" si="2"/>
        <v>0</v>
      </c>
      <c r="D140" s="355">
        <f>+D141+D142+D143+D144</f>
        <v>0</v>
      </c>
      <c r="E140" s="163">
        <f>+E141+E142+E143+E144</f>
        <v>0</v>
      </c>
      <c r="F140" s="163">
        <f>+F141+F142+F143+F144</f>
        <v>0</v>
      </c>
    </row>
    <row r="141" spans="1:6" ht="12" customHeight="1" x14ac:dyDescent="0.25">
      <c r="A141" s="14" t="s">
        <v>117</v>
      </c>
      <c r="B141" s="8" t="s">
        <v>354</v>
      </c>
      <c r="C141" s="393">
        <f t="shared" si="2"/>
        <v>0</v>
      </c>
      <c r="D141" s="145"/>
      <c r="E141" s="145"/>
      <c r="F141" s="145"/>
    </row>
    <row r="142" spans="1:6" ht="12" customHeight="1" x14ac:dyDescent="0.25">
      <c r="A142" s="14" t="s">
        <v>118</v>
      </c>
      <c r="B142" s="8" t="s">
        <v>355</v>
      </c>
      <c r="C142" s="394">
        <f t="shared" si="2"/>
        <v>0</v>
      </c>
      <c r="D142" s="145"/>
      <c r="E142" s="145"/>
      <c r="F142" s="145"/>
    </row>
    <row r="143" spans="1:6" ht="12" customHeight="1" x14ac:dyDescent="0.25">
      <c r="A143" s="14" t="s">
        <v>268</v>
      </c>
      <c r="B143" s="8" t="s">
        <v>564</v>
      </c>
      <c r="C143" s="394">
        <f t="shared" si="2"/>
        <v>0</v>
      </c>
      <c r="D143" s="145"/>
      <c r="E143" s="145"/>
      <c r="F143" s="145"/>
    </row>
    <row r="144" spans="1:6" ht="12" customHeight="1" thickBot="1" x14ac:dyDescent="0.3">
      <c r="A144" s="12" t="s">
        <v>269</v>
      </c>
      <c r="B144" s="6" t="s">
        <v>373</v>
      </c>
      <c r="C144" s="395">
        <f t="shared" si="2"/>
        <v>0</v>
      </c>
      <c r="D144" s="145"/>
      <c r="E144" s="145"/>
      <c r="F144" s="145"/>
    </row>
    <row r="145" spans="1:9" ht="12" customHeight="1" thickBot="1" x14ac:dyDescent="0.3">
      <c r="A145" s="19" t="s">
        <v>51</v>
      </c>
      <c r="B145" s="84" t="s">
        <v>565</v>
      </c>
      <c r="C145" s="163">
        <f t="shared" si="2"/>
        <v>0</v>
      </c>
      <c r="D145" s="366">
        <f>+D146+D147+D148+D149+D150</f>
        <v>0</v>
      </c>
      <c r="E145" s="166">
        <f>+E146+E147+E148+E149+E150</f>
        <v>0</v>
      </c>
      <c r="F145" s="166">
        <f>SUM(F146:F150)</f>
        <v>0</v>
      </c>
    </row>
    <row r="146" spans="1:9" ht="12" customHeight="1" x14ac:dyDescent="0.25">
      <c r="A146" s="14" t="s">
        <v>119</v>
      </c>
      <c r="B146" s="8" t="s">
        <v>566</v>
      </c>
      <c r="C146" s="393">
        <f t="shared" si="2"/>
        <v>0</v>
      </c>
      <c r="D146" s="145"/>
      <c r="E146" s="145"/>
      <c r="F146" s="145"/>
    </row>
    <row r="147" spans="1:9" ht="12" customHeight="1" x14ac:dyDescent="0.25">
      <c r="A147" s="14" t="s">
        <v>120</v>
      </c>
      <c r="B147" s="8" t="s">
        <v>567</v>
      </c>
      <c r="C147" s="394">
        <f t="shared" si="2"/>
        <v>0</v>
      </c>
      <c r="D147" s="145"/>
      <c r="E147" s="145"/>
      <c r="F147" s="145"/>
    </row>
    <row r="148" spans="1:9" ht="12" customHeight="1" x14ac:dyDescent="0.25">
      <c r="A148" s="14" t="s">
        <v>280</v>
      </c>
      <c r="B148" s="8" t="s">
        <v>568</v>
      </c>
      <c r="C148" s="394">
        <f t="shared" si="2"/>
        <v>0</v>
      </c>
      <c r="D148" s="145"/>
      <c r="E148" s="145"/>
      <c r="F148" s="145"/>
    </row>
    <row r="149" spans="1:9" ht="12" customHeight="1" x14ac:dyDescent="0.25">
      <c r="A149" s="14" t="s">
        <v>281</v>
      </c>
      <c r="B149" s="8" t="s">
        <v>569</v>
      </c>
      <c r="C149" s="394">
        <f t="shared" si="2"/>
        <v>0</v>
      </c>
      <c r="D149" s="145"/>
      <c r="E149" s="145"/>
      <c r="F149" s="145"/>
    </row>
    <row r="150" spans="1:9" ht="12" customHeight="1" thickBot="1" x14ac:dyDescent="0.3">
      <c r="A150" s="14" t="s">
        <v>570</v>
      </c>
      <c r="B150" s="8" t="s">
        <v>571</v>
      </c>
      <c r="C150" s="395">
        <f t="shared" si="2"/>
        <v>0</v>
      </c>
      <c r="D150" s="146"/>
      <c r="E150" s="146"/>
      <c r="F150" s="145"/>
    </row>
    <row r="151" spans="1:9" ht="12" customHeight="1" thickBot="1" x14ac:dyDescent="0.3">
      <c r="A151" s="19" t="s">
        <v>52</v>
      </c>
      <c r="B151" s="84" t="s">
        <v>572</v>
      </c>
      <c r="C151" s="158">
        <f t="shared" si="2"/>
        <v>0</v>
      </c>
      <c r="D151" s="366"/>
      <c r="E151" s="166"/>
      <c r="F151" s="314"/>
    </row>
    <row r="152" spans="1:9" ht="12" customHeight="1" thickBot="1" x14ac:dyDescent="0.3">
      <c r="A152" s="19" t="s">
        <v>53</v>
      </c>
      <c r="B152" s="84" t="s">
        <v>573</v>
      </c>
      <c r="C152" s="158">
        <f t="shared" si="2"/>
        <v>0</v>
      </c>
      <c r="D152" s="366"/>
      <c r="E152" s="166"/>
      <c r="F152" s="314"/>
    </row>
    <row r="153" spans="1:9" ht="15" customHeight="1" thickBot="1" x14ac:dyDescent="0.3">
      <c r="A153" s="19" t="s">
        <v>54</v>
      </c>
      <c r="B153" s="84" t="s">
        <v>574</v>
      </c>
      <c r="C153" s="158">
        <f t="shared" si="2"/>
        <v>103161000</v>
      </c>
      <c r="D153" s="369">
        <f>+D129+D133+D140+D145+D151+D152</f>
        <v>103161000</v>
      </c>
      <c r="E153" s="256">
        <f>+E129+E133+E140+E145+E151+E152</f>
        <v>0</v>
      </c>
      <c r="F153" s="256">
        <f>+F129+F133+F140+F145+F151+F152</f>
        <v>0</v>
      </c>
      <c r="G153" s="257"/>
      <c r="H153" s="257"/>
      <c r="I153" s="257"/>
    </row>
    <row r="154" spans="1:9" s="245" customFormat="1" ht="12.95" customHeight="1" thickBot="1" x14ac:dyDescent="0.25">
      <c r="A154" s="156" t="s">
        <v>55</v>
      </c>
      <c r="B154" s="231" t="s">
        <v>575</v>
      </c>
      <c r="C154" s="158">
        <f t="shared" si="2"/>
        <v>1031037677</v>
      </c>
      <c r="D154" s="369">
        <f>+D128+D153</f>
        <v>463430073</v>
      </c>
      <c r="E154" s="256">
        <f>+E128+E153</f>
        <v>4419000</v>
      </c>
      <c r="F154" s="256">
        <f>+F128+F153</f>
        <v>563188604</v>
      </c>
    </row>
    <row r="155" spans="1:9" ht="7.5" customHeight="1" x14ac:dyDescent="0.25"/>
    <row r="156" spans="1:9" x14ac:dyDescent="0.25">
      <c r="A156" s="956" t="s">
        <v>356</v>
      </c>
      <c r="B156" s="956"/>
      <c r="C156" s="956"/>
    </row>
    <row r="157" spans="1:9" ht="15" customHeight="1" thickBot="1" x14ac:dyDescent="0.3">
      <c r="A157" s="953" t="s">
        <v>169</v>
      </c>
      <c r="B157" s="953"/>
      <c r="C157" s="167" t="s">
        <v>676</v>
      </c>
    </row>
    <row r="158" spans="1:9" ht="13.5" customHeight="1" thickBot="1" x14ac:dyDescent="0.3">
      <c r="A158" s="19">
        <v>1</v>
      </c>
      <c r="B158" s="24" t="s">
        <v>576</v>
      </c>
      <c r="C158" s="158">
        <f>+C62-C128</f>
        <v>-189932480</v>
      </c>
    </row>
    <row r="159" spans="1:9" ht="27.75" customHeight="1" thickBot="1" x14ac:dyDescent="0.3">
      <c r="A159" s="19" t="s">
        <v>46</v>
      </c>
      <c r="B159" s="24" t="s">
        <v>577</v>
      </c>
      <c r="C159" s="158">
        <f>+C86-C153</f>
        <v>79257046</v>
      </c>
    </row>
    <row r="162" spans="4:4" x14ac:dyDescent="0.25">
      <c r="D162" s="257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ÖNKÉNT VÁLLALT FELADATAINAK MÉRLEGE
&amp;R&amp;"Times New Roman CE,Félkövér dőlt"&amp;11 3. melléklet a 30/2017.(XI.30.)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82"/>
  <sheetViews>
    <sheetView tabSelected="1" view="pageLayout" topLeftCell="C1" zoomScaleNormal="100" workbookViewId="0">
      <selection sqref="A1:O1"/>
    </sheetView>
  </sheetViews>
  <sheetFormatPr defaultRowHeight="15.75" x14ac:dyDescent="0.25"/>
  <cols>
    <col min="1" max="1" width="4.83203125" style="67" customWidth="1"/>
    <col min="2" max="2" width="31.1640625" style="79" customWidth="1"/>
    <col min="3" max="8" width="11.1640625" style="79" bestFit="1" customWidth="1"/>
    <col min="9" max="9" width="11.83203125" style="79" bestFit="1" customWidth="1"/>
    <col min="10" max="10" width="11.1640625" style="79" bestFit="1" customWidth="1"/>
    <col min="11" max="11" width="12.6640625" style="79" bestFit="1" customWidth="1"/>
    <col min="12" max="12" width="11.83203125" style="79" bestFit="1" customWidth="1"/>
    <col min="13" max="13" width="11.1640625" style="79" bestFit="1" customWidth="1"/>
    <col min="14" max="14" width="11.83203125" style="79" bestFit="1" customWidth="1"/>
    <col min="15" max="15" width="12.6640625" style="67" customWidth="1"/>
    <col min="16" max="16" width="5.83203125" style="924" customWidth="1"/>
    <col min="17" max="17" width="14.6640625" style="910" hidden="1" customWidth="1"/>
    <col min="18" max="18" width="16.6640625" style="910" hidden="1" customWidth="1"/>
    <col min="19" max="16384" width="9.33203125" style="79"/>
  </cols>
  <sheetData>
    <row r="1" spans="1:18" ht="31.5" customHeight="1" x14ac:dyDescent="0.25">
      <c r="A1" s="1007" t="s">
        <v>668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918"/>
    </row>
    <row r="2" spans="1:18" ht="16.5" thickBot="1" x14ac:dyDescent="0.3">
      <c r="O2" s="3" t="s">
        <v>677</v>
      </c>
      <c r="P2" s="919"/>
    </row>
    <row r="3" spans="1:18" ht="35.25" customHeight="1" thickBot="1" x14ac:dyDescent="0.3">
      <c r="A3" s="628" t="s">
        <v>43</v>
      </c>
      <c r="B3" s="629" t="s">
        <v>90</v>
      </c>
      <c r="C3" s="629" t="s">
        <v>97</v>
      </c>
      <c r="D3" s="629" t="s">
        <v>98</v>
      </c>
      <c r="E3" s="629" t="s">
        <v>99</v>
      </c>
      <c r="F3" s="629" t="s">
        <v>100</v>
      </c>
      <c r="G3" s="629" t="s">
        <v>101</v>
      </c>
      <c r="H3" s="629" t="s">
        <v>102</v>
      </c>
      <c r="I3" s="629" t="s">
        <v>103</v>
      </c>
      <c r="J3" s="629" t="s">
        <v>104</v>
      </c>
      <c r="K3" s="629" t="s">
        <v>105</v>
      </c>
      <c r="L3" s="629" t="s">
        <v>106</v>
      </c>
      <c r="M3" s="629" t="s">
        <v>107</v>
      </c>
      <c r="N3" s="629" t="s">
        <v>108</v>
      </c>
      <c r="O3" s="630" t="s">
        <v>80</v>
      </c>
      <c r="P3" s="915"/>
    </row>
    <row r="4" spans="1:18" s="69" customFormat="1" ht="15" customHeight="1" thickBot="1" x14ac:dyDescent="0.25">
      <c r="A4" s="68" t="s">
        <v>45</v>
      </c>
      <c r="B4" s="1009" t="s">
        <v>84</v>
      </c>
      <c r="C4" s="1010"/>
      <c r="D4" s="1010"/>
      <c r="E4" s="1010"/>
      <c r="F4" s="1010"/>
      <c r="G4" s="1010"/>
      <c r="H4" s="1010"/>
      <c r="I4" s="1010"/>
      <c r="J4" s="1010"/>
      <c r="K4" s="1010"/>
      <c r="L4" s="1010"/>
      <c r="M4" s="1010"/>
      <c r="N4" s="1010"/>
      <c r="O4" s="1011"/>
      <c r="P4" s="916"/>
      <c r="Q4" s="911"/>
      <c r="R4" s="911"/>
    </row>
    <row r="5" spans="1:18" s="69" customFormat="1" ht="22.5" x14ac:dyDescent="0.2">
      <c r="A5" s="70" t="s">
        <v>46</v>
      </c>
      <c r="B5" s="286" t="s">
        <v>357</v>
      </c>
      <c r="C5" s="327">
        <f>89000000-286000</f>
        <v>88714000</v>
      </c>
      <c r="D5" s="327">
        <f>89128000-280000</f>
        <v>88848000</v>
      </c>
      <c r="E5" s="327">
        <f>89000000-285000+5359522</f>
        <v>94074522</v>
      </c>
      <c r="F5" s="327">
        <f>89000000-285000+10461768+5359522</f>
        <v>104536290</v>
      </c>
      <c r="G5" s="327">
        <f>104000000-283192+5359522</f>
        <v>109076330</v>
      </c>
      <c r="H5" s="327">
        <f>109000000-283000+5359522</f>
        <v>114076522</v>
      </c>
      <c r="I5" s="327">
        <f>115000000-1280000+5359522-18683734</f>
        <v>100395788</v>
      </c>
      <c r="J5" s="327">
        <f>110000000-1280000+5359522</f>
        <v>114079522</v>
      </c>
      <c r="K5" s="327">
        <f>100000000-1280000+5359522-5893230</f>
        <v>98186292</v>
      </c>
      <c r="L5" s="327">
        <f>96000000-1280000+5359522</f>
        <v>100079522</v>
      </c>
      <c r="M5" s="327">
        <f>97000000-1280000+5359522</f>
        <v>101079522</v>
      </c>
      <c r="N5" s="327">
        <v>101420585</v>
      </c>
      <c r="O5" s="938">
        <f t="shared" ref="O5:O14" si="0">SUM(C5:N5)</f>
        <v>1214566895</v>
      </c>
      <c r="P5" s="920"/>
      <c r="Q5" s="926">
        <v>1214566895</v>
      </c>
      <c r="R5" s="927">
        <f t="shared" ref="R5:R8" si="1">O5-Q5</f>
        <v>0</v>
      </c>
    </row>
    <row r="6" spans="1:18" s="73" customFormat="1" ht="22.5" x14ac:dyDescent="0.2">
      <c r="A6" s="71" t="s">
        <v>47</v>
      </c>
      <c r="B6" s="150" t="s">
        <v>401</v>
      </c>
      <c r="C6" s="303">
        <f>40000000+3000000</f>
        <v>43000000</v>
      </c>
      <c r="D6" s="303">
        <v>43000000</v>
      </c>
      <c r="E6" s="303">
        <f>38000000+40000000</f>
        <v>78000000</v>
      </c>
      <c r="F6" s="303">
        <f>30000000+40000000+362000+30000000</f>
        <v>100362000</v>
      </c>
      <c r="G6" s="303">
        <v>8000000</v>
      </c>
      <c r="H6" s="303">
        <v>8500000</v>
      </c>
      <c r="I6" s="303">
        <v>9000000</v>
      </c>
      <c r="J6" s="303">
        <v>8500000</v>
      </c>
      <c r="K6" s="303">
        <v>9000000</v>
      </c>
      <c r="L6" s="303">
        <v>8000000</v>
      </c>
      <c r="M6" s="303">
        <f>8500000+1987323</f>
        <v>10487323</v>
      </c>
      <c r="N6" s="303">
        <v>10000000</v>
      </c>
      <c r="O6" s="795">
        <f t="shared" si="0"/>
        <v>335849323</v>
      </c>
      <c r="P6" s="920"/>
      <c r="Q6" s="928">
        <v>335849323</v>
      </c>
      <c r="R6" s="929">
        <f t="shared" si="1"/>
        <v>0</v>
      </c>
    </row>
    <row r="7" spans="1:18" s="73" customFormat="1" ht="22.5" x14ac:dyDescent="0.2">
      <c r="A7" s="71" t="s">
        <v>48</v>
      </c>
      <c r="B7" s="149" t="s">
        <v>402</v>
      </c>
      <c r="C7" s="304"/>
      <c r="D7" s="304"/>
      <c r="E7" s="304">
        <v>500000</v>
      </c>
      <c r="F7" s="304">
        <v>5000000</v>
      </c>
      <c r="G7" s="304">
        <f>3797300+3679276</f>
        <v>7476576</v>
      </c>
      <c r="H7" s="304">
        <f>6000000+71809476+2160000</f>
        <v>79969476</v>
      </c>
      <c r="I7" s="304">
        <v>15956160</v>
      </c>
      <c r="J7" s="304"/>
      <c r="K7" s="304">
        <f>232607039+202150930-15179276</f>
        <v>419578693</v>
      </c>
      <c r="L7" s="304">
        <v>3779393</v>
      </c>
      <c r="M7" s="304"/>
      <c r="N7" s="304"/>
      <c r="O7" s="795">
        <f t="shared" si="0"/>
        <v>532260298</v>
      </c>
      <c r="P7" s="921"/>
      <c r="Q7" s="928">
        <v>532260298</v>
      </c>
      <c r="R7" s="929">
        <f t="shared" si="1"/>
        <v>0</v>
      </c>
    </row>
    <row r="8" spans="1:18" s="73" customFormat="1" ht="14.1" customHeight="1" x14ac:dyDescent="0.2">
      <c r="A8" s="71" t="s">
        <v>49</v>
      </c>
      <c r="B8" s="148" t="s">
        <v>178</v>
      </c>
      <c r="C8" s="303">
        <v>5000000</v>
      </c>
      <c r="D8" s="303">
        <v>5000000</v>
      </c>
      <c r="E8" s="303">
        <v>120000000</v>
      </c>
      <c r="F8" s="303">
        <v>8390000</v>
      </c>
      <c r="G8" s="303">
        <v>5000000</v>
      </c>
      <c r="H8" s="303">
        <f>3000000</f>
        <v>3000000</v>
      </c>
      <c r="I8" s="303">
        <v>3000000</v>
      </c>
      <c r="J8" s="303">
        <v>3000000</v>
      </c>
      <c r="K8" s="303">
        <f>120000000+20000000</f>
        <v>140000000</v>
      </c>
      <c r="L8" s="303">
        <v>10000000</v>
      </c>
      <c r="M8" s="303">
        <f>7000000+2100000</f>
        <v>9100000</v>
      </c>
      <c r="N8" s="303">
        <f>30000000+15000000</f>
        <v>45000000</v>
      </c>
      <c r="O8" s="631">
        <f t="shared" si="0"/>
        <v>356490000</v>
      </c>
      <c r="P8" s="922"/>
      <c r="Q8" s="928">
        <v>356490000</v>
      </c>
      <c r="R8" s="929">
        <f t="shared" si="1"/>
        <v>0</v>
      </c>
    </row>
    <row r="9" spans="1:18" s="73" customFormat="1" ht="14.1" customHeight="1" x14ac:dyDescent="0.2">
      <c r="A9" s="71" t="s">
        <v>50</v>
      </c>
      <c r="B9" s="148" t="s">
        <v>403</v>
      </c>
      <c r="C9" s="303">
        <v>37000000</v>
      </c>
      <c r="D9" s="303">
        <v>37000000</v>
      </c>
      <c r="E9" s="303">
        <v>37000000</v>
      </c>
      <c r="F9" s="303">
        <v>37000000</v>
      </c>
      <c r="G9" s="303">
        <v>37000000</v>
      </c>
      <c r="H9" s="303">
        <f>37000000+270000</f>
        <v>37270000</v>
      </c>
      <c r="I9" s="303">
        <f>37000000+4327496+3500000+100000</f>
        <v>44927496</v>
      </c>
      <c r="J9" s="303">
        <f>37000000+100000</f>
        <v>37100000</v>
      </c>
      <c r="K9" s="303">
        <f>39000000+100000+2000000</f>
        <v>41100000</v>
      </c>
      <c r="L9" s="303">
        <f>39000000+6985000+100000-2000000+2000000</f>
        <v>46085000</v>
      </c>
      <c r="M9" s="303">
        <f>37054678+100000-3000000+2000000+2540052</f>
        <v>38694730</v>
      </c>
      <c r="N9" s="303">
        <f>37000000+555000+110437-2652270+1520700+2540052</f>
        <v>39073919</v>
      </c>
      <c r="O9" s="795">
        <f t="shared" si="0"/>
        <v>469251145</v>
      </c>
      <c r="P9" s="921"/>
      <c r="Q9" s="928">
        <v>469251145</v>
      </c>
      <c r="R9" s="929">
        <f>O9-Q9</f>
        <v>0</v>
      </c>
    </row>
    <row r="10" spans="1:18" s="73" customFormat="1" ht="14.1" customHeight="1" x14ac:dyDescent="0.2">
      <c r="A10" s="71" t="s">
        <v>51</v>
      </c>
      <c r="B10" s="148" t="s">
        <v>36</v>
      </c>
      <c r="C10" s="303">
        <v>1920000</v>
      </c>
      <c r="D10" s="303">
        <v>3500000</v>
      </c>
      <c r="E10" s="303">
        <v>250000</v>
      </c>
      <c r="F10" s="303"/>
      <c r="G10" s="303">
        <v>19759000</v>
      </c>
      <c r="H10" s="303">
        <v>1000000</v>
      </c>
      <c r="I10" s="303">
        <v>11000000</v>
      </c>
      <c r="J10" s="303">
        <v>10000000</v>
      </c>
      <c r="K10" s="303"/>
      <c r="L10" s="303"/>
      <c r="M10" s="303"/>
      <c r="N10" s="303"/>
      <c r="O10" s="631">
        <f t="shared" si="0"/>
        <v>47429000</v>
      </c>
      <c r="P10" s="922"/>
      <c r="Q10" s="928">
        <v>47429000</v>
      </c>
      <c r="R10" s="929">
        <f t="shared" ref="R10:R26" si="2">O10-Q10</f>
        <v>0</v>
      </c>
    </row>
    <row r="11" spans="1:18" s="73" customFormat="1" ht="14.1" customHeight="1" x14ac:dyDescent="0.2">
      <c r="A11" s="71" t="s">
        <v>52</v>
      </c>
      <c r="B11" s="148" t="s">
        <v>359</v>
      </c>
      <c r="C11" s="303">
        <v>500000</v>
      </c>
      <c r="D11" s="303">
        <v>500000</v>
      </c>
      <c r="E11" s="303">
        <v>550000</v>
      </c>
      <c r="F11" s="303">
        <v>442000</v>
      </c>
      <c r="G11" s="303">
        <v>450000</v>
      </c>
      <c r="H11" s="303">
        <v>450000</v>
      </c>
      <c r="I11" s="303">
        <v>400000</v>
      </c>
      <c r="J11" s="303">
        <v>300000</v>
      </c>
      <c r="K11" s="303">
        <f>300000+80000</f>
        <v>380000</v>
      </c>
      <c r="L11" s="303">
        <f>1666000+140433</f>
        <v>1806433</v>
      </c>
      <c r="M11" s="303">
        <v>300000</v>
      </c>
      <c r="N11" s="303">
        <f>166000+18000000</f>
        <v>18166000</v>
      </c>
      <c r="O11" s="795">
        <f t="shared" si="0"/>
        <v>24244433</v>
      </c>
      <c r="P11" s="921"/>
      <c r="Q11" s="928">
        <v>24244433</v>
      </c>
      <c r="R11" s="929">
        <f t="shared" si="2"/>
        <v>0</v>
      </c>
    </row>
    <row r="12" spans="1:18" s="73" customFormat="1" ht="22.5" x14ac:dyDescent="0.2">
      <c r="A12" s="71" t="s">
        <v>53</v>
      </c>
      <c r="B12" s="150" t="s">
        <v>389</v>
      </c>
      <c r="C12" s="303"/>
      <c r="D12" s="303"/>
      <c r="E12" s="303"/>
      <c r="F12" s="303"/>
      <c r="G12" s="303"/>
      <c r="H12" s="303"/>
      <c r="I12" s="303">
        <v>1200000</v>
      </c>
      <c r="J12" s="303"/>
      <c r="K12" s="303"/>
      <c r="L12" s="303"/>
      <c r="M12" s="303"/>
      <c r="N12" s="303">
        <v>200000</v>
      </c>
      <c r="O12" s="631">
        <f t="shared" si="0"/>
        <v>1400000</v>
      </c>
      <c r="P12" s="922"/>
      <c r="Q12" s="928">
        <v>1400000</v>
      </c>
      <c r="R12" s="929">
        <f t="shared" si="2"/>
        <v>0</v>
      </c>
    </row>
    <row r="13" spans="1:18" s="73" customFormat="1" ht="14.1" customHeight="1" thickBot="1" x14ac:dyDescent="0.25">
      <c r="A13" s="71" t="s">
        <v>54</v>
      </c>
      <c r="B13" s="148" t="s">
        <v>37</v>
      </c>
      <c r="C13" s="72">
        <v>292999415</v>
      </c>
      <c r="D13" s="72"/>
      <c r="E13" s="72">
        <v>10000000</v>
      </c>
      <c r="F13" s="72"/>
      <c r="G13" s="72"/>
      <c r="H13" s="72">
        <v>20000000</v>
      </c>
      <c r="I13" s="72">
        <v>64100000</v>
      </c>
      <c r="J13" s="72">
        <v>20000000</v>
      </c>
      <c r="K13" s="303">
        <v>10000000</v>
      </c>
      <c r="L13" s="303"/>
      <c r="M13" s="303">
        <f>20000000+37900000+5500000</f>
        <v>63400000</v>
      </c>
      <c r="N13" s="303"/>
      <c r="O13" s="631">
        <f t="shared" si="0"/>
        <v>480499415</v>
      </c>
      <c r="P13" s="922"/>
      <c r="Q13" s="930">
        <v>480499415</v>
      </c>
      <c r="R13" s="931">
        <f t="shared" si="2"/>
        <v>0</v>
      </c>
    </row>
    <row r="14" spans="1:18" s="69" customFormat="1" ht="15.95" customHeight="1" thickBot="1" x14ac:dyDescent="0.25">
      <c r="A14" s="68" t="s">
        <v>55</v>
      </c>
      <c r="B14" s="34" t="s">
        <v>132</v>
      </c>
      <c r="C14" s="74">
        <f t="shared" ref="C14:N14" si="3">SUM(C5:C13)</f>
        <v>469133415</v>
      </c>
      <c r="D14" s="74">
        <f t="shared" si="3"/>
        <v>177848000</v>
      </c>
      <c r="E14" s="74">
        <f t="shared" si="3"/>
        <v>340374522</v>
      </c>
      <c r="F14" s="74">
        <f t="shared" si="3"/>
        <v>255730290</v>
      </c>
      <c r="G14" s="74">
        <f t="shared" si="3"/>
        <v>186761906</v>
      </c>
      <c r="H14" s="74">
        <f t="shared" si="3"/>
        <v>264265998</v>
      </c>
      <c r="I14" s="74">
        <f t="shared" si="3"/>
        <v>249979444</v>
      </c>
      <c r="J14" s="74">
        <f t="shared" si="3"/>
        <v>192979522</v>
      </c>
      <c r="K14" s="74">
        <f t="shared" si="3"/>
        <v>718244985</v>
      </c>
      <c r="L14" s="74">
        <f t="shared" si="3"/>
        <v>169750348</v>
      </c>
      <c r="M14" s="74">
        <f t="shared" si="3"/>
        <v>223061575</v>
      </c>
      <c r="N14" s="74">
        <f t="shared" si="3"/>
        <v>213860504</v>
      </c>
      <c r="O14" s="75">
        <f t="shared" si="0"/>
        <v>3461990509</v>
      </c>
      <c r="P14" s="923"/>
      <c r="Q14" s="913">
        <f>SUM(Q5:Q13)</f>
        <v>3461990509</v>
      </c>
      <c r="R14" s="914">
        <f t="shared" si="2"/>
        <v>0</v>
      </c>
    </row>
    <row r="15" spans="1:18" s="69" customFormat="1" ht="15" customHeight="1" thickBot="1" x14ac:dyDescent="0.25">
      <c r="A15" s="68" t="s">
        <v>56</v>
      </c>
      <c r="B15" s="1009" t="s">
        <v>85</v>
      </c>
      <c r="C15" s="1010"/>
      <c r="D15" s="1010"/>
      <c r="E15" s="1010"/>
      <c r="F15" s="1010"/>
      <c r="G15" s="1010"/>
      <c r="H15" s="1010"/>
      <c r="I15" s="1010"/>
      <c r="J15" s="1010"/>
      <c r="K15" s="1010"/>
      <c r="L15" s="1010"/>
      <c r="M15" s="1010"/>
      <c r="N15" s="1010"/>
      <c r="O15" s="1011"/>
      <c r="P15" s="916"/>
      <c r="Q15" s="911"/>
      <c r="R15" s="912">
        <f t="shared" si="2"/>
        <v>0</v>
      </c>
    </row>
    <row r="16" spans="1:18" s="73" customFormat="1" ht="14.1" customHeight="1" x14ac:dyDescent="0.2">
      <c r="A16" s="934" t="s">
        <v>57</v>
      </c>
      <c r="B16" s="935" t="s">
        <v>91</v>
      </c>
      <c r="C16" s="936">
        <v>83000000</v>
      </c>
      <c r="D16" s="936">
        <v>83105000</v>
      </c>
      <c r="E16" s="936">
        <f>83000000+31471300</f>
        <v>114471300</v>
      </c>
      <c r="F16" s="936">
        <f>81000000+31471300+326126+3025822</f>
        <v>115823248</v>
      </c>
      <c r="G16" s="936">
        <f>81000000+31471300+12214480+3025822-34000000</f>
        <v>93711602</v>
      </c>
      <c r="H16" s="936">
        <f>82000000+31471300+12214480+3025821-199044+76000+1000000-34500000</f>
        <v>95088557</v>
      </c>
      <c r="I16" s="936">
        <f>81000000+31471300+12214480+3025822-199044+15000+622444-34000000</f>
        <v>94150002</v>
      </c>
      <c r="J16" s="936">
        <f>81000000+31471300+12214480+3025822-199044+1275000+622444-34500000</f>
        <v>94910002</v>
      </c>
      <c r="K16" s="936">
        <f>81000000+31471300+12214480+3025822-199044+15000+1275000+622443-34500000</f>
        <v>94925001</v>
      </c>
      <c r="L16" s="936">
        <f>81205571+31471295+12214480+3025821-199044+622443+1903000+5000000-34000000</f>
        <v>101243566</v>
      </c>
      <c r="M16" s="936">
        <f>81000000+12214480-5+3025822-199044+622444+1904000+4000000-34000000+83400</f>
        <v>68651097</v>
      </c>
      <c r="N16" s="936">
        <f>81000000+3025822-199044+20000+622444+1903000+1096+3960546-35533584+83400</f>
        <v>54883680</v>
      </c>
      <c r="O16" s="937">
        <f t="shared" ref="O16:O26" si="4">SUM(C16:N16)</f>
        <v>1093963055</v>
      </c>
      <c r="P16" s="921"/>
      <c r="Q16" s="932">
        <v>1093963055</v>
      </c>
      <c r="R16" s="927">
        <f t="shared" si="2"/>
        <v>0</v>
      </c>
    </row>
    <row r="17" spans="1:18" s="73" customFormat="1" ht="27" customHeight="1" x14ac:dyDescent="0.2">
      <c r="A17" s="71" t="s">
        <v>58</v>
      </c>
      <c r="B17" s="150" t="s">
        <v>187</v>
      </c>
      <c r="C17" s="303">
        <f>17840000+340000</f>
        <v>18180000</v>
      </c>
      <c r="D17" s="303">
        <f>17863000+335000</f>
        <v>18198000</v>
      </c>
      <c r="E17" s="303">
        <f>17840000+3461842+407211</f>
        <v>21709053</v>
      </c>
      <c r="F17" s="303">
        <f>17400000+3461842+35874+644474</f>
        <v>21542190</v>
      </c>
      <c r="G17" s="303">
        <f>17400000+364361+3461842+1343593+644475-3500000</f>
        <v>19714271</v>
      </c>
      <c r="H17" s="303">
        <f>17620000+3461842+1343593+644474-40055+37984+220000-3000000</f>
        <v>20287838</v>
      </c>
      <c r="I17" s="303">
        <f>17400000+3461842+1343593+644475-40054+6000+112959-3500000</f>
        <v>19428815</v>
      </c>
      <c r="J17" s="303">
        <f>17400000+3461842+1343593+644474-40055+280500+112959-3000000</f>
        <v>20203313</v>
      </c>
      <c r="K17" s="303">
        <f>17400000+3461842+1343593+644475-40055+6000+280500+112959-3500000</f>
        <v>19709314</v>
      </c>
      <c r="L17" s="303">
        <f>17440000+3461842+1343593+644474-40054+112959+418000+60000+1200000-3500000</f>
        <v>21140814</v>
      </c>
      <c r="M17" s="303">
        <f>17400000+1343593-2+644475-40055+112959+419000+60000+950000-3000000+87824</f>
        <v>17977794</v>
      </c>
      <c r="N17" s="303">
        <f>17400000+644475-40054+9830+112959+420000+61961+863037-5480392+87824</f>
        <v>14079640</v>
      </c>
      <c r="O17" s="795">
        <f t="shared" si="4"/>
        <v>232171042</v>
      </c>
      <c r="P17" s="921"/>
      <c r="Q17" s="928">
        <v>232171042</v>
      </c>
      <c r="R17" s="929">
        <f t="shared" si="2"/>
        <v>0</v>
      </c>
    </row>
    <row r="18" spans="1:18" s="73" customFormat="1" ht="14.1" customHeight="1" x14ac:dyDescent="0.2">
      <c r="A18" s="71" t="s">
        <v>59</v>
      </c>
      <c r="B18" s="148" t="s">
        <v>157</v>
      </c>
      <c r="C18" s="303">
        <v>84000000</v>
      </c>
      <c r="D18" s="303">
        <v>84000000</v>
      </c>
      <c r="E18" s="303">
        <f>84000000+4158000</f>
        <v>88158000</v>
      </c>
      <c r="F18" s="303">
        <f>75000000+4158000</f>
        <v>79158000</v>
      </c>
      <c r="G18" s="303">
        <f>74000000+4158000+200000+3939600+3519761-2400000</f>
        <v>83417361</v>
      </c>
      <c r="H18" s="303">
        <f>52397442+4158000+200000+270000+3800000+3519761+3000000-2500000</f>
        <v>64845203</v>
      </c>
      <c r="I18" s="303">
        <f>60000000+4158000+200000+3800000+3519761+3000000+2000000-2500000</f>
        <v>74177761</v>
      </c>
      <c r="J18" s="303">
        <f>60000000+4158000+200000+3800000+3519761+1000000+2000000+2000000-2400000</f>
        <v>74277761</v>
      </c>
      <c r="K18" s="303">
        <f>55000000+4158000+200000+3800000+3519761+2295882+3000000+2000000-2500000</f>
        <v>71473643</v>
      </c>
      <c r="L18" s="303">
        <f>65000000+4158000+200000+3800000+3519761+3000000+1384339+2000000+1300000-2500000</f>
        <v>81862100</v>
      </c>
      <c r="M18" s="303">
        <f>75000000+4158000+200000+3800000+3519761+1500000+2000000+1429458-2500000+10273654</f>
        <v>99380873</v>
      </c>
      <c r="N18" s="303">
        <f>84000000+4158000-96+200000-8488680+3800000+3519761+1500000+565807+1300000-2400000-20295+10273654</f>
        <v>98408151</v>
      </c>
      <c r="O18" s="795">
        <f t="shared" si="4"/>
        <v>983158853</v>
      </c>
      <c r="P18" s="921"/>
      <c r="Q18" s="928">
        <v>983158853</v>
      </c>
      <c r="R18" s="929">
        <f t="shared" si="2"/>
        <v>0</v>
      </c>
    </row>
    <row r="19" spans="1:18" s="73" customFormat="1" ht="14.1" customHeight="1" x14ac:dyDescent="0.2">
      <c r="A19" s="71" t="s">
        <v>60</v>
      </c>
      <c r="B19" s="148" t="s">
        <v>188</v>
      </c>
      <c r="C19" s="303">
        <v>4000000</v>
      </c>
      <c r="D19" s="303">
        <v>4000000</v>
      </c>
      <c r="E19" s="303">
        <v>5000000</v>
      </c>
      <c r="F19" s="303">
        <v>4000000</v>
      </c>
      <c r="G19" s="303">
        <v>5000000</v>
      </c>
      <c r="H19" s="303">
        <v>5000000</v>
      </c>
      <c r="I19" s="303">
        <v>4000000</v>
      </c>
      <c r="J19" s="303">
        <v>17000000</v>
      </c>
      <c r="K19" s="303">
        <v>5000000</v>
      </c>
      <c r="L19" s="303">
        <f>4230000-2901260</f>
        <v>1328740</v>
      </c>
      <c r="M19" s="303">
        <f>17000000-2000000-5080000-4000000</f>
        <v>5920000</v>
      </c>
      <c r="N19" s="303">
        <f>21000000-2000000</f>
        <v>19000000</v>
      </c>
      <c r="O19" s="795">
        <f t="shared" si="4"/>
        <v>79248740</v>
      </c>
      <c r="P19" s="921"/>
      <c r="Q19" s="928">
        <v>79248740</v>
      </c>
      <c r="R19" s="929">
        <f t="shared" si="2"/>
        <v>0</v>
      </c>
    </row>
    <row r="20" spans="1:18" s="73" customFormat="1" ht="14.1" customHeight="1" x14ac:dyDescent="0.2">
      <c r="A20" s="71" t="s">
        <v>61</v>
      </c>
      <c r="B20" s="148" t="s">
        <v>38</v>
      </c>
      <c r="C20" s="303">
        <v>1500</v>
      </c>
      <c r="D20" s="303"/>
      <c r="E20" s="303">
        <f>8000000+3500000</f>
        <v>11500000</v>
      </c>
      <c r="F20" s="303">
        <v>2000000</v>
      </c>
      <c r="G20" s="303">
        <f>2000000+6600000+7242044+60754+2000000</f>
        <v>17902798</v>
      </c>
      <c r="H20" s="303">
        <v>10000000</v>
      </c>
      <c r="I20" s="303">
        <f>1165000+7351000</f>
        <v>8516000</v>
      </c>
      <c r="J20" s="303">
        <v>1000000</v>
      </c>
      <c r="K20" s="303">
        <f>8000000+4000000+3000000</f>
        <v>15000000</v>
      </c>
      <c r="L20" s="303">
        <f>2000000+3017500+6407504</f>
        <v>11425004</v>
      </c>
      <c r="M20" s="303">
        <f>2000000+4784709</f>
        <v>6784709</v>
      </c>
      <c r="N20" s="303">
        <f>1000000</f>
        <v>1000000</v>
      </c>
      <c r="O20" s="795">
        <f t="shared" si="4"/>
        <v>85130011</v>
      </c>
      <c r="P20" s="921"/>
      <c r="Q20" s="928">
        <v>88130011</v>
      </c>
      <c r="R20" s="929">
        <f t="shared" si="2"/>
        <v>-3000000</v>
      </c>
    </row>
    <row r="21" spans="1:18" s="73" customFormat="1" ht="14.1" customHeight="1" x14ac:dyDescent="0.2">
      <c r="A21" s="71" t="s">
        <v>62</v>
      </c>
      <c r="B21" s="148" t="s">
        <v>207</v>
      </c>
      <c r="C21" s="303">
        <v>2000000</v>
      </c>
      <c r="D21" s="303">
        <v>2000000</v>
      </c>
      <c r="E21" s="303">
        <v>2500000</v>
      </c>
      <c r="F21" s="303">
        <f>4500000+979170</f>
        <v>5479170</v>
      </c>
      <c r="G21" s="303">
        <f>8000000-265000</f>
        <v>7735000</v>
      </c>
      <c r="H21" s="303">
        <f>8500000+63976</f>
        <v>8563976</v>
      </c>
      <c r="I21" s="303">
        <f>2500000+18116187+2239176+988736+1000000</f>
        <v>24844099</v>
      </c>
      <c r="J21" s="303">
        <f>3000000+1000000-2000000</f>
        <v>2000000</v>
      </c>
      <c r="K21" s="303">
        <f>2000000+1000000-1000000</f>
        <v>2000000</v>
      </c>
      <c r="L21" s="303">
        <f>2000000+70000000+1000000+8904148-4000000</f>
        <v>77904148</v>
      </c>
      <c r="M21" s="303">
        <f>3000000+16000000+1000000-2000000</f>
        <v>18000000</v>
      </c>
      <c r="N21" s="303">
        <f>2000000+7000000+214128350+937364-9155486-1752617</f>
        <v>213157611</v>
      </c>
      <c r="O21" s="795">
        <f t="shared" si="4"/>
        <v>366184004</v>
      </c>
      <c r="P21" s="921"/>
      <c r="Q21" s="933">
        <v>366184004</v>
      </c>
      <c r="R21" s="929">
        <f t="shared" si="2"/>
        <v>0</v>
      </c>
    </row>
    <row r="22" spans="1:18" s="73" customFormat="1" x14ac:dyDescent="0.2">
      <c r="A22" s="71" t="s">
        <v>63</v>
      </c>
      <c r="B22" s="150" t="s">
        <v>191</v>
      </c>
      <c r="C22" s="303"/>
      <c r="D22" s="303"/>
      <c r="E22" s="303">
        <v>365393</v>
      </c>
      <c r="F22" s="303">
        <v>1794600</v>
      </c>
      <c r="G22" s="303">
        <f>2158000+578000+157000</f>
        <v>2893000</v>
      </c>
      <c r="H22" s="303">
        <f>2000000+1000000+239841</f>
        <v>3239841</v>
      </c>
      <c r="I22" s="303">
        <f>70000000+600000+200000</f>
        <v>70800000</v>
      </c>
      <c r="J22" s="303">
        <f>3000000+2866987+5566352+5929+3795044+2330000</f>
        <v>17564312</v>
      </c>
      <c r="K22" s="303"/>
      <c r="L22" s="303">
        <f>2500000+5714910+18700651+2330000</f>
        <v>29245561</v>
      </c>
      <c r="M22" s="303">
        <f>18459450+2330000</f>
        <v>20789450</v>
      </c>
      <c r="N22" s="303">
        <f>188498728+2343667</f>
        <v>190842395</v>
      </c>
      <c r="O22" s="795">
        <f t="shared" si="4"/>
        <v>337534552</v>
      </c>
      <c r="P22" s="921"/>
      <c r="Q22" s="928">
        <v>337534552</v>
      </c>
      <c r="R22" s="929">
        <f t="shared" si="2"/>
        <v>0</v>
      </c>
    </row>
    <row r="23" spans="1:18" s="73" customFormat="1" ht="14.1" customHeight="1" x14ac:dyDescent="0.2">
      <c r="A23" s="71" t="s">
        <v>64</v>
      </c>
      <c r="B23" s="148" t="s">
        <v>209</v>
      </c>
      <c r="C23" s="303"/>
      <c r="D23" s="303"/>
      <c r="E23" s="303"/>
      <c r="F23" s="303">
        <v>2400000</v>
      </c>
      <c r="G23" s="303">
        <v>1348000</v>
      </c>
      <c r="H23" s="303">
        <v>600000</v>
      </c>
      <c r="I23" s="303">
        <v>42072000</v>
      </c>
      <c r="J23" s="303"/>
      <c r="K23" s="303"/>
      <c r="L23" s="303">
        <v>1079500</v>
      </c>
      <c r="M23" s="303">
        <v>500000</v>
      </c>
      <c r="N23" s="303">
        <f>5000+500000</f>
        <v>505000</v>
      </c>
      <c r="O23" s="795">
        <f t="shared" si="4"/>
        <v>48504500</v>
      </c>
      <c r="P23" s="921"/>
      <c r="Q23" s="928">
        <v>48504500</v>
      </c>
      <c r="R23" s="929">
        <f t="shared" si="2"/>
        <v>0</v>
      </c>
    </row>
    <row r="24" spans="1:18" s="73" customFormat="1" ht="14.1" customHeight="1" x14ac:dyDescent="0.2">
      <c r="A24" s="71" t="s">
        <v>65</v>
      </c>
      <c r="B24" s="148" t="s">
        <v>77</v>
      </c>
      <c r="C24" s="303"/>
      <c r="D24" s="303"/>
      <c r="E24" s="303">
        <v>500000</v>
      </c>
      <c r="F24" s="303">
        <f>14000000-1700000-1600000-8539600</f>
        <v>2160400</v>
      </c>
      <c r="G24" s="303">
        <f>14000000-1700000+2396232-7948000</f>
        <v>6748232</v>
      </c>
      <c r="H24" s="303">
        <f>15000000-1700000-1000000-7343244+30115784-15000000</f>
        <v>20072540</v>
      </c>
      <c r="I24" s="303">
        <f>15000000-1700000-1000000-3912914</f>
        <v>8387086</v>
      </c>
      <c r="J24" s="303">
        <f>15000000-1700000-1000000-3000000</f>
        <v>9300000</v>
      </c>
      <c r="K24" s="303">
        <f>14613300-1700000-1010722-3000000</f>
        <v>8902578</v>
      </c>
      <c r="L24" s="303">
        <f>14500000-1700000-3000000+2000000-1604492</f>
        <v>10195508</v>
      </c>
      <c r="M24" s="303">
        <f>14000000-1700000-3000000+2000000+4000000</f>
        <v>15300000</v>
      </c>
      <c r="N24" s="303">
        <f>14000000-1700000-1745643-3000000+1897490+3751629+3000000</f>
        <v>16203476</v>
      </c>
      <c r="O24" s="795">
        <f t="shared" si="4"/>
        <v>97769820</v>
      </c>
      <c r="P24" s="921"/>
      <c r="Q24" s="928">
        <v>94769820</v>
      </c>
      <c r="R24" s="929">
        <f t="shared" si="2"/>
        <v>3000000</v>
      </c>
    </row>
    <row r="25" spans="1:18" s="73" customFormat="1" ht="14.1" customHeight="1" thickBot="1" x14ac:dyDescent="0.25">
      <c r="A25" s="71" t="s">
        <v>66</v>
      </c>
      <c r="B25" s="148" t="s">
        <v>39</v>
      </c>
      <c r="C25" s="72">
        <v>35164932</v>
      </c>
      <c r="D25" s="72"/>
      <c r="E25" s="72">
        <v>790000</v>
      </c>
      <c r="F25" s="303"/>
      <c r="G25" s="72"/>
      <c r="H25" s="303">
        <v>790000</v>
      </c>
      <c r="I25" s="303"/>
      <c r="J25" s="303"/>
      <c r="K25" s="303">
        <v>791000</v>
      </c>
      <c r="L25" s="303">
        <v>70000000</v>
      </c>
      <c r="M25" s="303"/>
      <c r="N25" s="303">
        <v>30790000</v>
      </c>
      <c r="O25" s="631">
        <f t="shared" si="4"/>
        <v>138325932</v>
      </c>
      <c r="P25" s="922"/>
      <c r="Q25" s="930">
        <v>138325932</v>
      </c>
      <c r="R25" s="931">
        <f t="shared" si="2"/>
        <v>0</v>
      </c>
    </row>
    <row r="26" spans="1:18" s="69" customFormat="1" ht="15.95" customHeight="1" thickBot="1" x14ac:dyDescent="0.25">
      <c r="A26" s="76" t="s">
        <v>67</v>
      </c>
      <c r="B26" s="34" t="s">
        <v>133</v>
      </c>
      <c r="C26" s="74">
        <f t="shared" ref="C26:N26" si="5">SUM(C16:C25)</f>
        <v>226346432</v>
      </c>
      <c r="D26" s="74">
        <f t="shared" si="5"/>
        <v>191303000</v>
      </c>
      <c r="E26" s="74">
        <f t="shared" si="5"/>
        <v>244993746</v>
      </c>
      <c r="F26" s="74">
        <f t="shared" si="5"/>
        <v>234357608</v>
      </c>
      <c r="G26" s="74">
        <f t="shared" si="5"/>
        <v>238470264</v>
      </c>
      <c r="H26" s="74">
        <f t="shared" si="5"/>
        <v>228487955</v>
      </c>
      <c r="I26" s="74">
        <f t="shared" si="5"/>
        <v>346375763</v>
      </c>
      <c r="J26" s="74">
        <f t="shared" si="5"/>
        <v>236255388</v>
      </c>
      <c r="K26" s="74">
        <f t="shared" si="5"/>
        <v>217801536</v>
      </c>
      <c r="L26" s="74">
        <f t="shared" si="5"/>
        <v>405424941</v>
      </c>
      <c r="M26" s="74">
        <f t="shared" si="5"/>
        <v>253303923</v>
      </c>
      <c r="N26" s="74">
        <f t="shared" si="5"/>
        <v>638869953</v>
      </c>
      <c r="O26" s="75">
        <f t="shared" si="4"/>
        <v>3461990509</v>
      </c>
      <c r="P26" s="923"/>
      <c r="Q26" s="913">
        <f>SUM(Q16:Q25)</f>
        <v>3461990509</v>
      </c>
      <c r="R26" s="914">
        <f t="shared" si="2"/>
        <v>0</v>
      </c>
    </row>
    <row r="27" spans="1:18" ht="16.5" thickBot="1" x14ac:dyDescent="0.3">
      <c r="A27" s="76" t="s">
        <v>68</v>
      </c>
      <c r="B27" s="151" t="s">
        <v>134</v>
      </c>
      <c r="C27" s="77">
        <f t="shared" ref="C27:O27" si="6">C14-C26</f>
        <v>242786983</v>
      </c>
      <c r="D27" s="77">
        <f t="shared" si="6"/>
        <v>-13455000</v>
      </c>
      <c r="E27" s="77">
        <f t="shared" si="6"/>
        <v>95380776</v>
      </c>
      <c r="F27" s="77">
        <f t="shared" si="6"/>
        <v>21372682</v>
      </c>
      <c r="G27" s="77">
        <f t="shared" si="6"/>
        <v>-51708358</v>
      </c>
      <c r="H27" s="77">
        <f t="shared" si="6"/>
        <v>35778043</v>
      </c>
      <c r="I27" s="77">
        <f t="shared" si="6"/>
        <v>-96396319</v>
      </c>
      <c r="J27" s="77">
        <f t="shared" si="6"/>
        <v>-43275866</v>
      </c>
      <c r="K27" s="77">
        <f t="shared" si="6"/>
        <v>500443449</v>
      </c>
      <c r="L27" s="77">
        <f t="shared" si="6"/>
        <v>-235674593</v>
      </c>
      <c r="M27" s="77">
        <f t="shared" si="6"/>
        <v>-30242348</v>
      </c>
      <c r="N27" s="77">
        <f t="shared" si="6"/>
        <v>-425009449</v>
      </c>
      <c r="O27" s="78">
        <f t="shared" si="6"/>
        <v>0</v>
      </c>
      <c r="P27" s="917"/>
    </row>
    <row r="28" spans="1:18" x14ac:dyDescent="0.25">
      <c r="A28" s="80"/>
    </row>
    <row r="29" spans="1:18" x14ac:dyDescent="0.25">
      <c r="B29" s="81"/>
      <c r="C29" s="82"/>
      <c r="D29" s="82"/>
      <c r="O29" s="79"/>
      <c r="P29" s="925"/>
    </row>
    <row r="30" spans="1:18" x14ac:dyDescent="0.25">
      <c r="O30" s="79"/>
      <c r="P30" s="925"/>
    </row>
    <row r="31" spans="1:18" x14ac:dyDescent="0.25">
      <c r="O31" s="79"/>
      <c r="P31" s="925"/>
    </row>
    <row r="32" spans="1:18" x14ac:dyDescent="0.25">
      <c r="O32" s="79"/>
      <c r="P32" s="925"/>
    </row>
    <row r="33" spans="15:16" x14ac:dyDescent="0.25">
      <c r="O33" s="79"/>
      <c r="P33" s="925"/>
    </row>
    <row r="34" spans="15:16" x14ac:dyDescent="0.25">
      <c r="O34" s="79"/>
      <c r="P34" s="925"/>
    </row>
    <row r="35" spans="15:16" x14ac:dyDescent="0.25">
      <c r="O35" s="79"/>
      <c r="P35" s="925"/>
    </row>
    <row r="36" spans="15:16" x14ac:dyDescent="0.25">
      <c r="O36" s="79"/>
      <c r="P36" s="925"/>
    </row>
    <row r="37" spans="15:16" x14ac:dyDescent="0.25">
      <c r="O37" s="79"/>
      <c r="P37" s="925"/>
    </row>
    <row r="38" spans="15:16" x14ac:dyDescent="0.25">
      <c r="O38" s="79"/>
      <c r="P38" s="925"/>
    </row>
    <row r="39" spans="15:16" x14ac:dyDescent="0.25">
      <c r="O39" s="79"/>
      <c r="P39" s="925"/>
    </row>
    <row r="40" spans="15:16" x14ac:dyDescent="0.25">
      <c r="O40" s="79"/>
      <c r="P40" s="925"/>
    </row>
    <row r="41" spans="15:16" x14ac:dyDescent="0.25">
      <c r="O41" s="79"/>
      <c r="P41" s="925"/>
    </row>
    <row r="42" spans="15:16" x14ac:dyDescent="0.25">
      <c r="O42" s="79"/>
      <c r="P42" s="925"/>
    </row>
    <row r="43" spans="15:16" x14ac:dyDescent="0.25">
      <c r="O43" s="79"/>
      <c r="P43" s="925"/>
    </row>
    <row r="44" spans="15:16" x14ac:dyDescent="0.25">
      <c r="O44" s="79"/>
      <c r="P44" s="925"/>
    </row>
    <row r="45" spans="15:16" x14ac:dyDescent="0.25">
      <c r="O45" s="79"/>
      <c r="P45" s="925"/>
    </row>
    <row r="46" spans="15:16" x14ac:dyDescent="0.25">
      <c r="O46" s="79"/>
      <c r="P46" s="925"/>
    </row>
    <row r="47" spans="15:16" x14ac:dyDescent="0.25">
      <c r="O47" s="79"/>
      <c r="P47" s="925"/>
    </row>
    <row r="48" spans="15:16" x14ac:dyDescent="0.25">
      <c r="O48" s="79"/>
      <c r="P48" s="925"/>
    </row>
    <row r="49" spans="15:16" x14ac:dyDescent="0.25">
      <c r="O49" s="79"/>
      <c r="P49" s="925"/>
    </row>
    <row r="50" spans="15:16" x14ac:dyDescent="0.25">
      <c r="O50" s="79"/>
      <c r="P50" s="925"/>
    </row>
    <row r="51" spans="15:16" x14ac:dyDescent="0.25">
      <c r="O51" s="79"/>
      <c r="P51" s="925"/>
    </row>
    <row r="52" spans="15:16" x14ac:dyDescent="0.25">
      <c r="O52" s="79"/>
      <c r="P52" s="925"/>
    </row>
    <row r="53" spans="15:16" x14ac:dyDescent="0.25">
      <c r="O53" s="79"/>
      <c r="P53" s="925"/>
    </row>
    <row r="54" spans="15:16" x14ac:dyDescent="0.25">
      <c r="O54" s="79"/>
      <c r="P54" s="925"/>
    </row>
    <row r="55" spans="15:16" x14ac:dyDescent="0.25">
      <c r="O55" s="79"/>
      <c r="P55" s="925"/>
    </row>
    <row r="56" spans="15:16" x14ac:dyDescent="0.25">
      <c r="O56" s="79"/>
      <c r="P56" s="925"/>
    </row>
    <row r="57" spans="15:16" x14ac:dyDescent="0.25">
      <c r="O57" s="79"/>
      <c r="P57" s="925"/>
    </row>
    <row r="58" spans="15:16" x14ac:dyDescent="0.25">
      <c r="O58" s="79"/>
      <c r="P58" s="925"/>
    </row>
    <row r="59" spans="15:16" x14ac:dyDescent="0.25">
      <c r="O59" s="79"/>
      <c r="P59" s="925"/>
    </row>
    <row r="60" spans="15:16" x14ac:dyDescent="0.25">
      <c r="O60" s="79"/>
      <c r="P60" s="925"/>
    </row>
    <row r="61" spans="15:16" x14ac:dyDescent="0.25">
      <c r="O61" s="79"/>
      <c r="P61" s="925"/>
    </row>
    <row r="62" spans="15:16" x14ac:dyDescent="0.25">
      <c r="O62" s="79"/>
      <c r="P62" s="925"/>
    </row>
    <row r="63" spans="15:16" x14ac:dyDescent="0.25">
      <c r="O63" s="79"/>
      <c r="P63" s="925"/>
    </row>
    <row r="64" spans="15:16" x14ac:dyDescent="0.25">
      <c r="O64" s="79"/>
      <c r="P64" s="925"/>
    </row>
    <row r="65" spans="15:16" x14ac:dyDescent="0.25">
      <c r="O65" s="79"/>
      <c r="P65" s="925"/>
    </row>
    <row r="66" spans="15:16" x14ac:dyDescent="0.25">
      <c r="O66" s="79"/>
      <c r="P66" s="925"/>
    </row>
    <row r="67" spans="15:16" x14ac:dyDescent="0.25">
      <c r="O67" s="79"/>
      <c r="P67" s="925"/>
    </row>
    <row r="68" spans="15:16" x14ac:dyDescent="0.25">
      <c r="O68" s="79"/>
      <c r="P68" s="925"/>
    </row>
    <row r="69" spans="15:16" x14ac:dyDescent="0.25">
      <c r="O69" s="79"/>
      <c r="P69" s="925"/>
    </row>
    <row r="70" spans="15:16" x14ac:dyDescent="0.25">
      <c r="O70" s="79"/>
      <c r="P70" s="925"/>
    </row>
    <row r="71" spans="15:16" x14ac:dyDescent="0.25">
      <c r="O71" s="79"/>
      <c r="P71" s="925"/>
    </row>
    <row r="72" spans="15:16" x14ac:dyDescent="0.25">
      <c r="O72" s="79"/>
      <c r="P72" s="925"/>
    </row>
    <row r="73" spans="15:16" x14ac:dyDescent="0.25">
      <c r="O73" s="79"/>
      <c r="P73" s="925"/>
    </row>
    <row r="74" spans="15:16" x14ac:dyDescent="0.25">
      <c r="O74" s="79"/>
      <c r="P74" s="925"/>
    </row>
    <row r="75" spans="15:16" x14ac:dyDescent="0.25">
      <c r="O75" s="79"/>
      <c r="P75" s="925"/>
    </row>
    <row r="76" spans="15:16" x14ac:dyDescent="0.25">
      <c r="O76" s="79"/>
      <c r="P76" s="925"/>
    </row>
    <row r="77" spans="15:16" x14ac:dyDescent="0.25">
      <c r="O77" s="79"/>
      <c r="P77" s="925"/>
    </row>
    <row r="78" spans="15:16" x14ac:dyDescent="0.25">
      <c r="O78" s="79"/>
      <c r="P78" s="925"/>
    </row>
    <row r="79" spans="15:16" x14ac:dyDescent="0.25">
      <c r="O79" s="79"/>
      <c r="P79" s="925"/>
    </row>
    <row r="80" spans="15:16" x14ac:dyDescent="0.25">
      <c r="O80" s="79"/>
      <c r="P80" s="925"/>
    </row>
    <row r="81" spans="15:16" x14ac:dyDescent="0.25">
      <c r="O81" s="79"/>
      <c r="P81" s="925"/>
    </row>
    <row r="82" spans="15:16" x14ac:dyDescent="0.25">
      <c r="O82" s="79"/>
      <c r="P82" s="925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87500000000001" bottom="0.98425196850393704" header="0.78740157480314965" footer="0.78740157480314965"/>
  <pageSetup paperSize="9" scale="77" orientation="landscape" r:id="rId1"/>
  <headerFooter alignWithMargins="0">
    <oddHeader>&amp;R&amp;"Times New Roman CE,Dőlt"&amp;11 30. melléklet a  30/2017.(XI.30.) önkormányzati rendelethez
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6"/>
  <sheetViews>
    <sheetView view="pageLayout" zoomScale="85" zoomScaleNormal="85" zoomScalePageLayoutView="85" workbookViewId="0">
      <selection activeCell="F4" sqref="F4"/>
    </sheetView>
  </sheetViews>
  <sheetFormatPr defaultColWidth="10.6640625" defaultRowHeight="12.75" x14ac:dyDescent="0.2"/>
  <cols>
    <col min="1" max="1" width="60.1640625" style="292" customWidth="1"/>
    <col min="2" max="2" width="48.83203125" style="296" customWidth="1"/>
    <col min="3" max="3" width="16.5" style="292" bestFit="1" customWidth="1"/>
    <col min="4" max="4" width="13.1640625" style="292" bestFit="1" customWidth="1"/>
    <col min="5" max="5" width="14.33203125" style="292" bestFit="1" customWidth="1"/>
    <col min="6" max="16384" width="10.6640625" style="292"/>
  </cols>
  <sheetData>
    <row r="1" spans="1:2" x14ac:dyDescent="0.2">
      <c r="A1" s="1012"/>
      <c r="B1" s="1012"/>
    </row>
    <row r="2" spans="1:2" ht="17.25" customHeight="1" x14ac:dyDescent="0.2">
      <c r="A2" s="293"/>
      <c r="B2" s="319"/>
    </row>
    <row r="3" spans="1:2" ht="42" customHeight="1" x14ac:dyDescent="0.2">
      <c r="A3" s="1013" t="s">
        <v>669</v>
      </c>
      <c r="B3" s="1013"/>
    </row>
    <row r="4" spans="1:2" ht="33" customHeight="1" thickBot="1" x14ac:dyDescent="0.3">
      <c r="A4" s="294"/>
      <c r="B4" s="227" t="s">
        <v>40</v>
      </c>
    </row>
    <row r="5" spans="1:2" x14ac:dyDescent="0.2">
      <c r="A5" s="1014" t="s">
        <v>90</v>
      </c>
      <c r="B5" s="1014" t="s">
        <v>670</v>
      </c>
    </row>
    <row r="6" spans="1:2" x14ac:dyDescent="0.2">
      <c r="A6" s="1015"/>
      <c r="B6" s="1015"/>
    </row>
    <row r="7" spans="1:2" ht="13.5" thickBot="1" x14ac:dyDescent="0.25">
      <c r="A7" s="1015"/>
      <c r="B7" s="1016"/>
    </row>
    <row r="8" spans="1:2" ht="23.25" customHeight="1" thickBot="1" x14ac:dyDescent="0.25">
      <c r="A8" s="152" t="s">
        <v>79</v>
      </c>
      <c r="B8" s="295"/>
    </row>
    <row r="9" spans="1:2" ht="24" customHeight="1" x14ac:dyDescent="0.2">
      <c r="A9" s="380"/>
      <c r="B9" s="376"/>
    </row>
    <row r="10" spans="1:2" ht="18" customHeight="1" x14ac:dyDescent="0.25">
      <c r="A10" s="523" t="s">
        <v>453</v>
      </c>
      <c r="B10" s="377">
        <v>149949200</v>
      </c>
    </row>
    <row r="11" spans="1:2" ht="39" customHeight="1" x14ac:dyDescent="0.25">
      <c r="A11" s="524" t="s">
        <v>454</v>
      </c>
      <c r="B11" s="525">
        <v>73296490</v>
      </c>
    </row>
    <row r="12" spans="1:2" ht="39" customHeight="1" x14ac:dyDescent="0.25">
      <c r="A12" s="524" t="s">
        <v>455</v>
      </c>
      <c r="B12" s="525">
        <v>17077340</v>
      </c>
    </row>
    <row r="13" spans="1:2" ht="39" customHeight="1" x14ac:dyDescent="0.25">
      <c r="A13" s="524" t="s">
        <v>456</v>
      </c>
      <c r="B13" s="525">
        <v>35360000</v>
      </c>
    </row>
    <row r="14" spans="1:2" ht="39" customHeight="1" x14ac:dyDescent="0.25">
      <c r="A14" s="524" t="s">
        <v>457</v>
      </c>
      <c r="B14" s="525">
        <v>100000</v>
      </c>
    </row>
    <row r="15" spans="1:2" ht="39" customHeight="1" x14ac:dyDescent="0.25">
      <c r="A15" s="524" t="s">
        <v>458</v>
      </c>
      <c r="B15" s="525">
        <v>20759150</v>
      </c>
    </row>
    <row r="16" spans="1:2" ht="39" customHeight="1" x14ac:dyDescent="0.25">
      <c r="A16" s="524" t="s">
        <v>459</v>
      </c>
      <c r="B16" s="525">
        <v>4116399</v>
      </c>
    </row>
    <row r="17" spans="1:3" ht="39" customHeight="1" x14ac:dyDescent="0.25">
      <c r="A17" s="524" t="s">
        <v>469</v>
      </c>
      <c r="B17" s="525">
        <v>150450</v>
      </c>
    </row>
    <row r="18" spans="1:3" ht="39" customHeight="1" x14ac:dyDescent="0.3">
      <c r="A18" s="381" t="s">
        <v>613</v>
      </c>
      <c r="B18" s="526">
        <f>SUM(B10+B11+B16+B17)</f>
        <v>227512539</v>
      </c>
    </row>
    <row r="19" spans="1:3" ht="39" customHeight="1" x14ac:dyDescent="0.25">
      <c r="A19" s="524" t="s">
        <v>688</v>
      </c>
      <c r="B19" s="525">
        <v>905743</v>
      </c>
    </row>
    <row r="20" spans="1:3" ht="39" customHeight="1" x14ac:dyDescent="0.3">
      <c r="A20" s="381" t="s">
        <v>638</v>
      </c>
      <c r="B20" s="526">
        <f>SUM(B18:B19)</f>
        <v>228418282</v>
      </c>
    </row>
    <row r="21" spans="1:3" ht="36" customHeight="1" x14ac:dyDescent="0.25">
      <c r="A21" s="799" t="s">
        <v>460</v>
      </c>
      <c r="B21" s="525">
        <f>91185960+25200000+49168900+12600000+1260600-2085953-53480</f>
        <v>177276027</v>
      </c>
    </row>
    <row r="22" spans="1:3" ht="30.75" customHeight="1" x14ac:dyDescent="0.25">
      <c r="A22" s="527" t="s">
        <v>461</v>
      </c>
      <c r="B22" s="525">
        <f>29766034-462967</f>
        <v>29303067</v>
      </c>
    </row>
    <row r="23" spans="1:3" ht="42" customHeight="1" x14ac:dyDescent="0.25">
      <c r="A23" s="799" t="s">
        <v>767</v>
      </c>
      <c r="B23" s="525">
        <f>10461768+4203818-1675600</f>
        <v>12989986</v>
      </c>
    </row>
    <row r="24" spans="1:3" ht="31.5" customHeight="1" x14ac:dyDescent="0.3">
      <c r="A24" s="339" t="s">
        <v>462</v>
      </c>
      <c r="B24" s="526">
        <f>SUM(B21:B23)</f>
        <v>219569080</v>
      </c>
    </row>
    <row r="25" spans="1:3" ht="31.5" customHeight="1" x14ac:dyDescent="0.25">
      <c r="A25" s="382" t="s">
        <v>614</v>
      </c>
      <c r="B25" s="525">
        <f>5100000+15900000+775040+25000+11130000+2180000+30634200+1556415+543510+3000000+12562200</f>
        <v>83406365</v>
      </c>
    </row>
    <row r="26" spans="1:3" ht="28.5" customHeight="1" x14ac:dyDescent="0.2">
      <c r="A26" s="939" t="s">
        <v>463</v>
      </c>
      <c r="B26" s="940">
        <f>121200000+31350000</f>
        <v>152550000</v>
      </c>
    </row>
    <row r="27" spans="1:3" ht="60" customHeight="1" x14ac:dyDescent="0.25">
      <c r="A27" s="800" t="s">
        <v>637</v>
      </c>
      <c r="B27" s="525">
        <f>75575160+42848000+166080+25000-1050000-327000+2606040-2854000</f>
        <v>116989280</v>
      </c>
      <c r="C27" s="296"/>
    </row>
    <row r="28" spans="1:3" ht="23.25" customHeight="1" x14ac:dyDescent="0.25">
      <c r="A28" s="527" t="s">
        <v>464</v>
      </c>
      <c r="B28" s="525">
        <f>49971840</f>
        <v>49971840</v>
      </c>
    </row>
    <row r="29" spans="1:3" ht="20.25" customHeight="1" x14ac:dyDescent="0.25">
      <c r="A29" s="383" t="s">
        <v>465</v>
      </c>
      <c r="B29" s="525">
        <v>79425650</v>
      </c>
    </row>
    <row r="30" spans="1:3" ht="26.25" customHeight="1" x14ac:dyDescent="0.25">
      <c r="A30" s="799" t="s">
        <v>30</v>
      </c>
      <c r="B30" s="525">
        <f>48199770-487350</f>
        <v>47712420</v>
      </c>
    </row>
    <row r="31" spans="1:3" ht="26.25" customHeight="1" x14ac:dyDescent="0.25">
      <c r="A31" s="799" t="s">
        <v>31</v>
      </c>
      <c r="B31" s="525">
        <v>4526280</v>
      </c>
    </row>
    <row r="32" spans="1:3" ht="34.5" customHeight="1" x14ac:dyDescent="0.3">
      <c r="A32" s="339" t="s">
        <v>466</v>
      </c>
      <c r="B32" s="526">
        <f>SUM(B25+B26+B27+B28+B29+B30+B31)</f>
        <v>534581835</v>
      </c>
      <c r="C32" s="320"/>
    </row>
    <row r="33" spans="1:5" ht="27.75" customHeight="1" x14ac:dyDescent="0.3">
      <c r="A33" s="384" t="s">
        <v>467</v>
      </c>
      <c r="B33" s="528">
        <f>B34+B35</f>
        <v>25891320</v>
      </c>
    </row>
    <row r="34" spans="1:5" ht="30" customHeight="1" x14ac:dyDescent="0.25">
      <c r="A34" s="346" t="s">
        <v>468</v>
      </c>
      <c r="B34" s="529">
        <v>10629000</v>
      </c>
    </row>
    <row r="35" spans="1:5" ht="30" customHeight="1" x14ac:dyDescent="0.25">
      <c r="A35" s="346" t="s">
        <v>32</v>
      </c>
      <c r="B35" s="529">
        <v>15262320</v>
      </c>
    </row>
    <row r="36" spans="1:5" ht="17.25" customHeight="1" x14ac:dyDescent="0.25">
      <c r="A36" s="374" t="s">
        <v>690</v>
      </c>
      <c r="B36" s="525">
        <v>4412740</v>
      </c>
    </row>
    <row r="37" spans="1:5" ht="17.25" customHeight="1" x14ac:dyDescent="0.25">
      <c r="A37" s="374" t="s">
        <v>10</v>
      </c>
      <c r="B37" s="525">
        <f>2645257+413944+4501192</f>
        <v>7560393</v>
      </c>
    </row>
    <row r="38" spans="1:5" ht="17.25" customHeight="1" x14ac:dyDescent="0.25">
      <c r="A38" s="346" t="s">
        <v>7</v>
      </c>
      <c r="B38" s="529">
        <f>4017231+9514709+49094027</f>
        <v>62625967</v>
      </c>
    </row>
    <row r="39" spans="1:5" ht="17.25" customHeight="1" x14ac:dyDescent="0.2">
      <c r="A39" s="375" t="s">
        <v>689</v>
      </c>
      <c r="B39" s="378">
        <v>7493769</v>
      </c>
    </row>
    <row r="40" spans="1:5" ht="17.25" customHeight="1" x14ac:dyDescent="0.2">
      <c r="A40" s="632" t="s">
        <v>750</v>
      </c>
      <c r="B40" s="633">
        <v>3969000</v>
      </c>
    </row>
    <row r="41" spans="1:5" ht="17.25" customHeight="1" x14ac:dyDescent="0.2">
      <c r="A41" s="634" t="s">
        <v>751</v>
      </c>
      <c r="B41" s="635">
        <v>22113080</v>
      </c>
    </row>
    <row r="42" spans="1:5" ht="17.25" customHeight="1" x14ac:dyDescent="0.2">
      <c r="A42" s="632" t="s">
        <v>752</v>
      </c>
      <c r="B42" s="633">
        <v>1882700</v>
      </c>
    </row>
    <row r="43" spans="1:5" ht="17.25" customHeight="1" x14ac:dyDescent="0.2">
      <c r="A43" s="632" t="s">
        <v>753</v>
      </c>
      <c r="B43" s="636">
        <v>1038248</v>
      </c>
    </row>
    <row r="44" spans="1:5" ht="17.25" customHeight="1" thickBot="1" x14ac:dyDescent="0.25">
      <c r="A44" s="796" t="s">
        <v>768</v>
      </c>
      <c r="B44" s="798">
        <v>306000</v>
      </c>
    </row>
    <row r="45" spans="1:5" ht="19.5" thickBot="1" x14ac:dyDescent="0.35">
      <c r="A45" s="797" t="s">
        <v>80</v>
      </c>
      <c r="B45" s="379">
        <f>SUM(B20+B24+B32+B33+B37+B38+B39+B36+B42+B41+B40+B43+B44)</f>
        <v>1119862414</v>
      </c>
      <c r="E45" s="530"/>
    </row>
    <row r="46" spans="1:5" x14ac:dyDescent="0.2">
      <c r="A46" s="296"/>
    </row>
  </sheetData>
  <mergeCells count="4">
    <mergeCell ref="A1:B1"/>
    <mergeCell ref="A3:B3"/>
    <mergeCell ref="A5:A7"/>
    <mergeCell ref="B5:B7"/>
  </mergeCells>
  <printOptions horizontalCentered="1"/>
  <pageMargins left="0.39" right="0.39370078740157483" top="0.47244094488188981" bottom="0.64" header="0.31496062992125984" footer="0.35433070866141736"/>
  <pageSetup paperSize="9" scale="60" orientation="portrait" r:id="rId1"/>
  <headerFooter alignWithMargins="0">
    <oddHeader>&amp;R31. melléklet a 30/2017.(XI.30.) önkormányzati rendelethez
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0"/>
  <sheetViews>
    <sheetView view="pageLayout" zoomScaleNormal="100" workbookViewId="0">
      <selection sqref="A1:D1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6" ht="45" customHeight="1" x14ac:dyDescent="0.25">
      <c r="A1" s="1017" t="s">
        <v>671</v>
      </c>
      <c r="B1" s="1017"/>
      <c r="C1" s="1017"/>
      <c r="D1" s="1017"/>
    </row>
    <row r="2" spans="1:6" ht="17.25" customHeight="1" x14ac:dyDescent="0.25">
      <c r="A2" s="226"/>
      <c r="B2" s="226"/>
      <c r="C2" s="226"/>
      <c r="D2" s="226"/>
    </row>
    <row r="3" spans="1:6" ht="13.5" thickBot="1" x14ac:dyDescent="0.25">
      <c r="A3" s="100"/>
      <c r="B3" s="100"/>
      <c r="C3" s="1018" t="s">
        <v>691</v>
      </c>
      <c r="D3" s="1018"/>
    </row>
    <row r="4" spans="1:6" ht="42.75" customHeight="1" thickBot="1" x14ac:dyDescent="0.25">
      <c r="A4" s="228" t="s">
        <v>96</v>
      </c>
      <c r="B4" s="229" t="s">
        <v>143</v>
      </c>
      <c r="C4" s="229" t="s">
        <v>144</v>
      </c>
      <c r="D4" s="230" t="s">
        <v>41</v>
      </c>
    </row>
    <row r="5" spans="1:6" ht="15.95" customHeight="1" x14ac:dyDescent="0.2">
      <c r="A5" s="101" t="s">
        <v>45</v>
      </c>
      <c r="B5" s="26" t="s">
        <v>470</v>
      </c>
      <c r="C5" s="297" t="s">
        <v>471</v>
      </c>
      <c r="D5" s="27">
        <v>5000000</v>
      </c>
      <c r="E5" s="40"/>
      <c r="F5" s="40"/>
    </row>
    <row r="6" spans="1:6" ht="15.95" customHeight="1" x14ac:dyDescent="0.2">
      <c r="A6" s="101" t="s">
        <v>46</v>
      </c>
      <c r="B6" s="28" t="s">
        <v>472</v>
      </c>
      <c r="C6" s="30" t="s">
        <v>471</v>
      </c>
      <c r="D6" s="29">
        <f>1500000+375000</f>
        <v>1875000</v>
      </c>
      <c r="E6" s="40"/>
      <c r="F6" s="40"/>
    </row>
    <row r="7" spans="1:6" ht="15.95" customHeight="1" x14ac:dyDescent="0.2">
      <c r="A7" s="101" t="s">
        <v>47</v>
      </c>
      <c r="B7" s="28" t="s">
        <v>473</v>
      </c>
      <c r="C7" s="30" t="s">
        <v>471</v>
      </c>
      <c r="D7" s="29">
        <v>500000</v>
      </c>
      <c r="E7" s="40"/>
      <c r="F7" s="40"/>
    </row>
    <row r="8" spans="1:6" ht="15.95" customHeight="1" x14ac:dyDescent="0.2">
      <c r="A8" s="101" t="s">
        <v>48</v>
      </c>
      <c r="B8" s="28" t="s">
        <v>474</v>
      </c>
      <c r="C8" s="28" t="s">
        <v>471</v>
      </c>
      <c r="D8" s="29">
        <f>4000000+2000000+4000000+2500000</f>
        <v>12500000</v>
      </c>
      <c r="E8" s="40"/>
      <c r="F8" s="40"/>
    </row>
    <row r="9" spans="1:6" ht="15.95" customHeight="1" x14ac:dyDescent="0.2">
      <c r="A9" s="101" t="s">
        <v>49</v>
      </c>
      <c r="B9" s="28" t="s">
        <v>475</v>
      </c>
      <c r="C9" s="299" t="s">
        <v>471</v>
      </c>
      <c r="D9" s="29">
        <v>200000</v>
      </c>
      <c r="E9" s="40"/>
      <c r="F9" s="40"/>
    </row>
    <row r="10" spans="1:6" ht="15.95" customHeight="1" x14ac:dyDescent="0.2">
      <c r="A10" s="101" t="s">
        <v>50</v>
      </c>
      <c r="B10" s="28" t="s">
        <v>476</v>
      </c>
      <c r="C10" s="28" t="s">
        <v>471</v>
      </c>
      <c r="D10" s="29">
        <v>800000</v>
      </c>
      <c r="E10" s="40"/>
      <c r="F10" s="40"/>
    </row>
    <row r="11" spans="1:6" ht="15.95" customHeight="1" x14ac:dyDescent="0.2">
      <c r="A11" s="101" t="s">
        <v>51</v>
      </c>
      <c r="B11" s="28" t="s">
        <v>477</v>
      </c>
      <c r="C11" s="298" t="s">
        <v>471</v>
      </c>
      <c r="D11" s="29">
        <v>150000</v>
      </c>
      <c r="E11" s="40"/>
      <c r="F11" s="40"/>
    </row>
    <row r="12" spans="1:6" ht="15.95" customHeight="1" x14ac:dyDescent="0.2">
      <c r="A12" s="101" t="s">
        <v>52</v>
      </c>
      <c r="B12" s="28" t="s">
        <v>478</v>
      </c>
      <c r="C12" s="298" t="s">
        <v>471</v>
      </c>
      <c r="D12" s="29">
        <v>50000</v>
      </c>
      <c r="E12" s="40"/>
      <c r="F12" s="40"/>
    </row>
    <row r="13" spans="1:6" ht="15.95" customHeight="1" x14ac:dyDescent="0.2">
      <c r="A13" s="101" t="s">
        <v>53</v>
      </c>
      <c r="B13" s="28" t="s">
        <v>522</v>
      </c>
      <c r="C13" s="28" t="s">
        <v>479</v>
      </c>
      <c r="D13" s="29">
        <v>42072000</v>
      </c>
      <c r="E13" s="40"/>
      <c r="F13" s="40"/>
    </row>
    <row r="14" spans="1:6" ht="15.95" customHeight="1" x14ac:dyDescent="0.2">
      <c r="A14" s="101" t="s">
        <v>54</v>
      </c>
      <c r="B14" s="28" t="s">
        <v>794</v>
      </c>
      <c r="C14" s="28" t="s">
        <v>479</v>
      </c>
      <c r="D14" s="29">
        <v>1000000</v>
      </c>
      <c r="E14" s="40"/>
      <c r="F14" s="40"/>
    </row>
    <row r="15" spans="1:6" ht="15.95" customHeight="1" x14ac:dyDescent="0.2">
      <c r="A15" s="101" t="s">
        <v>55</v>
      </c>
      <c r="B15" s="28" t="s">
        <v>522</v>
      </c>
      <c r="C15" s="28" t="s">
        <v>471</v>
      </c>
      <c r="D15" s="29">
        <v>7562000</v>
      </c>
      <c r="E15" s="40"/>
      <c r="F15" s="40"/>
    </row>
    <row r="16" spans="1:6" ht="15.95" customHeight="1" x14ac:dyDescent="0.2">
      <c r="A16" s="101" t="s">
        <v>56</v>
      </c>
      <c r="B16" s="28" t="s">
        <v>480</v>
      </c>
      <c r="C16" s="28" t="s">
        <v>471</v>
      </c>
      <c r="D16" s="29">
        <v>16678000</v>
      </c>
      <c r="E16" s="40"/>
      <c r="F16" s="321"/>
    </row>
    <row r="17" spans="1:6" ht="15.95" customHeight="1" x14ac:dyDescent="0.2">
      <c r="A17" s="101" t="s">
        <v>57</v>
      </c>
      <c r="B17" s="28" t="s">
        <v>481</v>
      </c>
      <c r="C17" s="28" t="s">
        <v>471</v>
      </c>
      <c r="D17" s="29">
        <v>536000</v>
      </c>
      <c r="E17" s="40"/>
      <c r="F17" s="40"/>
    </row>
    <row r="18" spans="1:6" ht="15.95" customHeight="1" x14ac:dyDescent="0.2">
      <c r="A18" s="101" t="s">
        <v>58</v>
      </c>
      <c r="B18" s="28" t="s">
        <v>693</v>
      </c>
      <c r="C18" s="28" t="s">
        <v>471</v>
      </c>
      <c r="D18" s="29">
        <v>189000</v>
      </c>
    </row>
    <row r="19" spans="1:6" ht="15.95" customHeight="1" x14ac:dyDescent="0.2">
      <c r="A19" s="101" t="s">
        <v>59</v>
      </c>
      <c r="B19" s="28" t="s">
        <v>11</v>
      </c>
      <c r="C19" s="28" t="s">
        <v>471</v>
      </c>
      <c r="D19" s="54">
        <f>3500000+6600000+7351000+3261000</f>
        <v>20712000</v>
      </c>
    </row>
    <row r="20" spans="1:6" ht="15.95" customHeight="1" x14ac:dyDescent="0.2">
      <c r="A20" s="101" t="s">
        <v>60</v>
      </c>
      <c r="B20" s="28" t="s">
        <v>12</v>
      </c>
      <c r="C20" s="28" t="s">
        <v>479</v>
      </c>
      <c r="D20" s="54">
        <v>2400000</v>
      </c>
    </row>
    <row r="21" spans="1:6" ht="15.95" customHeight="1" x14ac:dyDescent="0.2">
      <c r="A21" s="101" t="s">
        <v>61</v>
      </c>
      <c r="B21" s="28" t="s">
        <v>729</v>
      </c>
      <c r="C21" s="28" t="s">
        <v>479</v>
      </c>
      <c r="D21" s="54">
        <v>1348000</v>
      </c>
    </row>
    <row r="22" spans="1:6" ht="22.5" x14ac:dyDescent="0.2">
      <c r="A22" s="101" t="s">
        <v>62</v>
      </c>
      <c r="B22" s="801" t="s">
        <v>780</v>
      </c>
      <c r="C22" s="28" t="s">
        <v>479</v>
      </c>
      <c r="D22" s="54">
        <f>600000+1079500</f>
        <v>1679500</v>
      </c>
    </row>
    <row r="23" spans="1:6" ht="22.5" x14ac:dyDescent="0.2">
      <c r="A23" s="101" t="s">
        <v>63</v>
      </c>
      <c r="B23" s="801" t="s">
        <v>781</v>
      </c>
      <c r="C23" s="28" t="s">
        <v>471</v>
      </c>
      <c r="D23" s="54">
        <v>3000000</v>
      </c>
    </row>
    <row r="24" spans="1:6" ht="15.95" customHeight="1" x14ac:dyDescent="0.2">
      <c r="A24" s="101" t="s">
        <v>64</v>
      </c>
      <c r="B24" s="28" t="s">
        <v>0</v>
      </c>
      <c r="C24" s="28" t="s">
        <v>471</v>
      </c>
      <c r="D24" s="54">
        <f>60754-60754</f>
        <v>0</v>
      </c>
    </row>
    <row r="25" spans="1:6" ht="15.95" customHeight="1" x14ac:dyDescent="0.2">
      <c r="A25" s="101" t="s">
        <v>65</v>
      </c>
      <c r="B25" s="28" t="s">
        <v>754</v>
      </c>
      <c r="C25" s="28" t="s">
        <v>471</v>
      </c>
      <c r="D25" s="54">
        <v>163000</v>
      </c>
    </row>
    <row r="26" spans="1:6" ht="15.95" customHeight="1" x14ac:dyDescent="0.2">
      <c r="A26" s="101" t="s">
        <v>66</v>
      </c>
      <c r="B26" s="28" t="s">
        <v>755</v>
      </c>
      <c r="C26" s="28" t="s">
        <v>471</v>
      </c>
      <c r="D26" s="54">
        <v>4568000</v>
      </c>
    </row>
    <row r="27" spans="1:6" ht="15.95" customHeight="1" x14ac:dyDescent="0.2">
      <c r="A27" s="101" t="s">
        <v>67</v>
      </c>
      <c r="B27" s="28" t="s">
        <v>769</v>
      </c>
      <c r="C27" s="28" t="s">
        <v>471</v>
      </c>
      <c r="D27" s="54">
        <v>250000</v>
      </c>
    </row>
    <row r="28" spans="1:6" ht="15.95" customHeight="1" x14ac:dyDescent="0.2">
      <c r="A28" s="101" t="s">
        <v>68</v>
      </c>
      <c r="B28" s="28" t="s">
        <v>770</v>
      </c>
      <c r="C28" s="28" t="s">
        <v>471</v>
      </c>
      <c r="D28" s="54">
        <v>100000</v>
      </c>
    </row>
    <row r="29" spans="1:6" ht="15.95" customHeight="1" x14ac:dyDescent="0.2">
      <c r="A29" s="101" t="s">
        <v>69</v>
      </c>
      <c r="B29" s="28" t="s">
        <v>782</v>
      </c>
      <c r="C29" s="28" t="s">
        <v>471</v>
      </c>
      <c r="D29" s="54">
        <v>60000</v>
      </c>
    </row>
    <row r="30" spans="1:6" ht="15.95" customHeight="1" x14ac:dyDescent="0.2">
      <c r="A30" s="101" t="s">
        <v>70</v>
      </c>
      <c r="B30" s="28" t="s">
        <v>783</v>
      </c>
      <c r="C30" s="28" t="s">
        <v>471</v>
      </c>
      <c r="D30" s="54">
        <v>80000</v>
      </c>
    </row>
    <row r="31" spans="1:6" ht="15.95" customHeight="1" x14ac:dyDescent="0.2">
      <c r="A31" s="101" t="s">
        <v>71</v>
      </c>
      <c r="B31" s="340"/>
      <c r="C31" s="28"/>
      <c r="D31" s="54"/>
    </row>
    <row r="32" spans="1:6" ht="15.95" customHeight="1" x14ac:dyDescent="0.2">
      <c r="A32" s="101" t="s">
        <v>72</v>
      </c>
      <c r="B32" s="340"/>
      <c r="C32" s="28"/>
      <c r="D32" s="54"/>
    </row>
    <row r="33" spans="1:4" ht="15.95" customHeight="1" x14ac:dyDescent="0.2">
      <c r="A33" s="101" t="s">
        <v>73</v>
      </c>
      <c r="B33" s="340"/>
      <c r="C33" s="28"/>
      <c r="D33" s="54"/>
    </row>
    <row r="34" spans="1:4" ht="15.95" customHeight="1" x14ac:dyDescent="0.2">
      <c r="A34" s="101" t="s">
        <v>145</v>
      </c>
      <c r="B34" s="340"/>
      <c r="C34" s="28"/>
      <c r="D34" s="54"/>
    </row>
    <row r="35" spans="1:4" ht="15.95" customHeight="1" x14ac:dyDescent="0.2">
      <c r="A35" s="101" t="s">
        <v>146</v>
      </c>
      <c r="B35" s="340"/>
      <c r="C35" s="28"/>
      <c r="D35" s="54"/>
    </row>
    <row r="36" spans="1:4" ht="15.95" customHeight="1" x14ac:dyDescent="0.2">
      <c r="A36" s="101" t="s">
        <v>147</v>
      </c>
      <c r="B36" s="340"/>
      <c r="C36" s="28"/>
      <c r="D36" s="54"/>
    </row>
    <row r="37" spans="1:4" ht="15.95" customHeight="1" x14ac:dyDescent="0.2">
      <c r="A37" s="101" t="s">
        <v>148</v>
      </c>
      <c r="B37" s="28"/>
      <c r="C37" s="28"/>
      <c r="D37" s="54"/>
    </row>
    <row r="38" spans="1:4" ht="15.95" customHeight="1" x14ac:dyDescent="0.2">
      <c r="A38" s="101" t="s">
        <v>784</v>
      </c>
      <c r="B38" s="28"/>
      <c r="C38" s="28"/>
      <c r="D38" s="54"/>
    </row>
    <row r="39" spans="1:4" ht="15.95" customHeight="1" thickBot="1" x14ac:dyDescent="0.25">
      <c r="A39" s="101" t="s">
        <v>795</v>
      </c>
      <c r="B39" s="30"/>
      <c r="C39" s="30"/>
      <c r="D39" s="55"/>
    </row>
    <row r="40" spans="1:4" ht="15.95" customHeight="1" thickBot="1" x14ac:dyDescent="0.25">
      <c r="A40" s="1019" t="s">
        <v>80</v>
      </c>
      <c r="B40" s="1020"/>
      <c r="C40" s="102"/>
      <c r="D40" s="103">
        <f>SUM(D5:D39)</f>
        <v>123472500</v>
      </c>
    </row>
  </sheetData>
  <mergeCells count="3">
    <mergeCell ref="A1:D1"/>
    <mergeCell ref="C3:D3"/>
    <mergeCell ref="A40:B40"/>
  </mergeCells>
  <conditionalFormatting sqref="D4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CE,Dőlt"&amp;11 32. melléklet a 30/2017.(XI.30.) önkormányzati rendelethez
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L61"/>
  <sheetViews>
    <sheetView view="pageLayout" zoomScale="85" zoomScaleNormal="100" zoomScalePageLayoutView="85" workbookViewId="0">
      <selection activeCell="N4" sqref="N4"/>
    </sheetView>
  </sheetViews>
  <sheetFormatPr defaultColWidth="10.6640625" defaultRowHeight="12.75" x14ac:dyDescent="0.2"/>
  <cols>
    <col min="1" max="1" width="42.33203125" style="531" customWidth="1"/>
    <col min="2" max="2" width="12.6640625" style="532" bestFit="1" customWidth="1"/>
    <col min="3" max="4" width="11.1640625" style="532" bestFit="1" customWidth="1"/>
    <col min="5" max="5" width="11.33203125" style="532" bestFit="1" customWidth="1"/>
    <col min="6" max="6" width="11.1640625" style="532" bestFit="1" customWidth="1"/>
    <col min="7" max="7" width="13.6640625" style="533" bestFit="1" customWidth="1"/>
    <col min="8" max="8" width="1.1640625" style="533" customWidth="1"/>
    <col min="9" max="9" width="12.6640625" style="531" bestFit="1" customWidth="1"/>
    <col min="10" max="10" width="11.1640625" style="531" bestFit="1" customWidth="1"/>
    <col min="11" max="11" width="12.6640625" style="531" bestFit="1" customWidth="1"/>
    <col min="12" max="13" width="11.1640625" style="531" bestFit="1" customWidth="1"/>
    <col min="14" max="14" width="15.1640625" style="534" bestFit="1" customWidth="1"/>
    <col min="15" max="15" width="15.1640625" style="531" bestFit="1" customWidth="1"/>
    <col min="16" max="16384" width="10.6640625" style="531"/>
  </cols>
  <sheetData>
    <row r="1" spans="1:194" x14ac:dyDescent="0.2">
      <c r="J1" s="1021"/>
      <c r="K1" s="1021"/>
      <c r="L1" s="1021"/>
      <c r="M1" s="1021"/>
    </row>
    <row r="2" spans="1:194" x14ac:dyDescent="0.2">
      <c r="A2" s="535"/>
      <c r="E2" s="536"/>
      <c r="I2" s="535"/>
      <c r="J2" s="1022"/>
      <c r="K2" s="1022"/>
      <c r="L2" s="1022"/>
      <c r="M2" s="1022"/>
      <c r="N2" s="537"/>
    </row>
    <row r="3" spans="1:194" ht="17.25" customHeight="1" x14ac:dyDescent="0.35">
      <c r="A3" s="538" t="s">
        <v>672</v>
      </c>
      <c r="B3" s="539"/>
      <c r="C3" s="539"/>
      <c r="D3" s="539"/>
      <c r="E3" s="539"/>
      <c r="F3" s="539"/>
      <c r="G3" s="540"/>
      <c r="H3" s="540"/>
      <c r="I3" s="541"/>
      <c r="J3" s="541"/>
      <c r="K3" s="541"/>
      <c r="L3" s="541"/>
      <c r="M3" s="541"/>
      <c r="N3" s="542"/>
    </row>
    <row r="4" spans="1:194" ht="19.5" x14ac:dyDescent="0.35">
      <c r="A4" s="543" t="s">
        <v>483</v>
      </c>
      <c r="B4" s="539"/>
      <c r="C4" s="539"/>
      <c r="D4" s="539"/>
      <c r="E4" s="539"/>
      <c r="F4" s="539"/>
      <c r="G4" s="540"/>
      <c r="H4" s="540"/>
      <c r="I4" s="541"/>
      <c r="J4" s="541"/>
      <c r="K4" s="541"/>
      <c r="L4" s="541"/>
      <c r="M4" s="541"/>
      <c r="N4" s="542"/>
    </row>
    <row r="5" spans="1:194" ht="0.75" customHeight="1" thickBot="1" x14ac:dyDescent="0.35">
      <c r="A5" s="544"/>
      <c r="B5" s="539"/>
      <c r="C5" s="539"/>
      <c r="D5" s="539"/>
      <c r="E5" s="539"/>
      <c r="F5" s="539"/>
      <c r="G5" s="540"/>
      <c r="H5" s="540"/>
      <c r="I5" s="541"/>
      <c r="J5" s="541"/>
      <c r="K5" s="541"/>
      <c r="L5" s="541"/>
      <c r="M5" s="541"/>
      <c r="N5" s="537" t="s">
        <v>415</v>
      </c>
    </row>
    <row r="6" spans="1:194" ht="15.75" x14ac:dyDescent="0.25">
      <c r="A6" s="545" t="s">
        <v>200</v>
      </c>
      <c r="B6" s="1023" t="s">
        <v>484</v>
      </c>
      <c r="C6" s="1024"/>
      <c r="D6" s="1024"/>
      <c r="E6" s="1024"/>
      <c r="F6" s="1024"/>
      <c r="G6" s="1025"/>
      <c r="H6" s="546"/>
      <c r="I6" s="1023" t="s">
        <v>485</v>
      </c>
      <c r="J6" s="1024"/>
      <c r="K6" s="1024"/>
      <c r="L6" s="1024"/>
      <c r="M6" s="1024"/>
      <c r="N6" s="1025"/>
    </row>
    <row r="7" spans="1:194" x14ac:dyDescent="0.2">
      <c r="A7" s="547"/>
      <c r="B7" s="548" t="s">
        <v>486</v>
      </c>
      <c r="C7" s="549" t="s">
        <v>440</v>
      </c>
      <c r="D7" s="549" t="s">
        <v>508</v>
      </c>
      <c r="E7" s="549" t="s">
        <v>487</v>
      </c>
      <c r="F7" s="549" t="s">
        <v>636</v>
      </c>
      <c r="G7" s="550" t="s">
        <v>674</v>
      </c>
      <c r="H7" s="551"/>
      <c r="I7" s="548" t="s">
        <v>486</v>
      </c>
      <c r="J7" s="549" t="s">
        <v>440</v>
      </c>
      <c r="K7" s="549" t="s">
        <v>517</v>
      </c>
      <c r="L7" s="549" t="s">
        <v>152</v>
      </c>
      <c r="M7" s="549" t="s">
        <v>509</v>
      </c>
      <c r="N7" s="550" t="s">
        <v>675</v>
      </c>
    </row>
    <row r="8" spans="1:194" ht="13.5" thickBot="1" x14ac:dyDescent="0.25">
      <c r="A8" s="552"/>
      <c r="B8" s="553" t="s">
        <v>488</v>
      </c>
      <c r="C8" s="554" t="s">
        <v>488</v>
      </c>
      <c r="D8" s="554" t="s">
        <v>488</v>
      </c>
      <c r="E8" s="554" t="s">
        <v>489</v>
      </c>
      <c r="F8" s="554"/>
      <c r="G8" s="555" t="s">
        <v>490</v>
      </c>
      <c r="H8" s="556"/>
      <c r="I8" s="637" t="s">
        <v>491</v>
      </c>
      <c r="J8" s="638" t="s">
        <v>446</v>
      </c>
      <c r="K8" s="638" t="s">
        <v>442</v>
      </c>
      <c r="L8" s="638"/>
      <c r="M8" s="638"/>
      <c r="N8" s="639" t="s">
        <v>492</v>
      </c>
    </row>
    <row r="9" spans="1:194" x14ac:dyDescent="0.2">
      <c r="A9" s="640" t="s">
        <v>510</v>
      </c>
      <c r="B9" s="557">
        <v>4075000</v>
      </c>
      <c r="C9" s="558"/>
      <c r="D9" s="559"/>
      <c r="E9" s="558"/>
      <c r="F9" s="558"/>
      <c r="G9" s="560">
        <f>SUM(B9:F9)</f>
        <v>4075000</v>
      </c>
      <c r="H9" s="561"/>
      <c r="I9" s="562"/>
      <c r="J9" s="949">
        <f>291340+78662+283000+76410</f>
        <v>729412</v>
      </c>
      <c r="K9" s="563"/>
      <c r="L9" s="558"/>
      <c r="M9" s="558"/>
      <c r="N9" s="564">
        <f t="shared" ref="N9:N16" si="0">SUM(I9:M9)</f>
        <v>729412</v>
      </c>
      <c r="O9" s="565"/>
      <c r="P9" s="565"/>
      <c r="Q9" s="565"/>
      <c r="R9" s="565"/>
      <c r="S9" s="565"/>
      <c r="T9" s="565"/>
      <c r="U9" s="565"/>
      <c r="V9" s="565"/>
      <c r="W9" s="565"/>
      <c r="X9" s="565"/>
      <c r="Y9" s="565"/>
      <c r="Z9" s="565"/>
      <c r="AA9" s="565"/>
      <c r="AB9" s="565"/>
      <c r="AC9" s="565"/>
      <c r="AD9" s="565"/>
      <c r="AE9" s="565"/>
      <c r="AF9" s="565"/>
      <c r="AG9" s="565"/>
      <c r="AH9" s="565"/>
      <c r="AI9" s="565"/>
      <c r="AJ9" s="565"/>
      <c r="AK9" s="565"/>
      <c r="AL9" s="565"/>
      <c r="AM9" s="565"/>
      <c r="AN9" s="565"/>
      <c r="AO9" s="565"/>
      <c r="AP9" s="565"/>
      <c r="AQ9" s="565"/>
      <c r="AR9" s="565"/>
      <c r="AS9" s="565"/>
      <c r="AT9" s="565"/>
      <c r="AU9" s="565"/>
      <c r="AV9" s="565"/>
      <c r="AW9" s="565"/>
      <c r="AX9" s="565"/>
      <c r="AY9" s="565"/>
      <c r="AZ9" s="565"/>
      <c r="BA9" s="565"/>
      <c r="BB9" s="565"/>
      <c r="BC9" s="565"/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  <c r="DJ9" s="565"/>
      <c r="DK9" s="565"/>
      <c r="DL9" s="565"/>
      <c r="DM9" s="565"/>
      <c r="DN9" s="565"/>
      <c r="DO9" s="565"/>
      <c r="DP9" s="565"/>
      <c r="DQ9" s="565"/>
      <c r="DR9" s="565"/>
      <c r="DS9" s="565"/>
      <c r="DT9" s="565"/>
      <c r="DU9" s="565"/>
      <c r="DV9" s="565"/>
      <c r="DW9" s="565"/>
      <c r="DX9" s="565"/>
      <c r="DY9" s="565"/>
      <c r="DZ9" s="565"/>
      <c r="EA9" s="565"/>
      <c r="EB9" s="565"/>
      <c r="EC9" s="565"/>
      <c r="ED9" s="565"/>
      <c r="EE9" s="565"/>
      <c r="EF9" s="565"/>
      <c r="EG9" s="565"/>
      <c r="EH9" s="565"/>
      <c r="EI9" s="565"/>
      <c r="EJ9" s="565"/>
      <c r="EK9" s="565"/>
      <c r="EL9" s="565"/>
      <c r="EM9" s="565"/>
      <c r="EN9" s="565"/>
      <c r="EO9" s="565"/>
      <c r="EP9" s="565"/>
      <c r="EQ9" s="565"/>
      <c r="ER9" s="565"/>
      <c r="ES9" s="565"/>
      <c r="ET9" s="565"/>
      <c r="EU9" s="565"/>
      <c r="EV9" s="565"/>
      <c r="EW9" s="565"/>
      <c r="EX9" s="565"/>
      <c r="EY9" s="565"/>
      <c r="EZ9" s="565"/>
      <c r="FA9" s="565"/>
      <c r="FB9" s="565"/>
      <c r="FC9" s="565"/>
      <c r="FD9" s="565"/>
      <c r="FE9" s="565"/>
      <c r="FF9" s="565"/>
      <c r="FG9" s="565"/>
      <c r="FH9" s="565"/>
      <c r="FI9" s="565"/>
      <c r="FJ9" s="565"/>
      <c r="FK9" s="565"/>
      <c r="FL9" s="565"/>
      <c r="FM9" s="565"/>
      <c r="FN9" s="565"/>
      <c r="FO9" s="565"/>
      <c r="FP9" s="565"/>
      <c r="FQ9" s="565"/>
      <c r="FR9" s="565"/>
      <c r="FS9" s="565"/>
      <c r="FT9" s="565"/>
      <c r="FU9" s="565"/>
      <c r="FV9" s="565"/>
      <c r="FW9" s="565"/>
      <c r="FX9" s="565"/>
      <c r="FY9" s="565"/>
      <c r="FZ9" s="565"/>
      <c r="GA9" s="565"/>
      <c r="GB9" s="565"/>
      <c r="GC9" s="565"/>
      <c r="GD9" s="565"/>
      <c r="GE9" s="565"/>
      <c r="GF9" s="565"/>
      <c r="GG9" s="565"/>
      <c r="GH9" s="565"/>
      <c r="GI9" s="565"/>
      <c r="GJ9" s="565"/>
      <c r="GK9" s="565"/>
      <c r="GL9" s="565"/>
    </row>
    <row r="10" spans="1:194" x14ac:dyDescent="0.2">
      <c r="A10" s="572" t="s">
        <v>622</v>
      </c>
      <c r="B10" s="566"/>
      <c r="C10" s="567"/>
      <c r="D10" s="567"/>
      <c r="E10" s="567"/>
      <c r="F10" s="567"/>
      <c r="G10" s="568">
        <f>SUM(B10:F10)</f>
        <v>0</v>
      </c>
      <c r="H10" s="569"/>
      <c r="I10" s="570">
        <v>12011000</v>
      </c>
      <c r="J10" s="567"/>
      <c r="K10" s="567"/>
      <c r="L10" s="567"/>
      <c r="M10" s="567"/>
      <c r="N10" s="571">
        <f t="shared" si="0"/>
        <v>12011000</v>
      </c>
    </row>
    <row r="11" spans="1:194" x14ac:dyDescent="0.2">
      <c r="A11" s="572" t="s">
        <v>642</v>
      </c>
      <c r="B11" s="566"/>
      <c r="C11" s="567"/>
      <c r="D11" s="567"/>
      <c r="E11" s="567"/>
      <c r="F11" s="567"/>
      <c r="G11" s="568">
        <f>SUM(B11:F11)</f>
        <v>0</v>
      </c>
      <c r="H11" s="569"/>
      <c r="I11" s="570"/>
      <c r="J11" s="567"/>
      <c r="K11" s="567"/>
      <c r="L11" s="567"/>
      <c r="M11" s="567"/>
      <c r="N11" s="571">
        <f t="shared" si="0"/>
        <v>0</v>
      </c>
    </row>
    <row r="12" spans="1:194" x14ac:dyDescent="0.2">
      <c r="A12" s="572" t="s">
        <v>643</v>
      </c>
      <c r="B12" s="566"/>
      <c r="C12" s="567">
        <f>15690532-15690532</f>
        <v>0</v>
      </c>
      <c r="D12" s="567"/>
      <c r="E12" s="567"/>
      <c r="F12" s="567"/>
      <c r="G12" s="568">
        <f>SUM(B12:F12)</f>
        <v>0</v>
      </c>
      <c r="H12" s="573"/>
      <c r="I12" s="570"/>
      <c r="J12" s="951">
        <f>6621000+4226991-2180250-588668+14535000+3924450+2122000+572940-3500000-945000</f>
        <v>24788463</v>
      </c>
      <c r="K12" s="567"/>
      <c r="L12" s="567"/>
      <c r="M12" s="567"/>
      <c r="N12" s="571">
        <f t="shared" si="0"/>
        <v>24788463</v>
      </c>
    </row>
    <row r="13" spans="1:194" x14ac:dyDescent="0.2">
      <c r="A13" s="572" t="s">
        <v>511</v>
      </c>
      <c r="B13" s="566"/>
      <c r="C13" s="574"/>
      <c r="D13" s="567"/>
      <c r="E13" s="567"/>
      <c r="F13" s="567"/>
      <c r="G13" s="568">
        <f t="shared" ref="G13:G19" si="1">SUM(B13:F13)</f>
        <v>0</v>
      </c>
      <c r="H13" s="575" t="e">
        <f>SUM(#REF!)</f>
        <v>#REF!</v>
      </c>
      <c r="I13" s="570"/>
      <c r="J13" s="567"/>
      <c r="K13" s="567"/>
      <c r="L13" s="567"/>
      <c r="M13" s="567"/>
      <c r="N13" s="571">
        <f t="shared" si="0"/>
        <v>0</v>
      </c>
    </row>
    <row r="14" spans="1:194" x14ac:dyDescent="0.2">
      <c r="A14" s="576" t="s">
        <v>623</v>
      </c>
      <c r="B14" s="942">
        <f>7285000+5500000+1485000+3483000+3954000-2548000</f>
        <v>19159000</v>
      </c>
      <c r="C14" s="577"/>
      <c r="D14" s="567"/>
      <c r="E14" s="577"/>
      <c r="F14" s="577"/>
      <c r="G14" s="571">
        <f t="shared" si="1"/>
        <v>19159000</v>
      </c>
      <c r="H14" s="569"/>
      <c r="I14" s="948">
        <f>4801000+5200000+1647000+900000-162000+46000-760000+2514325-493801</f>
        <v>13692524</v>
      </c>
      <c r="J14" s="567"/>
      <c r="K14" s="577"/>
      <c r="L14" s="577"/>
      <c r="M14" s="577"/>
      <c r="N14" s="571">
        <f t="shared" si="0"/>
        <v>13692524</v>
      </c>
    </row>
    <row r="15" spans="1:194" x14ac:dyDescent="0.2">
      <c r="A15" s="572" t="s">
        <v>493</v>
      </c>
      <c r="B15" s="566"/>
      <c r="C15" s="567"/>
      <c r="D15" s="567"/>
      <c r="E15" s="567"/>
      <c r="F15" s="567"/>
      <c r="G15" s="568">
        <f t="shared" si="1"/>
        <v>0</v>
      </c>
      <c r="H15" s="569"/>
      <c r="I15" s="948">
        <f>8715000+638680+172444-2122000-572940-167519-45230</f>
        <v>6618435</v>
      </c>
      <c r="J15" s="567">
        <f>529000+141000+39000</f>
        <v>709000</v>
      </c>
      <c r="K15" s="567"/>
      <c r="L15" s="567"/>
      <c r="M15" s="567"/>
      <c r="N15" s="571">
        <f t="shared" si="0"/>
        <v>7327435</v>
      </c>
    </row>
    <row r="16" spans="1:194" x14ac:dyDescent="0.2">
      <c r="A16" s="572" t="s">
        <v>494</v>
      </c>
      <c r="B16" s="566">
        <v>100000</v>
      </c>
      <c r="C16" s="567"/>
      <c r="D16" s="567"/>
      <c r="E16" s="567"/>
      <c r="F16" s="567"/>
      <c r="G16" s="568">
        <f t="shared" si="1"/>
        <v>100000</v>
      </c>
      <c r="H16" s="569"/>
      <c r="I16" s="570">
        <f>1817000+300000+81000</f>
        <v>2198000</v>
      </c>
      <c r="J16" s="567">
        <v>1513000</v>
      </c>
      <c r="K16" s="567"/>
      <c r="L16" s="567"/>
      <c r="M16" s="567"/>
      <c r="N16" s="571">
        <f t="shared" si="0"/>
        <v>3711000</v>
      </c>
    </row>
    <row r="17" spans="1:14" x14ac:dyDescent="0.2">
      <c r="A17" s="572" t="s">
        <v>495</v>
      </c>
      <c r="B17" s="566"/>
      <c r="C17" s="567"/>
      <c r="D17" s="567"/>
      <c r="E17" s="567"/>
      <c r="F17" s="567"/>
      <c r="G17" s="568">
        <f t="shared" si="1"/>
        <v>0</v>
      </c>
      <c r="H17" s="569"/>
      <c r="I17" s="570"/>
      <c r="J17" s="567"/>
      <c r="K17" s="567"/>
      <c r="L17" s="567"/>
      <c r="M17" s="567"/>
      <c r="N17" s="571">
        <f t="shared" ref="N17:N51" si="2">SUM(I17:M17)</f>
        <v>0</v>
      </c>
    </row>
    <row r="18" spans="1:14" x14ac:dyDescent="0.2">
      <c r="A18" s="572" t="s">
        <v>496</v>
      </c>
      <c r="B18" s="578">
        <v>6840000</v>
      </c>
      <c r="C18" s="577">
        <v>2160000</v>
      </c>
      <c r="D18" s="577"/>
      <c r="E18" s="577"/>
      <c r="F18" s="577"/>
      <c r="G18" s="571">
        <f t="shared" si="1"/>
        <v>9000000</v>
      </c>
      <c r="H18" s="579"/>
      <c r="I18" s="948">
        <f>31466000+66000-231000-45738+6840000-132000-26136-198000-39204+127000</f>
        <v>37826922</v>
      </c>
      <c r="J18" s="567">
        <v>2160000</v>
      </c>
      <c r="K18" s="577"/>
      <c r="L18" s="577"/>
      <c r="M18" s="577"/>
      <c r="N18" s="571">
        <f t="shared" si="2"/>
        <v>39986922</v>
      </c>
    </row>
    <row r="19" spans="1:14" x14ac:dyDescent="0.2">
      <c r="A19" s="576" t="s">
        <v>497</v>
      </c>
      <c r="B19" s="578"/>
      <c r="C19" s="577"/>
      <c r="D19" s="577"/>
      <c r="E19" s="577"/>
      <c r="F19" s="577"/>
      <c r="G19" s="571">
        <f t="shared" si="1"/>
        <v>0</v>
      </c>
      <c r="H19" s="579"/>
      <c r="I19" s="948">
        <f>300000+6294578+1699536+241138+65107+500000+135000-72105-19468</f>
        <v>9143786</v>
      </c>
      <c r="J19" s="577"/>
      <c r="K19" s="577"/>
      <c r="L19" s="577"/>
      <c r="M19" s="577"/>
      <c r="N19" s="571">
        <f t="shared" si="2"/>
        <v>9143786</v>
      </c>
    </row>
    <row r="20" spans="1:14" x14ac:dyDescent="0.2">
      <c r="A20" s="572" t="s">
        <v>498</v>
      </c>
      <c r="B20" s="566">
        <f>SUM(B21:B23)</f>
        <v>0</v>
      </c>
      <c r="C20" s="567">
        <f>SUM(C21:C23)</f>
        <v>0</v>
      </c>
      <c r="D20" s="567">
        <f>SUM(D21:D23)</f>
        <v>354390000</v>
      </c>
      <c r="E20" s="567"/>
      <c r="F20" s="567"/>
      <c r="G20" s="571">
        <f>SUM(G21:G23)</f>
        <v>354390000</v>
      </c>
      <c r="H20" s="579"/>
      <c r="I20" s="580"/>
      <c r="J20" s="577"/>
      <c r="K20" s="577">
        <f>SUM(K21:K23)</f>
        <v>0</v>
      </c>
      <c r="L20" s="577"/>
      <c r="M20" s="577"/>
      <c r="N20" s="571">
        <f t="shared" si="2"/>
        <v>0</v>
      </c>
    </row>
    <row r="21" spans="1:14" x14ac:dyDescent="0.2">
      <c r="A21" s="581" t="s">
        <v>512</v>
      </c>
      <c r="B21" s="566"/>
      <c r="C21" s="577"/>
      <c r="D21" s="566">
        <f>282890000+3500000+35000000</f>
        <v>321390000</v>
      </c>
      <c r="E21" s="577"/>
      <c r="F21" s="577"/>
      <c r="G21" s="582">
        <f t="shared" ref="G21:G27" si="3">SUM(B21:F21)</f>
        <v>321390000</v>
      </c>
      <c r="H21" s="579"/>
      <c r="I21" s="580"/>
      <c r="J21" s="577"/>
      <c r="K21" s="577"/>
      <c r="L21" s="577"/>
      <c r="M21" s="577"/>
      <c r="N21" s="583">
        <f t="shared" si="2"/>
        <v>0</v>
      </c>
    </row>
    <row r="22" spans="1:14" x14ac:dyDescent="0.2">
      <c r="A22" s="581" t="s">
        <v>499</v>
      </c>
      <c r="B22" s="566"/>
      <c r="C22" s="577"/>
      <c r="D22" s="566">
        <v>27000000</v>
      </c>
      <c r="E22" s="577"/>
      <c r="F22" s="577"/>
      <c r="G22" s="582">
        <f t="shared" si="3"/>
        <v>27000000</v>
      </c>
      <c r="H22" s="579"/>
      <c r="I22" s="580"/>
      <c r="J22" s="577"/>
      <c r="K22" s="577"/>
      <c r="L22" s="577"/>
      <c r="M22" s="577"/>
      <c r="N22" s="583">
        <f t="shared" si="2"/>
        <v>0</v>
      </c>
    </row>
    <row r="23" spans="1:14" x14ac:dyDescent="0.2">
      <c r="A23" s="581" t="s">
        <v>624</v>
      </c>
      <c r="B23" s="566"/>
      <c r="C23" s="577"/>
      <c r="D23" s="566">
        <v>6000000</v>
      </c>
      <c r="E23" s="577"/>
      <c r="F23" s="577"/>
      <c r="G23" s="582">
        <f t="shared" si="3"/>
        <v>6000000</v>
      </c>
      <c r="H23" s="579"/>
      <c r="I23" s="943">
        <v>1565437</v>
      </c>
      <c r="J23" s="577"/>
      <c r="K23" s="577"/>
      <c r="L23" s="577"/>
      <c r="M23" s="577"/>
      <c r="N23" s="583">
        <f t="shared" si="2"/>
        <v>1565437</v>
      </c>
    </row>
    <row r="24" spans="1:14" x14ac:dyDescent="0.2">
      <c r="A24" s="584" t="s">
        <v>8</v>
      </c>
      <c r="B24" s="578"/>
      <c r="C24" s="577"/>
      <c r="D24" s="577"/>
      <c r="E24" s="577"/>
      <c r="F24" s="577"/>
      <c r="G24" s="582">
        <f t="shared" si="3"/>
        <v>0</v>
      </c>
      <c r="H24" s="579"/>
      <c r="I24" s="570">
        <f>26600000-19000000</f>
        <v>7600000</v>
      </c>
      <c r="J24" s="567"/>
      <c r="K24" s="577"/>
      <c r="L24" s="577"/>
      <c r="M24" s="577"/>
      <c r="N24" s="571">
        <f t="shared" si="2"/>
        <v>7600000</v>
      </c>
    </row>
    <row r="25" spans="1:14" x14ac:dyDescent="0.2">
      <c r="A25" s="572" t="s">
        <v>523</v>
      </c>
      <c r="B25" s="578"/>
      <c r="C25" s="577"/>
      <c r="D25" s="577"/>
      <c r="E25" s="577"/>
      <c r="F25" s="577"/>
      <c r="G25" s="571">
        <f t="shared" si="3"/>
        <v>0</v>
      </c>
      <c r="H25" s="579"/>
      <c r="I25" s="570">
        <f>835000+1200000+324000</f>
        <v>2359000</v>
      </c>
      <c r="J25" s="577"/>
      <c r="K25" s="577"/>
      <c r="L25" s="577"/>
      <c r="M25" s="577"/>
      <c r="N25" s="571">
        <f t="shared" si="2"/>
        <v>2359000</v>
      </c>
    </row>
    <row r="26" spans="1:14" x14ac:dyDescent="0.2">
      <c r="A26" s="572" t="s">
        <v>500</v>
      </c>
      <c r="B26" s="578"/>
      <c r="C26" s="577"/>
      <c r="D26" s="577"/>
      <c r="E26" s="577"/>
      <c r="F26" s="577"/>
      <c r="G26" s="571">
        <f t="shared" si="3"/>
        <v>0</v>
      </c>
      <c r="H26" s="579"/>
      <c r="I26" s="570">
        <v>34925000</v>
      </c>
      <c r="J26" s="952">
        <f>2237000-1418000-382860</f>
        <v>436140</v>
      </c>
      <c r="K26" s="577"/>
      <c r="L26" s="577"/>
      <c r="M26" s="577"/>
      <c r="N26" s="571">
        <f t="shared" si="2"/>
        <v>35361140</v>
      </c>
    </row>
    <row r="27" spans="1:14" ht="13.5" customHeight="1" x14ac:dyDescent="0.2">
      <c r="A27" s="641" t="s">
        <v>501</v>
      </c>
      <c r="B27" s="941">
        <f>210000+1060845+383000+8458000+378000+723064+195228+3111000+1770000+2100000-4705000+11811+3189</f>
        <v>13699137</v>
      </c>
      <c r="C27" s="586"/>
      <c r="D27" s="587"/>
      <c r="E27" s="587"/>
      <c r="F27" s="586"/>
      <c r="G27" s="588">
        <f t="shared" si="3"/>
        <v>13699137</v>
      </c>
      <c r="H27" s="579"/>
      <c r="I27" s="947">
        <f>40773000+6010000+1233000+3429000+16678000+589000+117000+315000+86000+812000+3500000+1982000+91440+918292+6600000+1905000+600000+361225+723064+195228+208420+56274+3191000+163000+4568000+2037000+448140+594094+267717+72000+62992+249697+7351000-4705000+200000+54000+165000+44550+22000+132448+100000-23622+157480+65694+24000-24000+4250-4250+3000000+60000+3261000-77165+110236-42000+8929+15000+2970+3189+119000+32130-52967-14301</f>
        <v>108826154</v>
      </c>
      <c r="J27" s="945">
        <f>6604000+2400000+1348000+5000+157480+1974646+575674-157480-42520-54000+1079500+283500+76545</f>
        <v>14250345</v>
      </c>
      <c r="K27" s="586"/>
      <c r="L27" s="587"/>
      <c r="M27" s="587"/>
      <c r="N27" s="588">
        <f t="shared" si="2"/>
        <v>123076499</v>
      </c>
    </row>
    <row r="28" spans="1:14" x14ac:dyDescent="0.2">
      <c r="A28" s="572" t="s">
        <v>513</v>
      </c>
      <c r="B28" s="566">
        <f t="shared" ref="B28:G28" si="4">SUM(B29:B31)</f>
        <v>1366494383</v>
      </c>
      <c r="C28" s="566">
        <f t="shared" si="4"/>
        <v>15690532</v>
      </c>
      <c r="D28" s="566">
        <f t="shared" si="4"/>
        <v>0</v>
      </c>
      <c r="E28" s="566">
        <f t="shared" si="4"/>
        <v>0</v>
      </c>
      <c r="F28" s="566">
        <f t="shared" si="4"/>
        <v>0</v>
      </c>
      <c r="G28" s="571">
        <f t="shared" si="4"/>
        <v>1382184915</v>
      </c>
      <c r="H28" s="589"/>
      <c r="I28" s="580">
        <f>SUM(I29:I30)</f>
        <v>45362389</v>
      </c>
      <c r="J28" s="580">
        <f>SUM(J29:J30)</f>
        <v>0</v>
      </c>
      <c r="K28" s="580">
        <f>SUM(K29:K30)</f>
        <v>0</v>
      </c>
      <c r="L28" s="580">
        <f>SUM(L29:L30)</f>
        <v>0</v>
      </c>
      <c r="M28" s="580">
        <f>SUM(M29:M30)</f>
        <v>0</v>
      </c>
      <c r="N28" s="571">
        <f t="shared" si="2"/>
        <v>45362389</v>
      </c>
    </row>
    <row r="29" spans="1:14" x14ac:dyDescent="0.2">
      <c r="A29" s="581" t="s">
        <v>514</v>
      </c>
      <c r="B29" s="942">
        <f>996138958+24250000-24250000+413944+9514709+49094027+4501192+10461768+4203818-8925800-4278000-1921230+31350000</f>
        <v>1090553386</v>
      </c>
      <c r="C29" s="567"/>
      <c r="D29" s="577"/>
      <c r="E29" s="577"/>
      <c r="F29" s="577"/>
      <c r="G29" s="582">
        <f t="shared" ref="G29:G51" si="5">SUM(B29:F29)</f>
        <v>1090553386</v>
      </c>
      <c r="H29" s="579"/>
      <c r="I29" s="570">
        <f>6098534+1143510+40446+2792500</f>
        <v>10074990</v>
      </c>
      <c r="J29" s="577"/>
      <c r="K29" s="577"/>
      <c r="L29" s="577"/>
      <c r="M29" s="577"/>
      <c r="N29" s="583">
        <f t="shared" si="2"/>
        <v>10074990</v>
      </c>
    </row>
    <row r="30" spans="1:14" x14ac:dyDescent="0.2">
      <c r="A30" s="581" t="s">
        <v>515</v>
      </c>
      <c r="B30" s="944">
        <f>110446000+168707597+58000+128000+24250000-15000000+3969000+22113080+1882700+1038248-3969000-22113080-1882700+4682000+306000+12549488-21350000-6245860-3628476</f>
        <v>275940997</v>
      </c>
      <c r="C30" s="567"/>
      <c r="D30" s="567"/>
      <c r="E30" s="577"/>
      <c r="F30" s="577"/>
      <c r="G30" s="582">
        <f t="shared" si="5"/>
        <v>275940997</v>
      </c>
      <c r="H30" s="579"/>
      <c r="I30" s="570">
        <f>35164932+1500+60754+114463-60754+6504</f>
        <v>35287399</v>
      </c>
      <c r="J30" s="577"/>
      <c r="K30" s="577"/>
      <c r="L30" s="577"/>
      <c r="M30" s="577"/>
      <c r="N30" s="571">
        <f t="shared" si="2"/>
        <v>35287399</v>
      </c>
    </row>
    <row r="31" spans="1:14" x14ac:dyDescent="0.2">
      <c r="A31" s="581" t="s">
        <v>771</v>
      </c>
      <c r="B31" s="754"/>
      <c r="C31" s="567">
        <f>15690532</f>
        <v>15690532</v>
      </c>
      <c r="D31" s="567"/>
      <c r="E31" s="577"/>
      <c r="F31" s="577"/>
      <c r="G31" s="582">
        <f t="shared" si="5"/>
        <v>15690532</v>
      </c>
      <c r="H31" s="579"/>
      <c r="I31" s="570"/>
      <c r="J31" s="577"/>
      <c r="K31" s="577"/>
      <c r="L31" s="577"/>
      <c r="M31" s="577"/>
      <c r="N31" s="571"/>
    </row>
    <row r="32" spans="1:14" x14ac:dyDescent="0.2">
      <c r="A32" s="572" t="s">
        <v>502</v>
      </c>
      <c r="B32" s="566">
        <v>30000</v>
      </c>
      <c r="C32" s="567"/>
      <c r="D32" s="567"/>
      <c r="E32" s="567">
        <f>144100000+37900000+5500000</f>
        <v>187500000</v>
      </c>
      <c r="F32" s="567">
        <v>289331423</v>
      </c>
      <c r="G32" s="568">
        <f t="shared" si="5"/>
        <v>476861423</v>
      </c>
      <c r="H32" s="569"/>
      <c r="I32" s="948">
        <f>11212000+13374+55000+620000-620000</f>
        <v>11280374</v>
      </c>
      <c r="J32" s="567"/>
      <c r="K32" s="951">
        <v>1287732953</v>
      </c>
      <c r="L32" s="567">
        <v>103161000</v>
      </c>
      <c r="M32" s="951">
        <f>94769820+3000000</f>
        <v>97769820</v>
      </c>
      <c r="N32" s="571">
        <f t="shared" si="2"/>
        <v>1499944147</v>
      </c>
    </row>
    <row r="33" spans="1:14" x14ac:dyDescent="0.2">
      <c r="A33" s="572" t="s">
        <v>516</v>
      </c>
      <c r="B33" s="578"/>
      <c r="C33" s="577"/>
      <c r="D33" s="577"/>
      <c r="E33" s="577"/>
      <c r="F33" s="577"/>
      <c r="G33" s="571">
        <f t="shared" si="5"/>
        <v>0</v>
      </c>
      <c r="H33" s="579"/>
      <c r="I33" s="570"/>
      <c r="J33" s="567"/>
      <c r="K33" s="567"/>
      <c r="L33" s="567"/>
      <c r="M33" s="567"/>
      <c r="N33" s="571">
        <f t="shared" si="2"/>
        <v>0</v>
      </c>
    </row>
    <row r="34" spans="1:14" x14ac:dyDescent="0.2">
      <c r="A34" s="572" t="s">
        <v>503</v>
      </c>
      <c r="B34" s="566"/>
      <c r="C34" s="567"/>
      <c r="D34" s="567"/>
      <c r="E34" s="567"/>
      <c r="F34" s="567"/>
      <c r="G34" s="571">
        <f t="shared" si="5"/>
        <v>0</v>
      </c>
      <c r="H34" s="579"/>
      <c r="I34" s="570">
        <v>590000</v>
      </c>
      <c r="J34" s="567"/>
      <c r="K34" s="567"/>
      <c r="L34" s="567"/>
      <c r="M34" s="567"/>
      <c r="N34" s="571">
        <f t="shared" si="2"/>
        <v>590000</v>
      </c>
    </row>
    <row r="35" spans="1:14" x14ac:dyDescent="0.2">
      <c r="A35" s="641" t="s">
        <v>504</v>
      </c>
      <c r="B35" s="585"/>
      <c r="C35" s="586">
        <v>75588869</v>
      </c>
      <c r="D35" s="586"/>
      <c r="E35" s="586"/>
      <c r="F35" s="586"/>
      <c r="G35" s="571">
        <f t="shared" si="5"/>
        <v>75588869</v>
      </c>
      <c r="H35" s="579"/>
      <c r="I35" s="590">
        <f>3351000+3939600+1577323+312310</f>
        <v>9180233</v>
      </c>
      <c r="J35" s="945">
        <f>56542894+15266582-1487900-401733+2330274+629174</f>
        <v>72879291</v>
      </c>
      <c r="K35" s="586"/>
      <c r="L35" s="586"/>
      <c r="M35" s="586"/>
      <c r="N35" s="571">
        <f t="shared" si="2"/>
        <v>82059524</v>
      </c>
    </row>
    <row r="36" spans="1:14" x14ac:dyDescent="0.2">
      <c r="A36" s="641" t="s">
        <v>696</v>
      </c>
      <c r="B36" s="585"/>
      <c r="C36" s="586"/>
      <c r="D36" s="586"/>
      <c r="E36" s="586"/>
      <c r="F36" s="586"/>
      <c r="G36" s="571">
        <f t="shared" si="5"/>
        <v>0</v>
      </c>
      <c r="H36" s="579"/>
      <c r="I36" s="590"/>
      <c r="J36" s="586"/>
      <c r="K36" s="586"/>
      <c r="L36" s="586"/>
      <c r="M36" s="586"/>
      <c r="N36" s="571">
        <f t="shared" si="2"/>
        <v>0</v>
      </c>
    </row>
    <row r="37" spans="1:14" x14ac:dyDescent="0.2">
      <c r="A37" s="641" t="s">
        <v>518</v>
      </c>
      <c r="B37" s="585"/>
      <c r="C37" s="586"/>
      <c r="D37" s="586"/>
      <c r="E37" s="586"/>
      <c r="F37" s="586"/>
      <c r="G37" s="571">
        <f t="shared" si="5"/>
        <v>0</v>
      </c>
      <c r="H37" s="579"/>
      <c r="I37" s="590">
        <f>7083000+24000+4600+6200+113984+481496+143504+124996+85225</f>
        <v>8067005</v>
      </c>
      <c r="J37" s="586">
        <v>301000</v>
      </c>
      <c r="K37" s="586"/>
      <c r="L37" s="586"/>
      <c r="M37" s="586"/>
      <c r="N37" s="571">
        <f t="shared" si="2"/>
        <v>8368005</v>
      </c>
    </row>
    <row r="38" spans="1:14" x14ac:dyDescent="0.2">
      <c r="A38" s="641" t="s">
        <v>519</v>
      </c>
      <c r="B38" s="585">
        <v>947000</v>
      </c>
      <c r="C38" s="586"/>
      <c r="D38" s="586"/>
      <c r="E38" s="586"/>
      <c r="F38" s="586"/>
      <c r="G38" s="571">
        <f t="shared" si="5"/>
        <v>947000</v>
      </c>
      <c r="H38" s="579"/>
      <c r="I38" s="590">
        <v>16980000</v>
      </c>
      <c r="J38" s="586"/>
      <c r="K38" s="586"/>
      <c r="L38" s="586"/>
      <c r="M38" s="586"/>
      <c r="N38" s="571">
        <f t="shared" si="2"/>
        <v>16980000</v>
      </c>
    </row>
    <row r="39" spans="1:14" x14ac:dyDescent="0.2">
      <c r="A39" s="641" t="s">
        <v>626</v>
      </c>
      <c r="B39" s="585">
        <v>704000</v>
      </c>
      <c r="C39" s="586"/>
      <c r="D39" s="586"/>
      <c r="E39" s="586"/>
      <c r="F39" s="586"/>
      <c r="G39" s="571">
        <f t="shared" si="5"/>
        <v>704000</v>
      </c>
      <c r="H39" s="579"/>
      <c r="I39" s="950">
        <f>70980000-780000-6906260+785000-5080000-4000000</f>
        <v>54998740</v>
      </c>
      <c r="J39" s="586"/>
      <c r="K39" s="586"/>
      <c r="L39" s="586"/>
      <c r="M39" s="586"/>
      <c r="N39" s="571">
        <f t="shared" si="2"/>
        <v>54998740</v>
      </c>
    </row>
    <row r="40" spans="1:14" x14ac:dyDescent="0.2">
      <c r="A40" s="641" t="s">
        <v>772</v>
      </c>
      <c r="B40" s="585"/>
      <c r="C40" s="586"/>
      <c r="D40" s="586"/>
      <c r="E40" s="586"/>
      <c r="F40" s="586"/>
      <c r="G40" s="571">
        <f t="shared" si="5"/>
        <v>0</v>
      </c>
      <c r="H40" s="579"/>
      <c r="I40" s="590">
        <v>0</v>
      </c>
      <c r="J40" s="586"/>
      <c r="K40" s="586"/>
      <c r="L40" s="586"/>
      <c r="M40" s="586"/>
      <c r="N40" s="571">
        <f t="shared" si="2"/>
        <v>0</v>
      </c>
    </row>
    <row r="41" spans="1:14" x14ac:dyDescent="0.2">
      <c r="A41" s="641" t="s">
        <v>13</v>
      </c>
      <c r="B41" s="585"/>
      <c r="C41" s="586"/>
      <c r="D41" s="586"/>
      <c r="E41" s="586"/>
      <c r="F41" s="586"/>
      <c r="G41" s="571">
        <f t="shared" si="5"/>
        <v>0</v>
      </c>
      <c r="H41" s="579"/>
      <c r="I41" s="590">
        <v>1600000</v>
      </c>
      <c r="J41" s="586"/>
      <c r="K41" s="586"/>
      <c r="L41" s="586"/>
      <c r="M41" s="586"/>
      <c r="N41" s="571">
        <f t="shared" si="2"/>
        <v>1600000</v>
      </c>
    </row>
    <row r="42" spans="1:14" x14ac:dyDescent="0.2">
      <c r="A42" s="641" t="s">
        <v>773</v>
      </c>
      <c r="B42" s="585">
        <v>6350000</v>
      </c>
      <c r="C42" s="586"/>
      <c r="D42" s="586"/>
      <c r="E42" s="586"/>
      <c r="F42" s="586"/>
      <c r="G42" s="571">
        <f t="shared" si="5"/>
        <v>6350000</v>
      </c>
      <c r="H42" s="579"/>
      <c r="I42" s="590">
        <f>1350000+250000</f>
        <v>1600000</v>
      </c>
      <c r="J42" s="586"/>
      <c r="K42" s="586"/>
      <c r="L42" s="586"/>
      <c r="M42" s="586"/>
      <c r="N42" s="571">
        <f t="shared" si="2"/>
        <v>1600000</v>
      </c>
    </row>
    <row r="43" spans="1:14" x14ac:dyDescent="0.2">
      <c r="A43" s="572" t="s">
        <v>505</v>
      </c>
      <c r="B43" s="946">
        <f>1566000+1020434</f>
        <v>2586434</v>
      </c>
      <c r="C43" s="586"/>
      <c r="D43" s="586"/>
      <c r="E43" s="586"/>
      <c r="F43" s="586"/>
      <c r="G43" s="571">
        <f t="shared" si="5"/>
        <v>2586434</v>
      </c>
      <c r="H43" s="579"/>
      <c r="I43" s="590">
        <f>20327000+2000000+4000000+2975000+80000</f>
        <v>29382000</v>
      </c>
      <c r="J43" s="945">
        <f>42072000+1000000</f>
        <v>43072000</v>
      </c>
      <c r="K43" s="592"/>
      <c r="L43" s="586"/>
      <c r="M43" s="586"/>
      <c r="N43" s="571">
        <f t="shared" si="2"/>
        <v>72454000</v>
      </c>
    </row>
    <row r="44" spans="1:14" x14ac:dyDescent="0.2">
      <c r="A44" s="642" t="s">
        <v>695</v>
      </c>
      <c r="B44" s="591"/>
      <c r="C44" s="586">
        <f>3797300+214128350+199720812</f>
        <v>417646462</v>
      </c>
      <c r="D44" s="586"/>
      <c r="E44" s="586"/>
      <c r="F44" s="586"/>
      <c r="G44" s="571">
        <f t="shared" si="5"/>
        <v>417646462</v>
      </c>
      <c r="H44" s="579"/>
      <c r="I44" s="590">
        <f>3666988-2092900-774087-629922-170079+2921000+578359</f>
        <v>3499359</v>
      </c>
      <c r="J44" s="586">
        <f>92095700+168605000+45523350+2092900+774087+629922+170079+14095000+3805650+2988224+806820+5929+149157230+40272452+3375000+911250+138750-160035-43209+185830-185830-2921000</f>
        <v>522323099</v>
      </c>
      <c r="K44" s="592"/>
      <c r="L44" s="586"/>
      <c r="M44" s="586"/>
      <c r="N44" s="571">
        <f t="shared" si="2"/>
        <v>525822458</v>
      </c>
    </row>
    <row r="45" spans="1:14" x14ac:dyDescent="0.2">
      <c r="A45" s="572" t="s">
        <v>506</v>
      </c>
      <c r="B45" s="591">
        <f>16176000+682000+555000+150000+206000+56000+1924793+7128864+1924793</f>
        <v>28803450</v>
      </c>
      <c r="C45" s="586">
        <f>31032000+22270000</f>
        <v>53302000</v>
      </c>
      <c r="D45" s="586"/>
      <c r="E45" s="586"/>
      <c r="F45" s="586"/>
      <c r="G45" s="571">
        <f t="shared" si="5"/>
        <v>82105450</v>
      </c>
      <c r="H45" s="579"/>
      <c r="I45" s="590">
        <f>17736000+8485000+411000+270000-6684000-1804680+682000+24000+198000+123000+20000+92000+62000-62000+326000+1784000+481680-320000-120000-118800+1924793</f>
        <v>23509993</v>
      </c>
      <c r="J45" s="586">
        <f>5906000+771000+208170+5913000+1596510+4452920+1113432-1013000-273510-771000-208170-125000-33750+915000+247050-350000-94500+7128864+1924793+157480+42520+123498-123498+63000+17010</f>
        <v>27587819</v>
      </c>
      <c r="K45" s="586"/>
      <c r="L45" s="586"/>
      <c r="M45" s="586"/>
      <c r="N45" s="571">
        <f t="shared" si="2"/>
        <v>51097812</v>
      </c>
    </row>
    <row r="46" spans="1:14" x14ac:dyDescent="0.2">
      <c r="A46" s="572" t="s">
        <v>33</v>
      </c>
      <c r="B46" s="585"/>
      <c r="C46" s="586"/>
      <c r="D46" s="586"/>
      <c r="E46" s="586"/>
      <c r="F46" s="586"/>
      <c r="G46" s="571">
        <f t="shared" si="5"/>
        <v>0</v>
      </c>
      <c r="H46" s="579"/>
      <c r="I46" s="590"/>
      <c r="J46" s="586"/>
      <c r="K46" s="586"/>
      <c r="L46" s="586"/>
      <c r="M46" s="586"/>
      <c r="N46" s="571">
        <f t="shared" si="2"/>
        <v>0</v>
      </c>
    </row>
    <row r="47" spans="1:14" x14ac:dyDescent="0.2">
      <c r="A47" s="642" t="s">
        <v>698</v>
      </c>
      <c r="B47" s="941">
        <f>69942000+9665887+291175856+94906504+240000+27000-323735435-2941522-516228+18000000+300000+81000</f>
        <v>157145062</v>
      </c>
      <c r="C47" s="586">
        <f>15179276+158027+40410-15179276</f>
        <v>198437</v>
      </c>
      <c r="D47" s="586"/>
      <c r="E47" s="586"/>
      <c r="F47" s="586"/>
      <c r="G47" s="571">
        <f t="shared" si="5"/>
        <v>157343499</v>
      </c>
      <c r="H47" s="579"/>
      <c r="I47" s="947">
        <f>189014000+58000+8708008+957879+232903371+25618911+28972366+7822538+20000+400000+312000+94906504+869950+21074276+5690055+4124820+1113701+140000-1905000+137360-1170915-142327-30660-235888-410000-888000-350460+8195741+2212850+1500000+405000-140000+240000+27000+27000+188976+51024+2045+1500000+405000-279139483-31590193-25690917-234672-7230493+1240000+4000000+1080000+388424-388424-8195741+8195741+300000+81000+140001+6224087+1680503</f>
        <v>303184958</v>
      </c>
      <c r="J47" s="586">
        <f>204000+11952186+3227090+300000+275000+74250+170000+44000-100000-27000+3938000+1063260-4255460-7419036-3219790</f>
        <v>6226500</v>
      </c>
      <c r="K47" s="586"/>
      <c r="L47" s="586"/>
      <c r="M47" s="586"/>
      <c r="N47" s="571">
        <f t="shared" si="2"/>
        <v>309411458</v>
      </c>
    </row>
    <row r="48" spans="1:14" x14ac:dyDescent="0.2">
      <c r="A48" s="572" t="s">
        <v>738</v>
      </c>
      <c r="B48" s="585"/>
      <c r="C48" s="586">
        <v>15956160</v>
      </c>
      <c r="D48" s="586"/>
      <c r="E48" s="586"/>
      <c r="F48" s="586"/>
      <c r="G48" s="571">
        <f t="shared" si="5"/>
        <v>15956160</v>
      </c>
      <c r="H48" s="579"/>
      <c r="I48" s="590"/>
      <c r="J48" s="586">
        <f>12170205+393701+3392254</f>
        <v>15956160</v>
      </c>
      <c r="K48" s="586"/>
      <c r="L48" s="586"/>
      <c r="M48" s="586"/>
      <c r="N48" s="571">
        <f t="shared" si="2"/>
        <v>15956160</v>
      </c>
    </row>
    <row r="49" spans="1:15" x14ac:dyDescent="0.2">
      <c r="A49" s="641" t="s">
        <v>644</v>
      </c>
      <c r="B49" s="585"/>
      <c r="C49" s="586"/>
      <c r="D49" s="586"/>
      <c r="E49" s="586"/>
      <c r="F49" s="586"/>
      <c r="G49" s="588">
        <f t="shared" si="5"/>
        <v>0</v>
      </c>
      <c r="H49" s="579"/>
      <c r="I49" s="947">
        <f>46750042+1126000+304020</f>
        <v>48180062</v>
      </c>
      <c r="J49" s="586"/>
      <c r="K49" s="586"/>
      <c r="L49" s="586"/>
      <c r="M49" s="586"/>
      <c r="N49" s="571">
        <f t="shared" si="2"/>
        <v>48180062</v>
      </c>
    </row>
    <row r="50" spans="1:15" x14ac:dyDescent="0.2">
      <c r="A50" s="641" t="s">
        <v>625</v>
      </c>
      <c r="B50" s="585">
        <v>204000</v>
      </c>
      <c r="C50" s="586"/>
      <c r="D50" s="586"/>
      <c r="E50" s="586"/>
      <c r="F50" s="586"/>
      <c r="G50" s="588">
        <f t="shared" si="5"/>
        <v>204000</v>
      </c>
      <c r="H50" s="579"/>
      <c r="I50" s="947">
        <f>1256800-50000+2+3998-4000+23000-17000-6000+15800+4266+2800+4110</f>
        <v>1233776</v>
      </c>
      <c r="J50" s="586">
        <v>90200</v>
      </c>
      <c r="K50" s="586"/>
      <c r="L50" s="586"/>
      <c r="M50" s="586"/>
      <c r="N50" s="588">
        <f t="shared" si="2"/>
        <v>1323976</v>
      </c>
    </row>
    <row r="51" spans="1:15" ht="13.5" thickBot="1" x14ac:dyDescent="0.25">
      <c r="A51" s="572" t="s">
        <v>697</v>
      </c>
      <c r="B51" s="585"/>
      <c r="C51" s="586"/>
      <c r="D51" s="586"/>
      <c r="E51" s="586"/>
      <c r="F51" s="586"/>
      <c r="G51" s="588">
        <f t="shared" si="5"/>
        <v>0</v>
      </c>
      <c r="H51" s="579"/>
      <c r="I51" s="590">
        <f>1200000+600000</f>
        <v>1800000</v>
      </c>
      <c r="J51" s="586"/>
      <c r="K51" s="586"/>
      <c r="L51" s="586"/>
      <c r="M51" s="586"/>
      <c r="N51" s="588">
        <f t="shared" si="2"/>
        <v>1800000</v>
      </c>
    </row>
    <row r="52" spans="1:15" x14ac:dyDescent="0.2">
      <c r="A52" s="593" t="s">
        <v>80</v>
      </c>
      <c r="B52" s="594">
        <f>SUM(B9:B13,B14:B20,B25:B28,B32:B51,B24)</f>
        <v>1607137466</v>
      </c>
      <c r="C52" s="595">
        <f>SUM(C9:C13,C14:C20,C25:C28,C32:C51,C24)</f>
        <v>580542460</v>
      </c>
      <c r="D52" s="595">
        <f>SUM(D9:D13,D14:D20,D25:D28,D32:D51,D24)</f>
        <v>354390000</v>
      </c>
      <c r="E52" s="595">
        <f>SUM(E9:E13,E14:E20,E25:E28,E32:E51,E24)</f>
        <v>187500000</v>
      </c>
      <c r="F52" s="595">
        <f>SUM(F9:F13,F14:F20,F25:F28,F32:F51,F24)</f>
        <v>289331423</v>
      </c>
      <c r="G52" s="595">
        <f>SUM(G9:G13,G14:G20,G24:G28,G32:G38,G39:G51,)</f>
        <v>3018901349</v>
      </c>
      <c r="H52" s="595" t="e">
        <f>SUM(H9:H13,H15:H20,H25:H28,H32:H38,H39:H51)</f>
        <v>#REF!</v>
      </c>
      <c r="I52" s="595">
        <f t="shared" ref="I52:M52" si="6">SUM(I9:I13,I14:I20,I25:I28,I32:I51,I24)</f>
        <v>795649710</v>
      </c>
      <c r="J52" s="595">
        <f t="shared" si="6"/>
        <v>733022429</v>
      </c>
      <c r="K52" s="595">
        <f t="shared" si="6"/>
        <v>1287732953</v>
      </c>
      <c r="L52" s="595">
        <f t="shared" si="6"/>
        <v>103161000</v>
      </c>
      <c r="M52" s="595">
        <f t="shared" si="6"/>
        <v>97769820</v>
      </c>
      <c r="N52" s="596">
        <f>SUM(N9:N13,N14:N20,N25:N28,N32:N51,N24,N23)</f>
        <v>3018901349</v>
      </c>
      <c r="O52" s="597">
        <f>N52-G52</f>
        <v>0</v>
      </c>
    </row>
    <row r="53" spans="1:15" x14ac:dyDescent="0.2">
      <c r="A53" s="598" t="s">
        <v>507</v>
      </c>
      <c r="B53" s="599"/>
      <c r="C53" s="600"/>
      <c r="D53" s="600"/>
      <c r="E53" s="600"/>
      <c r="F53" s="600"/>
      <c r="G53" s="568"/>
      <c r="H53" s="573"/>
      <c r="I53" s="601"/>
      <c r="J53" s="567"/>
      <c r="K53" s="602">
        <v>1287732953</v>
      </c>
      <c r="L53" s="600"/>
      <c r="M53" s="600"/>
      <c r="N53" s="603">
        <f>SUM(I53:M53)</f>
        <v>1287732953</v>
      </c>
      <c r="O53" s="597"/>
    </row>
    <row r="54" spans="1:15" ht="13.5" thickBot="1" x14ac:dyDescent="0.25">
      <c r="A54" s="604" t="s">
        <v>92</v>
      </c>
      <c r="B54" s="605">
        <f t="shared" ref="B54:N54" si="7">B52-B53</f>
        <v>1607137466</v>
      </c>
      <c r="C54" s="606">
        <f t="shared" si="7"/>
        <v>580542460</v>
      </c>
      <c r="D54" s="606">
        <f t="shared" si="7"/>
        <v>354390000</v>
      </c>
      <c r="E54" s="606">
        <f t="shared" si="7"/>
        <v>187500000</v>
      </c>
      <c r="F54" s="606">
        <f t="shared" si="7"/>
        <v>289331423</v>
      </c>
      <c r="G54" s="606">
        <f t="shared" si="7"/>
        <v>3018901349</v>
      </c>
      <c r="H54" s="607" t="e">
        <f t="shared" si="7"/>
        <v>#REF!</v>
      </c>
      <c r="I54" s="605">
        <f t="shared" si="7"/>
        <v>795649710</v>
      </c>
      <c r="J54" s="606">
        <f t="shared" si="7"/>
        <v>733022429</v>
      </c>
      <c r="K54" s="606">
        <f t="shared" si="7"/>
        <v>0</v>
      </c>
      <c r="L54" s="606">
        <f t="shared" si="7"/>
        <v>103161000</v>
      </c>
      <c r="M54" s="606">
        <f t="shared" si="7"/>
        <v>97769820</v>
      </c>
      <c r="N54" s="608">
        <f t="shared" si="7"/>
        <v>1731168396</v>
      </c>
      <c r="O54" s="597"/>
    </row>
    <row r="55" spans="1:15" x14ac:dyDescent="0.2">
      <c r="A55" s="609"/>
      <c r="B55" s="610"/>
      <c r="C55" s="610"/>
      <c r="D55" s="610"/>
      <c r="E55" s="610"/>
      <c r="F55" s="610"/>
      <c r="G55" s="611"/>
      <c r="H55" s="611"/>
      <c r="I55" s="612"/>
      <c r="J55" s="610"/>
      <c r="K55" s="613"/>
      <c r="L55" s="612"/>
      <c r="M55" s="612"/>
      <c r="N55" s="614"/>
    </row>
    <row r="56" spans="1:15" x14ac:dyDescent="0.2">
      <c r="A56" s="609"/>
      <c r="B56" s="610"/>
      <c r="C56" s="610"/>
      <c r="D56" s="610"/>
      <c r="E56" s="610"/>
      <c r="F56" s="610"/>
      <c r="G56" s="611"/>
      <c r="H56" s="611"/>
      <c r="I56" s="610"/>
      <c r="J56" s="610"/>
      <c r="K56" s="613"/>
      <c r="L56" s="612"/>
      <c r="M56" s="612"/>
      <c r="N56" s="614"/>
    </row>
    <row r="57" spans="1:15" x14ac:dyDescent="0.2">
      <c r="A57" s="609"/>
      <c r="B57" s="610"/>
      <c r="C57" s="610"/>
      <c r="D57" s="610"/>
      <c r="E57" s="610"/>
      <c r="F57" s="610"/>
      <c r="G57" s="611"/>
      <c r="H57" s="611"/>
      <c r="I57" s="615"/>
      <c r="J57" s="610"/>
      <c r="K57" s="614"/>
      <c r="L57" s="610"/>
      <c r="M57" s="610"/>
      <c r="N57" s="614"/>
    </row>
    <row r="58" spans="1:15" x14ac:dyDescent="0.2">
      <c r="A58" s="609"/>
      <c r="B58" s="610"/>
      <c r="C58" s="610"/>
      <c r="D58" s="610"/>
      <c r="E58" s="610"/>
      <c r="F58" s="610"/>
      <c r="G58" s="611"/>
      <c r="H58" s="611"/>
      <c r="I58" s="610"/>
      <c r="J58" s="610"/>
      <c r="K58" s="614"/>
      <c r="L58" s="610"/>
      <c r="M58" s="610"/>
      <c r="N58" s="614"/>
    </row>
    <row r="59" spans="1:15" x14ac:dyDescent="0.2">
      <c r="A59" s="609"/>
      <c r="B59" s="610"/>
      <c r="C59" s="610"/>
      <c r="D59" s="610"/>
      <c r="E59" s="610"/>
      <c r="F59" s="610"/>
      <c r="G59" s="611"/>
      <c r="H59" s="611"/>
      <c r="I59" s="610"/>
      <c r="J59" s="610"/>
      <c r="K59" s="614"/>
      <c r="L59" s="610"/>
      <c r="M59" s="610"/>
      <c r="N59" s="614"/>
    </row>
    <row r="60" spans="1:15" x14ac:dyDescent="0.2">
      <c r="A60" s="609"/>
      <c r="B60" s="610"/>
      <c r="C60" s="610"/>
      <c r="D60" s="610"/>
      <c r="E60" s="610"/>
      <c r="F60" s="610"/>
      <c r="G60" s="611"/>
      <c r="H60" s="611"/>
      <c r="I60" s="610"/>
      <c r="J60" s="610"/>
      <c r="K60" s="614"/>
      <c r="L60" s="610"/>
      <c r="M60" s="610"/>
      <c r="N60" s="614"/>
    </row>
    <row r="61" spans="1:15" x14ac:dyDescent="0.2">
      <c r="A61" s="609"/>
      <c r="B61" s="610"/>
      <c r="C61" s="610"/>
      <c r="D61" s="610"/>
      <c r="E61" s="610"/>
      <c r="F61" s="610"/>
      <c r="G61" s="611"/>
      <c r="H61" s="611"/>
      <c r="I61" s="610"/>
      <c r="J61" s="610"/>
      <c r="K61" s="614"/>
      <c r="L61" s="610"/>
      <c r="M61" s="610"/>
      <c r="N61" s="614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3" orientation="landscape" r:id="rId1"/>
  <headerFooter alignWithMargins="0">
    <oddHeader>&amp;R33. melléklet a 30/2017.(XI.30.) önkormányzati rendelethez
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59"/>
  <sheetViews>
    <sheetView view="pageLayout" zoomScaleNormal="100" zoomScaleSheetLayoutView="100" workbookViewId="0">
      <selection activeCell="D3" sqref="D3"/>
    </sheetView>
  </sheetViews>
  <sheetFormatPr defaultRowHeight="15.75" x14ac:dyDescent="0.25"/>
  <cols>
    <col min="1" max="1" width="9.5" style="232" customWidth="1"/>
    <col min="2" max="2" width="91.6640625" style="232" customWidth="1"/>
    <col min="3" max="3" width="21.6640625" style="233" customWidth="1"/>
    <col min="4" max="16384" width="9.33203125" style="243"/>
  </cols>
  <sheetData>
    <row r="1" spans="1:3" ht="15.95" customHeight="1" x14ac:dyDescent="0.25">
      <c r="A1" s="954" t="s">
        <v>42</v>
      </c>
      <c r="B1" s="954"/>
      <c r="C1" s="954"/>
    </row>
    <row r="2" spans="1:3" ht="15.95" customHeight="1" thickBot="1" x14ac:dyDescent="0.3">
      <c r="A2" s="953" t="s">
        <v>167</v>
      </c>
      <c r="B2" s="953"/>
      <c r="C2" s="167" t="s">
        <v>676</v>
      </c>
    </row>
    <row r="3" spans="1:3" ht="38.1" customHeight="1" thickBot="1" x14ac:dyDescent="0.3">
      <c r="A3" s="22" t="s">
        <v>96</v>
      </c>
      <c r="B3" s="23" t="s">
        <v>44</v>
      </c>
      <c r="C3" s="35" t="s">
        <v>661</v>
      </c>
    </row>
    <row r="4" spans="1:3" s="244" customFormat="1" ht="12" customHeight="1" thickBot="1" x14ac:dyDescent="0.25">
      <c r="A4" s="238" t="s">
        <v>524</v>
      </c>
      <c r="B4" s="239" t="s">
        <v>525</v>
      </c>
      <c r="C4" s="240" t="s">
        <v>526</v>
      </c>
    </row>
    <row r="5" spans="1:3" s="245" customFormat="1" ht="12" customHeight="1" thickBot="1" x14ac:dyDescent="0.25">
      <c r="A5" s="19" t="s">
        <v>45</v>
      </c>
      <c r="B5" s="20" t="s">
        <v>228</v>
      </c>
      <c r="C5" s="158">
        <f>+C6+C7+C8+C9+C10+C11</f>
        <v>0</v>
      </c>
    </row>
    <row r="6" spans="1:3" s="245" customFormat="1" ht="12" customHeight="1" x14ac:dyDescent="0.2">
      <c r="A6" s="14" t="s">
        <v>121</v>
      </c>
      <c r="B6" s="246" t="s">
        <v>229</v>
      </c>
      <c r="C6" s="160"/>
    </row>
    <row r="7" spans="1:3" s="245" customFormat="1" ht="12" customHeight="1" x14ac:dyDescent="0.2">
      <c r="A7" s="13" t="s">
        <v>122</v>
      </c>
      <c r="B7" s="247" t="s">
        <v>230</v>
      </c>
      <c r="C7" s="159"/>
    </row>
    <row r="8" spans="1:3" s="245" customFormat="1" ht="12" customHeight="1" x14ac:dyDescent="0.2">
      <c r="A8" s="13" t="s">
        <v>123</v>
      </c>
      <c r="B8" s="247" t="s">
        <v>648</v>
      </c>
      <c r="C8" s="159"/>
    </row>
    <row r="9" spans="1:3" s="245" customFormat="1" ht="12" customHeight="1" x14ac:dyDescent="0.2">
      <c r="A9" s="13" t="s">
        <v>124</v>
      </c>
      <c r="B9" s="247" t="s">
        <v>232</v>
      </c>
      <c r="C9" s="159"/>
    </row>
    <row r="10" spans="1:3" s="245" customFormat="1" ht="12" customHeight="1" x14ac:dyDescent="0.2">
      <c r="A10" s="13" t="s">
        <v>164</v>
      </c>
      <c r="B10" s="154" t="s">
        <v>527</v>
      </c>
      <c r="C10" s="159"/>
    </row>
    <row r="11" spans="1:3" s="245" customFormat="1" ht="12" customHeight="1" thickBot="1" x14ac:dyDescent="0.25">
      <c r="A11" s="15" t="s">
        <v>125</v>
      </c>
      <c r="B11" s="155" t="s">
        <v>528</v>
      </c>
      <c r="C11" s="159"/>
    </row>
    <row r="12" spans="1:3" s="245" customFormat="1" ht="12" customHeight="1" thickBot="1" x14ac:dyDescent="0.25">
      <c r="A12" s="19" t="s">
        <v>46</v>
      </c>
      <c r="B12" s="153" t="s">
        <v>233</v>
      </c>
      <c r="C12" s="158">
        <f>+C13+C14+C15+C16+C17</f>
        <v>0</v>
      </c>
    </row>
    <row r="13" spans="1:3" s="245" customFormat="1" ht="12" customHeight="1" x14ac:dyDescent="0.2">
      <c r="A13" s="14" t="s">
        <v>127</v>
      </c>
      <c r="B13" s="246" t="s">
        <v>234</v>
      </c>
      <c r="C13" s="160"/>
    </row>
    <row r="14" spans="1:3" s="245" customFormat="1" ht="12" customHeight="1" x14ac:dyDescent="0.2">
      <c r="A14" s="13" t="s">
        <v>128</v>
      </c>
      <c r="B14" s="247" t="s">
        <v>235</v>
      </c>
      <c r="C14" s="159"/>
    </row>
    <row r="15" spans="1:3" s="245" customFormat="1" ht="12" customHeight="1" x14ac:dyDescent="0.2">
      <c r="A15" s="13" t="s">
        <v>129</v>
      </c>
      <c r="B15" s="247" t="s">
        <v>404</v>
      </c>
      <c r="C15" s="159"/>
    </row>
    <row r="16" spans="1:3" s="245" customFormat="1" ht="12" customHeight="1" x14ac:dyDescent="0.2">
      <c r="A16" s="13" t="s">
        <v>130</v>
      </c>
      <c r="B16" s="247" t="s">
        <v>405</v>
      </c>
      <c r="C16" s="159"/>
    </row>
    <row r="17" spans="1:3" s="245" customFormat="1" ht="12" customHeight="1" x14ac:dyDescent="0.2">
      <c r="A17" s="13" t="s">
        <v>131</v>
      </c>
      <c r="B17" s="247" t="s">
        <v>236</v>
      </c>
      <c r="C17" s="159"/>
    </row>
    <row r="18" spans="1:3" s="245" customFormat="1" ht="12" customHeight="1" thickBot="1" x14ac:dyDescent="0.25">
      <c r="A18" s="15" t="s">
        <v>140</v>
      </c>
      <c r="B18" s="155" t="s">
        <v>237</v>
      </c>
      <c r="C18" s="161"/>
    </row>
    <row r="19" spans="1:3" s="245" customFormat="1" ht="12" customHeight="1" thickBot="1" x14ac:dyDescent="0.25">
      <c r="A19" s="19" t="s">
        <v>47</v>
      </c>
      <c r="B19" s="20" t="s">
        <v>238</v>
      </c>
      <c r="C19" s="158">
        <f>+C20+C21+C22+C23+C24</f>
        <v>0</v>
      </c>
    </row>
    <row r="20" spans="1:3" s="245" customFormat="1" ht="12" customHeight="1" x14ac:dyDescent="0.2">
      <c r="A20" s="14" t="s">
        <v>110</v>
      </c>
      <c r="B20" s="246" t="s">
        <v>239</v>
      </c>
      <c r="C20" s="160"/>
    </row>
    <row r="21" spans="1:3" s="245" customFormat="1" ht="12" customHeight="1" x14ac:dyDescent="0.2">
      <c r="A21" s="13" t="s">
        <v>111</v>
      </c>
      <c r="B21" s="247" t="s">
        <v>240</v>
      </c>
      <c r="C21" s="159"/>
    </row>
    <row r="22" spans="1:3" s="245" customFormat="1" ht="12" customHeight="1" x14ac:dyDescent="0.2">
      <c r="A22" s="13" t="s">
        <v>112</v>
      </c>
      <c r="B22" s="247" t="s">
        <v>406</v>
      </c>
      <c r="C22" s="159"/>
    </row>
    <row r="23" spans="1:3" s="245" customFormat="1" ht="12" customHeight="1" x14ac:dyDescent="0.2">
      <c r="A23" s="13" t="s">
        <v>113</v>
      </c>
      <c r="B23" s="247" t="s">
        <v>407</v>
      </c>
      <c r="C23" s="159"/>
    </row>
    <row r="24" spans="1:3" s="245" customFormat="1" ht="12" customHeight="1" x14ac:dyDescent="0.2">
      <c r="A24" s="13" t="s">
        <v>175</v>
      </c>
      <c r="B24" s="247" t="s">
        <v>241</v>
      </c>
      <c r="C24" s="159"/>
    </row>
    <row r="25" spans="1:3" s="245" customFormat="1" ht="12" customHeight="1" thickBot="1" x14ac:dyDescent="0.25">
      <c r="A25" s="15" t="s">
        <v>176</v>
      </c>
      <c r="B25" s="248" t="s">
        <v>242</v>
      </c>
      <c r="C25" s="161"/>
    </row>
    <row r="26" spans="1:3" s="245" customFormat="1" ht="12" customHeight="1" thickBot="1" x14ac:dyDescent="0.25">
      <c r="A26" s="19" t="s">
        <v>177</v>
      </c>
      <c r="B26" s="20" t="s">
        <v>243</v>
      </c>
      <c r="C26" s="163">
        <f>+C27+C31+C32+C33</f>
        <v>0</v>
      </c>
    </row>
    <row r="27" spans="1:3" s="245" customFormat="1" ht="12" customHeight="1" x14ac:dyDescent="0.2">
      <c r="A27" s="14" t="s">
        <v>244</v>
      </c>
      <c r="B27" s="246" t="s">
        <v>529</v>
      </c>
      <c r="C27" s="241">
        <f>+C28+C29+C30</f>
        <v>0</v>
      </c>
    </row>
    <row r="28" spans="1:3" s="245" customFormat="1" ht="12" customHeight="1" x14ac:dyDescent="0.2">
      <c r="A28" s="13" t="s">
        <v>245</v>
      </c>
      <c r="B28" s="247" t="s">
        <v>250</v>
      </c>
      <c r="C28" s="159"/>
    </row>
    <row r="29" spans="1:3" s="245" customFormat="1" ht="12" customHeight="1" x14ac:dyDescent="0.2">
      <c r="A29" s="13" t="s">
        <v>246</v>
      </c>
      <c r="B29" s="247" t="s">
        <v>251</v>
      </c>
      <c r="C29" s="159"/>
    </row>
    <row r="30" spans="1:3" s="245" customFormat="1" ht="12" customHeight="1" x14ac:dyDescent="0.2">
      <c r="A30" s="13" t="s">
        <v>530</v>
      </c>
      <c r="B30" s="305" t="s">
        <v>531</v>
      </c>
      <c r="C30" s="159"/>
    </row>
    <row r="31" spans="1:3" s="245" customFormat="1" ht="12" customHeight="1" x14ac:dyDescent="0.2">
      <c r="A31" s="13" t="s">
        <v>247</v>
      </c>
      <c r="B31" s="247" t="s">
        <v>252</v>
      </c>
      <c r="C31" s="159"/>
    </row>
    <row r="32" spans="1:3" s="245" customFormat="1" ht="12" customHeight="1" x14ac:dyDescent="0.2">
      <c r="A32" s="13" t="s">
        <v>248</v>
      </c>
      <c r="B32" s="247" t="s">
        <v>253</v>
      </c>
      <c r="C32" s="159"/>
    </row>
    <row r="33" spans="1:3" s="245" customFormat="1" ht="12" customHeight="1" thickBot="1" x14ac:dyDescent="0.25">
      <c r="A33" s="15" t="s">
        <v>249</v>
      </c>
      <c r="B33" s="248" t="s">
        <v>254</v>
      </c>
      <c r="C33" s="161"/>
    </row>
    <row r="34" spans="1:3" s="245" customFormat="1" ht="12" customHeight="1" thickBot="1" x14ac:dyDescent="0.25">
      <c r="A34" s="19" t="s">
        <v>49</v>
      </c>
      <c r="B34" s="20" t="s">
        <v>532</v>
      </c>
      <c r="C34" s="158">
        <f>SUM(C35:C45)</f>
        <v>6951292</v>
      </c>
    </row>
    <row r="35" spans="1:3" s="245" customFormat="1" ht="12" customHeight="1" x14ac:dyDescent="0.2">
      <c r="A35" s="14" t="s">
        <v>114</v>
      </c>
      <c r="B35" s="246" t="s">
        <v>257</v>
      </c>
      <c r="C35" s="160"/>
    </row>
    <row r="36" spans="1:3" s="245" customFormat="1" ht="12" customHeight="1" x14ac:dyDescent="0.2">
      <c r="A36" s="13" t="s">
        <v>115</v>
      </c>
      <c r="B36" s="247" t="s">
        <v>258</v>
      </c>
      <c r="C36" s="162">
        <f>4150000+918292-195228</f>
        <v>4873064</v>
      </c>
    </row>
    <row r="37" spans="1:3" s="245" customFormat="1" ht="12" customHeight="1" x14ac:dyDescent="0.2">
      <c r="A37" s="13" t="s">
        <v>116</v>
      </c>
      <c r="B37" s="247" t="s">
        <v>259</v>
      </c>
      <c r="C37" s="162">
        <v>500000</v>
      </c>
    </row>
    <row r="38" spans="1:3" s="245" customFormat="1" ht="12" customHeight="1" x14ac:dyDescent="0.2">
      <c r="A38" s="13" t="s">
        <v>179</v>
      </c>
      <c r="B38" s="247" t="s">
        <v>260</v>
      </c>
      <c r="C38" s="162"/>
    </row>
    <row r="39" spans="1:3" s="245" customFormat="1" ht="12" customHeight="1" x14ac:dyDescent="0.2">
      <c r="A39" s="13" t="s">
        <v>180</v>
      </c>
      <c r="B39" s="247" t="s">
        <v>261</v>
      </c>
      <c r="C39" s="162"/>
    </row>
    <row r="40" spans="1:3" s="245" customFormat="1" ht="12" customHeight="1" x14ac:dyDescent="0.2">
      <c r="A40" s="13" t="s">
        <v>181</v>
      </c>
      <c r="B40" s="247" t="s">
        <v>262</v>
      </c>
      <c r="C40" s="162">
        <f>1283000+195228</f>
        <v>1478228</v>
      </c>
    </row>
    <row r="41" spans="1:3" s="245" customFormat="1" ht="12" customHeight="1" x14ac:dyDescent="0.2">
      <c r="A41" s="13" t="s">
        <v>182</v>
      </c>
      <c r="B41" s="247" t="s">
        <v>263</v>
      </c>
      <c r="C41" s="162"/>
    </row>
    <row r="42" spans="1:3" s="245" customFormat="1" ht="12" customHeight="1" x14ac:dyDescent="0.2">
      <c r="A42" s="13" t="s">
        <v>183</v>
      </c>
      <c r="B42" s="247" t="s">
        <v>645</v>
      </c>
      <c r="C42" s="162"/>
    </row>
    <row r="43" spans="1:3" s="245" customFormat="1" ht="12" customHeight="1" x14ac:dyDescent="0.2">
      <c r="A43" s="13" t="s">
        <v>255</v>
      </c>
      <c r="B43" s="247" t="s">
        <v>265</v>
      </c>
      <c r="C43" s="162"/>
    </row>
    <row r="44" spans="1:3" s="245" customFormat="1" ht="12" customHeight="1" x14ac:dyDescent="0.2">
      <c r="A44" s="15" t="s">
        <v>256</v>
      </c>
      <c r="B44" s="248" t="s">
        <v>533</v>
      </c>
      <c r="C44" s="235"/>
    </row>
    <row r="45" spans="1:3" s="245" customFormat="1" ht="12" customHeight="1" thickBot="1" x14ac:dyDescent="0.25">
      <c r="A45" s="15" t="s">
        <v>534</v>
      </c>
      <c r="B45" s="155" t="s">
        <v>266</v>
      </c>
      <c r="C45" s="235">
        <v>100000</v>
      </c>
    </row>
    <row r="46" spans="1:3" s="245" customFormat="1" ht="12" customHeight="1" thickBot="1" x14ac:dyDescent="0.25">
      <c r="A46" s="19" t="s">
        <v>50</v>
      </c>
      <c r="B46" s="20" t="s">
        <v>267</v>
      </c>
      <c r="C46" s="158">
        <f>SUM(C47:C51)</f>
        <v>0</v>
      </c>
    </row>
    <row r="47" spans="1:3" s="245" customFormat="1" ht="12" customHeight="1" x14ac:dyDescent="0.2">
      <c r="A47" s="14" t="s">
        <v>117</v>
      </c>
      <c r="B47" s="246" t="s">
        <v>271</v>
      </c>
      <c r="C47" s="284"/>
    </row>
    <row r="48" spans="1:3" s="245" customFormat="1" ht="12" customHeight="1" x14ac:dyDescent="0.2">
      <c r="A48" s="13" t="s">
        <v>118</v>
      </c>
      <c r="B48" s="247" t="s">
        <v>272</v>
      </c>
      <c r="C48" s="162"/>
    </row>
    <row r="49" spans="1:3" s="245" customFormat="1" ht="12" customHeight="1" x14ac:dyDescent="0.2">
      <c r="A49" s="13" t="s">
        <v>268</v>
      </c>
      <c r="B49" s="247" t="s">
        <v>273</v>
      </c>
      <c r="C49" s="162"/>
    </row>
    <row r="50" spans="1:3" s="245" customFormat="1" ht="12" customHeight="1" x14ac:dyDescent="0.2">
      <c r="A50" s="13" t="s">
        <v>269</v>
      </c>
      <c r="B50" s="247" t="s">
        <v>274</v>
      </c>
      <c r="C50" s="162"/>
    </row>
    <row r="51" spans="1:3" s="245" customFormat="1" ht="12" customHeight="1" thickBot="1" x14ac:dyDescent="0.25">
      <c r="A51" s="15" t="s">
        <v>270</v>
      </c>
      <c r="B51" s="155" t="s">
        <v>275</v>
      </c>
      <c r="C51" s="235"/>
    </row>
    <row r="52" spans="1:3" s="245" customFormat="1" ht="12" customHeight="1" thickBot="1" x14ac:dyDescent="0.25">
      <c r="A52" s="19" t="s">
        <v>184</v>
      </c>
      <c r="B52" s="20" t="s">
        <v>276</v>
      </c>
      <c r="C52" s="158">
        <f>SUM(C53:C55)</f>
        <v>0</v>
      </c>
    </row>
    <row r="53" spans="1:3" s="245" customFormat="1" ht="12" customHeight="1" x14ac:dyDescent="0.2">
      <c r="A53" s="14" t="s">
        <v>119</v>
      </c>
      <c r="B53" s="246" t="s">
        <v>277</v>
      </c>
      <c r="C53" s="160"/>
    </row>
    <row r="54" spans="1:3" s="245" customFormat="1" ht="12" customHeight="1" x14ac:dyDescent="0.2">
      <c r="A54" s="13" t="s">
        <v>120</v>
      </c>
      <c r="B54" s="247" t="s">
        <v>408</v>
      </c>
      <c r="C54" s="159"/>
    </row>
    <row r="55" spans="1:3" s="245" customFormat="1" ht="12" customHeight="1" x14ac:dyDescent="0.2">
      <c r="A55" s="13" t="s">
        <v>280</v>
      </c>
      <c r="B55" s="247" t="s">
        <v>278</v>
      </c>
      <c r="C55" s="159"/>
    </row>
    <row r="56" spans="1:3" s="245" customFormat="1" ht="12" customHeight="1" thickBot="1" x14ac:dyDescent="0.25">
      <c r="A56" s="15" t="s">
        <v>281</v>
      </c>
      <c r="B56" s="155" t="s">
        <v>279</v>
      </c>
      <c r="C56" s="161"/>
    </row>
    <row r="57" spans="1:3" s="245" customFormat="1" ht="12" customHeight="1" thickBot="1" x14ac:dyDescent="0.25">
      <c r="A57" s="19" t="s">
        <v>52</v>
      </c>
      <c r="B57" s="153" t="s">
        <v>282</v>
      </c>
      <c r="C57" s="158">
        <f>SUM(C58:C60)</f>
        <v>0</v>
      </c>
    </row>
    <row r="58" spans="1:3" s="245" customFormat="1" ht="12" customHeight="1" x14ac:dyDescent="0.2">
      <c r="A58" s="14" t="s">
        <v>185</v>
      </c>
      <c r="B58" s="246" t="s">
        <v>284</v>
      </c>
      <c r="C58" s="162"/>
    </row>
    <row r="59" spans="1:3" s="245" customFormat="1" ht="12" customHeight="1" x14ac:dyDescent="0.2">
      <c r="A59" s="13" t="s">
        <v>186</v>
      </c>
      <c r="B59" s="247" t="s">
        <v>409</v>
      </c>
      <c r="C59" s="162"/>
    </row>
    <row r="60" spans="1:3" s="245" customFormat="1" ht="12" customHeight="1" x14ac:dyDescent="0.2">
      <c r="A60" s="13" t="s">
        <v>208</v>
      </c>
      <c r="B60" s="247" t="s">
        <v>285</v>
      </c>
      <c r="C60" s="162"/>
    </row>
    <row r="61" spans="1:3" s="245" customFormat="1" ht="12" customHeight="1" thickBot="1" x14ac:dyDescent="0.25">
      <c r="A61" s="15" t="s">
        <v>283</v>
      </c>
      <c r="B61" s="155" t="s">
        <v>286</v>
      </c>
      <c r="C61" s="162"/>
    </row>
    <row r="62" spans="1:3" s="245" customFormat="1" ht="12" customHeight="1" thickBot="1" x14ac:dyDescent="0.25">
      <c r="A62" s="306" t="s">
        <v>535</v>
      </c>
      <c r="B62" s="20" t="s">
        <v>287</v>
      </c>
      <c r="C62" s="163">
        <f>+C5+C12+C19+C26+C34+C46+C52+C57</f>
        <v>6951292</v>
      </c>
    </row>
    <row r="63" spans="1:3" s="245" customFormat="1" ht="12" customHeight="1" thickBot="1" x14ac:dyDescent="0.25">
      <c r="A63" s="307" t="s">
        <v>288</v>
      </c>
      <c r="B63" s="153" t="s">
        <v>289</v>
      </c>
      <c r="C63" s="158">
        <f>SUM(C64:C66)</f>
        <v>0</v>
      </c>
    </row>
    <row r="64" spans="1:3" s="245" customFormat="1" ht="12" customHeight="1" x14ac:dyDescent="0.2">
      <c r="A64" s="14" t="s">
        <v>320</v>
      </c>
      <c r="B64" s="246" t="s">
        <v>290</v>
      </c>
      <c r="C64" s="162"/>
    </row>
    <row r="65" spans="1:3" s="245" customFormat="1" ht="12" customHeight="1" x14ac:dyDescent="0.2">
      <c r="A65" s="13" t="s">
        <v>329</v>
      </c>
      <c r="B65" s="247" t="s">
        <v>291</v>
      </c>
      <c r="C65" s="162"/>
    </row>
    <row r="66" spans="1:3" s="245" customFormat="1" ht="12" customHeight="1" thickBot="1" x14ac:dyDescent="0.25">
      <c r="A66" s="15" t="s">
        <v>330</v>
      </c>
      <c r="B66" s="308" t="s">
        <v>536</v>
      </c>
      <c r="C66" s="162"/>
    </row>
    <row r="67" spans="1:3" s="245" customFormat="1" ht="12" customHeight="1" thickBot="1" x14ac:dyDescent="0.25">
      <c r="A67" s="307" t="s">
        <v>293</v>
      </c>
      <c r="B67" s="153" t="s">
        <v>294</v>
      </c>
      <c r="C67" s="158">
        <f>SUM(C68:C71)</f>
        <v>0</v>
      </c>
    </row>
    <row r="68" spans="1:3" s="245" customFormat="1" ht="12" customHeight="1" x14ac:dyDescent="0.2">
      <c r="A68" s="14" t="s">
        <v>165</v>
      </c>
      <c r="B68" s="246" t="s">
        <v>295</v>
      </c>
      <c r="C68" s="162"/>
    </row>
    <row r="69" spans="1:3" s="245" customFormat="1" ht="12" customHeight="1" x14ac:dyDescent="0.2">
      <c r="A69" s="13" t="s">
        <v>166</v>
      </c>
      <c r="B69" s="247" t="s">
        <v>296</v>
      </c>
      <c r="C69" s="162"/>
    </row>
    <row r="70" spans="1:3" s="245" customFormat="1" ht="12" customHeight="1" x14ac:dyDescent="0.2">
      <c r="A70" s="13" t="s">
        <v>321</v>
      </c>
      <c r="B70" s="247" t="s">
        <v>297</v>
      </c>
      <c r="C70" s="162"/>
    </row>
    <row r="71" spans="1:3" s="245" customFormat="1" ht="12" customHeight="1" thickBot="1" x14ac:dyDescent="0.25">
      <c r="A71" s="15" t="s">
        <v>322</v>
      </c>
      <c r="B71" s="155" t="s">
        <v>298</v>
      </c>
      <c r="C71" s="162"/>
    </row>
    <row r="72" spans="1:3" s="245" customFormat="1" ht="12" customHeight="1" thickBot="1" x14ac:dyDescent="0.25">
      <c r="A72" s="307" t="s">
        <v>299</v>
      </c>
      <c r="B72" s="153" t="s">
        <v>300</v>
      </c>
      <c r="C72" s="158">
        <f>SUM(C73:C74)</f>
        <v>447404</v>
      </c>
    </row>
    <row r="73" spans="1:3" s="245" customFormat="1" ht="12" customHeight="1" x14ac:dyDescent="0.2">
      <c r="A73" s="14" t="s">
        <v>323</v>
      </c>
      <c r="B73" s="246" t="s">
        <v>301</v>
      </c>
      <c r="C73" s="162">
        <v>447404</v>
      </c>
    </row>
    <row r="74" spans="1:3" s="245" customFormat="1" ht="12" customHeight="1" thickBot="1" x14ac:dyDescent="0.25">
      <c r="A74" s="15" t="s">
        <v>324</v>
      </c>
      <c r="B74" s="155" t="s">
        <v>302</v>
      </c>
      <c r="C74" s="162"/>
    </row>
    <row r="75" spans="1:3" s="245" customFormat="1" ht="12" customHeight="1" thickBot="1" x14ac:dyDescent="0.25">
      <c r="A75" s="307" t="s">
        <v>303</v>
      </c>
      <c r="B75" s="153" t="s">
        <v>304</v>
      </c>
      <c r="C75" s="158">
        <f>SUM(C76:C78)</f>
        <v>0</v>
      </c>
    </row>
    <row r="76" spans="1:3" s="245" customFormat="1" ht="12" customHeight="1" x14ac:dyDescent="0.2">
      <c r="A76" s="14" t="s">
        <v>325</v>
      </c>
      <c r="B76" s="246" t="s">
        <v>305</v>
      </c>
      <c r="C76" s="162"/>
    </row>
    <row r="77" spans="1:3" s="245" customFormat="1" ht="12" customHeight="1" x14ac:dyDescent="0.2">
      <c r="A77" s="13" t="s">
        <v>326</v>
      </c>
      <c r="B77" s="247" t="s">
        <v>306</v>
      </c>
      <c r="C77" s="162"/>
    </row>
    <row r="78" spans="1:3" s="245" customFormat="1" ht="12" customHeight="1" thickBot="1" x14ac:dyDescent="0.25">
      <c r="A78" s="15" t="s">
        <v>327</v>
      </c>
      <c r="B78" s="155" t="s">
        <v>307</v>
      </c>
      <c r="C78" s="162"/>
    </row>
    <row r="79" spans="1:3" s="245" customFormat="1" ht="12" customHeight="1" thickBot="1" x14ac:dyDescent="0.25">
      <c r="A79" s="307" t="s">
        <v>308</v>
      </c>
      <c r="B79" s="153" t="s">
        <v>328</v>
      </c>
      <c r="C79" s="158">
        <f>SUM(C80:C83)</f>
        <v>0</v>
      </c>
    </row>
    <row r="80" spans="1:3" s="245" customFormat="1" ht="12" customHeight="1" x14ac:dyDescent="0.2">
      <c r="A80" s="250" t="s">
        <v>309</v>
      </c>
      <c r="B80" s="246" t="s">
        <v>310</v>
      </c>
      <c r="C80" s="162"/>
    </row>
    <row r="81" spans="1:3" s="245" customFormat="1" ht="12" customHeight="1" x14ac:dyDescent="0.2">
      <c r="A81" s="251" t="s">
        <v>311</v>
      </c>
      <c r="B81" s="247" t="s">
        <v>312</v>
      </c>
      <c r="C81" s="162"/>
    </row>
    <row r="82" spans="1:3" s="245" customFormat="1" ht="12" customHeight="1" x14ac:dyDescent="0.2">
      <c r="A82" s="251" t="s">
        <v>313</v>
      </c>
      <c r="B82" s="247" t="s">
        <v>314</v>
      </c>
      <c r="C82" s="162"/>
    </row>
    <row r="83" spans="1:3" s="245" customFormat="1" ht="12" customHeight="1" thickBot="1" x14ac:dyDescent="0.25">
      <c r="A83" s="252" t="s">
        <v>315</v>
      </c>
      <c r="B83" s="155" t="s">
        <v>316</v>
      </c>
      <c r="C83" s="162"/>
    </row>
    <row r="84" spans="1:3" s="245" customFormat="1" ht="12" customHeight="1" thickBot="1" x14ac:dyDescent="0.25">
      <c r="A84" s="307" t="s">
        <v>317</v>
      </c>
      <c r="B84" s="153" t="s">
        <v>537</v>
      </c>
      <c r="C84" s="285"/>
    </row>
    <row r="85" spans="1:3" s="245" customFormat="1" ht="13.5" customHeight="1" thickBot="1" x14ac:dyDescent="0.25">
      <c r="A85" s="307" t="s">
        <v>319</v>
      </c>
      <c r="B85" s="153" t="s">
        <v>318</v>
      </c>
      <c r="C85" s="285"/>
    </row>
    <row r="86" spans="1:3" s="245" customFormat="1" ht="15.75" customHeight="1" thickBot="1" x14ac:dyDescent="0.25">
      <c r="A86" s="307" t="s">
        <v>331</v>
      </c>
      <c r="B86" s="253" t="s">
        <v>538</v>
      </c>
      <c r="C86" s="163">
        <f>+C63+C67+C72+C75+C79+C85+C84</f>
        <v>447404</v>
      </c>
    </row>
    <row r="87" spans="1:3" s="245" customFormat="1" ht="16.5" customHeight="1" thickBot="1" x14ac:dyDescent="0.25">
      <c r="A87" s="309" t="s">
        <v>539</v>
      </c>
      <c r="B87" s="254" t="s">
        <v>540</v>
      </c>
      <c r="C87" s="163">
        <f>+C62+C86</f>
        <v>7398696</v>
      </c>
    </row>
    <row r="88" spans="1:3" s="245" customFormat="1" ht="83.25" customHeight="1" x14ac:dyDescent="0.2">
      <c r="A88" s="4"/>
      <c r="B88" s="5"/>
      <c r="C88" s="164"/>
    </row>
    <row r="89" spans="1:3" ht="16.5" customHeight="1" x14ac:dyDescent="0.25">
      <c r="A89" s="954" t="s">
        <v>74</v>
      </c>
      <c r="B89" s="954"/>
      <c r="C89" s="954"/>
    </row>
    <row r="90" spans="1:3" s="255" customFormat="1" ht="16.5" customHeight="1" thickBot="1" x14ac:dyDescent="0.3">
      <c r="A90" s="955" t="s">
        <v>168</v>
      </c>
      <c r="B90" s="955"/>
      <c r="C90" s="86" t="s">
        <v>676</v>
      </c>
    </row>
    <row r="91" spans="1:3" ht="38.1" customHeight="1" thickBot="1" x14ac:dyDescent="0.3">
      <c r="A91" s="22" t="s">
        <v>96</v>
      </c>
      <c r="B91" s="23" t="s">
        <v>75</v>
      </c>
      <c r="C91" s="35" t="str">
        <f>+C3</f>
        <v>2017. évi előirányzat</v>
      </c>
    </row>
    <row r="92" spans="1:3" s="244" customFormat="1" ht="12" customHeight="1" thickBot="1" x14ac:dyDescent="0.25">
      <c r="A92" s="31" t="s">
        <v>524</v>
      </c>
      <c r="B92" s="32" t="s">
        <v>525</v>
      </c>
      <c r="C92" s="33" t="s">
        <v>526</v>
      </c>
    </row>
    <row r="93" spans="1:3" ht="12" customHeight="1" thickBot="1" x14ac:dyDescent="0.3">
      <c r="A93" s="21" t="s">
        <v>45</v>
      </c>
      <c r="B93" s="25" t="s">
        <v>578</v>
      </c>
      <c r="C93" s="157">
        <f>C94+C95+C96+C97+C98+C111</f>
        <v>196880354</v>
      </c>
    </row>
    <row r="94" spans="1:3" ht="12" customHeight="1" x14ac:dyDescent="0.25">
      <c r="A94" s="16" t="s">
        <v>121</v>
      </c>
      <c r="B94" s="9" t="s">
        <v>76</v>
      </c>
      <c r="C94" s="333">
        <f>118633000-24000+813600+45000+250820+2500000</f>
        <v>122218420</v>
      </c>
    </row>
    <row r="95" spans="1:3" ht="12" customHeight="1" x14ac:dyDescent="0.25">
      <c r="A95" s="13" t="s">
        <v>122</v>
      </c>
      <c r="B95" s="7" t="s">
        <v>187</v>
      </c>
      <c r="C95" s="162">
        <f>28092500-10800+178992+10000+55180+550000</f>
        <v>28875872</v>
      </c>
    </row>
    <row r="96" spans="1:3" ht="12" customHeight="1" x14ac:dyDescent="0.25">
      <c r="A96" s="13" t="s">
        <v>123</v>
      </c>
      <c r="B96" s="7" t="s">
        <v>157</v>
      </c>
      <c r="C96" s="847">
        <f>46477000-171000-50800-469900+762</f>
        <v>45786062</v>
      </c>
    </row>
    <row r="97" spans="1:3" ht="12" customHeight="1" x14ac:dyDescent="0.25">
      <c r="A97" s="13" t="s">
        <v>124</v>
      </c>
      <c r="B97" s="10" t="s">
        <v>188</v>
      </c>
      <c r="C97" s="161"/>
    </row>
    <row r="98" spans="1:3" ht="12" customHeight="1" x14ac:dyDescent="0.25">
      <c r="A98" s="13" t="s">
        <v>135</v>
      </c>
      <c r="B98" s="18" t="s">
        <v>189</v>
      </c>
      <c r="C98" s="161"/>
    </row>
    <row r="99" spans="1:3" ht="12" customHeight="1" x14ac:dyDescent="0.25">
      <c r="A99" s="13" t="s">
        <v>125</v>
      </c>
      <c r="B99" s="7" t="s">
        <v>541</v>
      </c>
      <c r="C99" s="161"/>
    </row>
    <row r="100" spans="1:3" ht="12" customHeight="1" x14ac:dyDescent="0.25">
      <c r="A100" s="13" t="s">
        <v>126</v>
      </c>
      <c r="B100" s="90" t="s">
        <v>542</v>
      </c>
      <c r="C100" s="161"/>
    </row>
    <row r="101" spans="1:3" ht="12" customHeight="1" x14ac:dyDescent="0.25">
      <c r="A101" s="13" t="s">
        <v>136</v>
      </c>
      <c r="B101" s="90" t="s">
        <v>543</v>
      </c>
      <c r="C101" s="161"/>
    </row>
    <row r="102" spans="1:3" ht="12" customHeight="1" x14ac:dyDescent="0.25">
      <c r="A102" s="13" t="s">
        <v>137</v>
      </c>
      <c r="B102" s="88" t="s">
        <v>334</v>
      </c>
      <c r="C102" s="161"/>
    </row>
    <row r="103" spans="1:3" ht="12" customHeight="1" x14ac:dyDescent="0.25">
      <c r="A103" s="13" t="s">
        <v>138</v>
      </c>
      <c r="B103" s="89" t="s">
        <v>335</v>
      </c>
      <c r="C103" s="161"/>
    </row>
    <row r="104" spans="1:3" ht="12" customHeight="1" x14ac:dyDescent="0.25">
      <c r="A104" s="13" t="s">
        <v>139</v>
      </c>
      <c r="B104" s="89" t="s">
        <v>336</v>
      </c>
      <c r="C104" s="161"/>
    </row>
    <row r="105" spans="1:3" ht="12" customHeight="1" x14ac:dyDescent="0.25">
      <c r="A105" s="13" t="s">
        <v>141</v>
      </c>
      <c r="B105" s="88" t="s">
        <v>337</v>
      </c>
      <c r="C105" s="161"/>
    </row>
    <row r="106" spans="1:3" ht="12" customHeight="1" x14ac:dyDescent="0.25">
      <c r="A106" s="13" t="s">
        <v>190</v>
      </c>
      <c r="B106" s="88" t="s">
        <v>338</v>
      </c>
      <c r="C106" s="161"/>
    </row>
    <row r="107" spans="1:3" ht="12" customHeight="1" x14ac:dyDescent="0.25">
      <c r="A107" s="13" t="s">
        <v>332</v>
      </c>
      <c r="B107" s="89" t="s">
        <v>339</v>
      </c>
      <c r="C107" s="161"/>
    </row>
    <row r="108" spans="1:3" ht="12" customHeight="1" x14ac:dyDescent="0.25">
      <c r="A108" s="12" t="s">
        <v>333</v>
      </c>
      <c r="B108" s="90" t="s">
        <v>340</v>
      </c>
      <c r="C108" s="161"/>
    </row>
    <row r="109" spans="1:3" ht="12" customHeight="1" x14ac:dyDescent="0.25">
      <c r="A109" s="13" t="s">
        <v>544</v>
      </c>
      <c r="B109" s="90" t="s">
        <v>341</v>
      </c>
      <c r="C109" s="161"/>
    </row>
    <row r="110" spans="1:3" ht="12" customHeight="1" x14ac:dyDescent="0.25">
      <c r="A110" s="15" t="s">
        <v>545</v>
      </c>
      <c r="B110" s="90" t="s">
        <v>342</v>
      </c>
      <c r="C110" s="161"/>
    </row>
    <row r="111" spans="1:3" ht="12" customHeight="1" x14ac:dyDescent="0.25">
      <c r="A111" s="13" t="s">
        <v>546</v>
      </c>
      <c r="B111" s="10" t="s">
        <v>77</v>
      </c>
      <c r="C111" s="159"/>
    </row>
    <row r="112" spans="1:3" ht="12" customHeight="1" x14ac:dyDescent="0.25">
      <c r="A112" s="13" t="s">
        <v>547</v>
      </c>
      <c r="B112" s="7" t="s">
        <v>548</v>
      </c>
      <c r="C112" s="159"/>
    </row>
    <row r="113" spans="1:3" ht="12" customHeight="1" thickBot="1" x14ac:dyDescent="0.3">
      <c r="A113" s="17" t="s">
        <v>549</v>
      </c>
      <c r="B113" s="310" t="s">
        <v>550</v>
      </c>
      <c r="C113" s="165"/>
    </row>
    <row r="114" spans="1:3" ht="12" customHeight="1" thickBot="1" x14ac:dyDescent="0.3">
      <c r="A114" s="311" t="s">
        <v>46</v>
      </c>
      <c r="B114" s="312" t="s">
        <v>343</v>
      </c>
      <c r="C114" s="313">
        <f>+C115+C117+C119</f>
        <v>2358200</v>
      </c>
    </row>
    <row r="115" spans="1:3" ht="12" customHeight="1" x14ac:dyDescent="0.25">
      <c r="A115" s="14" t="s">
        <v>127</v>
      </c>
      <c r="B115" s="7" t="s">
        <v>207</v>
      </c>
      <c r="C115" s="284">
        <f>1901000+457200</f>
        <v>2358200</v>
      </c>
    </row>
    <row r="116" spans="1:3" ht="12" customHeight="1" x14ac:dyDescent="0.25">
      <c r="A116" s="14" t="s">
        <v>128</v>
      </c>
      <c r="B116" s="11" t="s">
        <v>347</v>
      </c>
      <c r="C116" s="160"/>
    </row>
    <row r="117" spans="1:3" ht="12" customHeight="1" x14ac:dyDescent="0.25">
      <c r="A117" s="14" t="s">
        <v>129</v>
      </c>
      <c r="B117" s="11" t="s">
        <v>191</v>
      </c>
      <c r="C117" s="159"/>
    </row>
    <row r="118" spans="1:3" ht="12" customHeight="1" x14ac:dyDescent="0.25">
      <c r="A118" s="14" t="s">
        <v>130</v>
      </c>
      <c r="B118" s="11" t="s">
        <v>348</v>
      </c>
      <c r="C118" s="145"/>
    </row>
    <row r="119" spans="1:3" ht="12" customHeight="1" x14ac:dyDescent="0.25">
      <c r="A119" s="14" t="s">
        <v>131</v>
      </c>
      <c r="B119" s="155" t="s">
        <v>209</v>
      </c>
      <c r="C119" s="324"/>
    </row>
    <row r="120" spans="1:3" ht="12" customHeight="1" x14ac:dyDescent="0.25">
      <c r="A120" s="14" t="s">
        <v>140</v>
      </c>
      <c r="B120" s="154" t="s">
        <v>410</v>
      </c>
      <c r="C120" s="324"/>
    </row>
    <row r="121" spans="1:3" ht="12" customHeight="1" x14ac:dyDescent="0.25">
      <c r="A121" s="14" t="s">
        <v>142</v>
      </c>
      <c r="B121" s="242" t="s">
        <v>353</v>
      </c>
      <c r="C121" s="324"/>
    </row>
    <row r="122" spans="1:3" x14ac:dyDescent="0.25">
      <c r="A122" s="14" t="s">
        <v>192</v>
      </c>
      <c r="B122" s="89" t="s">
        <v>336</v>
      </c>
      <c r="C122" s="324"/>
    </row>
    <row r="123" spans="1:3" ht="12" customHeight="1" x14ac:dyDescent="0.25">
      <c r="A123" s="14" t="s">
        <v>193</v>
      </c>
      <c r="B123" s="89" t="s">
        <v>352</v>
      </c>
      <c r="C123" s="324"/>
    </row>
    <row r="124" spans="1:3" ht="12" customHeight="1" x14ac:dyDescent="0.25">
      <c r="A124" s="14" t="s">
        <v>194</v>
      </c>
      <c r="B124" s="89" t="s">
        <v>351</v>
      </c>
      <c r="C124" s="324"/>
    </row>
    <row r="125" spans="1:3" ht="12" customHeight="1" x14ac:dyDescent="0.25">
      <c r="A125" s="14" t="s">
        <v>344</v>
      </c>
      <c r="B125" s="89" t="s">
        <v>339</v>
      </c>
      <c r="C125" s="324"/>
    </row>
    <row r="126" spans="1:3" ht="12" customHeight="1" x14ac:dyDescent="0.25">
      <c r="A126" s="14" t="s">
        <v>345</v>
      </c>
      <c r="B126" s="89" t="s">
        <v>350</v>
      </c>
      <c r="C126" s="145"/>
    </row>
    <row r="127" spans="1:3" ht="16.5" thickBot="1" x14ac:dyDescent="0.3">
      <c r="A127" s="12" t="s">
        <v>346</v>
      </c>
      <c r="B127" s="89" t="s">
        <v>349</v>
      </c>
      <c r="C127" s="146"/>
    </row>
    <row r="128" spans="1:3" ht="12" customHeight="1" thickBot="1" x14ac:dyDescent="0.3">
      <c r="A128" s="19" t="s">
        <v>47</v>
      </c>
      <c r="B128" s="84" t="s">
        <v>551</v>
      </c>
      <c r="C128" s="158">
        <f>+C93+C114</f>
        <v>199238554</v>
      </c>
    </row>
    <row r="129" spans="1:3" ht="12" customHeight="1" thickBot="1" x14ac:dyDescent="0.3">
      <c r="A129" s="19" t="s">
        <v>48</v>
      </c>
      <c r="B129" s="84" t="s">
        <v>552</v>
      </c>
      <c r="C129" s="158">
        <f>+C130+C131+C132</f>
        <v>0</v>
      </c>
    </row>
    <row r="130" spans="1:3" ht="12" customHeight="1" x14ac:dyDescent="0.25">
      <c r="A130" s="14" t="s">
        <v>244</v>
      </c>
      <c r="B130" s="11" t="s">
        <v>553</v>
      </c>
      <c r="C130" s="145"/>
    </row>
    <row r="131" spans="1:3" ht="12" customHeight="1" x14ac:dyDescent="0.25">
      <c r="A131" s="14" t="s">
        <v>247</v>
      </c>
      <c r="B131" s="11" t="s">
        <v>554</v>
      </c>
      <c r="C131" s="145"/>
    </row>
    <row r="132" spans="1:3" ht="12" customHeight="1" thickBot="1" x14ac:dyDescent="0.3">
      <c r="A132" s="12" t="s">
        <v>248</v>
      </c>
      <c r="B132" s="11" t="s">
        <v>555</v>
      </c>
      <c r="C132" s="145"/>
    </row>
    <row r="133" spans="1:3" ht="12" customHeight="1" thickBot="1" x14ac:dyDescent="0.3">
      <c r="A133" s="19" t="s">
        <v>49</v>
      </c>
      <c r="B133" s="84" t="s">
        <v>556</v>
      </c>
      <c r="C133" s="158">
        <f>SUM(C134:C139)</f>
        <v>0</v>
      </c>
    </row>
    <row r="134" spans="1:3" ht="12" customHeight="1" x14ac:dyDescent="0.25">
      <c r="A134" s="14" t="s">
        <v>114</v>
      </c>
      <c r="B134" s="8" t="s">
        <v>557</v>
      </c>
      <c r="C134" s="145"/>
    </row>
    <row r="135" spans="1:3" ht="12" customHeight="1" x14ac:dyDescent="0.25">
      <c r="A135" s="14" t="s">
        <v>115</v>
      </c>
      <c r="B135" s="8" t="s">
        <v>558</v>
      </c>
      <c r="C135" s="145"/>
    </row>
    <row r="136" spans="1:3" ht="12" customHeight="1" x14ac:dyDescent="0.25">
      <c r="A136" s="14" t="s">
        <v>116</v>
      </c>
      <c r="B136" s="8" t="s">
        <v>559</v>
      </c>
      <c r="C136" s="145"/>
    </row>
    <row r="137" spans="1:3" ht="12" customHeight="1" x14ac:dyDescent="0.25">
      <c r="A137" s="14" t="s">
        <v>179</v>
      </c>
      <c r="B137" s="8" t="s">
        <v>560</v>
      </c>
      <c r="C137" s="145"/>
    </row>
    <row r="138" spans="1:3" ht="12" customHeight="1" x14ac:dyDescent="0.25">
      <c r="A138" s="14" t="s">
        <v>180</v>
      </c>
      <c r="B138" s="8" t="s">
        <v>561</v>
      </c>
      <c r="C138" s="145"/>
    </row>
    <row r="139" spans="1:3" ht="12" customHeight="1" thickBot="1" x14ac:dyDescent="0.3">
      <c r="A139" s="12" t="s">
        <v>181</v>
      </c>
      <c r="B139" s="8" t="s">
        <v>562</v>
      </c>
      <c r="C139" s="145"/>
    </row>
    <row r="140" spans="1:3" ht="12" customHeight="1" thickBot="1" x14ac:dyDescent="0.3">
      <c r="A140" s="19" t="s">
        <v>50</v>
      </c>
      <c r="B140" s="84" t="s">
        <v>563</v>
      </c>
      <c r="C140" s="163">
        <f>+C141+C142+C143+C144</f>
        <v>0</v>
      </c>
    </row>
    <row r="141" spans="1:3" ht="12" customHeight="1" x14ac:dyDescent="0.25">
      <c r="A141" s="14" t="s">
        <v>117</v>
      </c>
      <c r="B141" s="8" t="s">
        <v>354</v>
      </c>
      <c r="C141" s="145"/>
    </row>
    <row r="142" spans="1:3" ht="12" customHeight="1" x14ac:dyDescent="0.25">
      <c r="A142" s="14" t="s">
        <v>118</v>
      </c>
      <c r="B142" s="8" t="s">
        <v>355</v>
      </c>
      <c r="C142" s="145"/>
    </row>
    <row r="143" spans="1:3" ht="12" customHeight="1" x14ac:dyDescent="0.25">
      <c r="A143" s="14" t="s">
        <v>268</v>
      </c>
      <c r="B143" s="8" t="s">
        <v>564</v>
      </c>
      <c r="C143" s="145"/>
    </row>
    <row r="144" spans="1:3" ht="12" customHeight="1" thickBot="1" x14ac:dyDescent="0.3">
      <c r="A144" s="12" t="s">
        <v>269</v>
      </c>
      <c r="B144" s="6" t="s">
        <v>373</v>
      </c>
      <c r="C144" s="145"/>
    </row>
    <row r="145" spans="1:6" ht="12" customHeight="1" thickBot="1" x14ac:dyDescent="0.3">
      <c r="A145" s="19" t="s">
        <v>51</v>
      </c>
      <c r="B145" s="84" t="s">
        <v>565</v>
      </c>
      <c r="C145" s="166">
        <f>SUM(C146:C150)</f>
        <v>0</v>
      </c>
    </row>
    <row r="146" spans="1:6" ht="12" customHeight="1" x14ac:dyDescent="0.25">
      <c r="A146" s="14" t="s">
        <v>119</v>
      </c>
      <c r="B146" s="8" t="s">
        <v>566</v>
      </c>
      <c r="C146" s="145"/>
    </row>
    <row r="147" spans="1:6" ht="12" customHeight="1" x14ac:dyDescent="0.25">
      <c r="A147" s="14" t="s">
        <v>120</v>
      </c>
      <c r="B147" s="8" t="s">
        <v>567</v>
      </c>
      <c r="C147" s="145"/>
    </row>
    <row r="148" spans="1:6" ht="12" customHeight="1" x14ac:dyDescent="0.25">
      <c r="A148" s="14" t="s">
        <v>280</v>
      </c>
      <c r="B148" s="8" t="s">
        <v>568</v>
      </c>
      <c r="C148" s="145"/>
    </row>
    <row r="149" spans="1:6" ht="12" customHeight="1" x14ac:dyDescent="0.25">
      <c r="A149" s="14" t="s">
        <v>281</v>
      </c>
      <c r="B149" s="8" t="s">
        <v>569</v>
      </c>
      <c r="C149" s="145"/>
    </row>
    <row r="150" spans="1:6" ht="12" customHeight="1" thickBot="1" x14ac:dyDescent="0.3">
      <c r="A150" s="14" t="s">
        <v>570</v>
      </c>
      <c r="B150" s="8" t="s">
        <v>571</v>
      </c>
      <c r="C150" s="145"/>
    </row>
    <row r="151" spans="1:6" ht="12" customHeight="1" thickBot="1" x14ac:dyDescent="0.3">
      <c r="A151" s="19" t="s">
        <v>52</v>
      </c>
      <c r="B151" s="84" t="s">
        <v>572</v>
      </c>
      <c r="C151" s="314"/>
    </row>
    <row r="152" spans="1:6" ht="12" customHeight="1" thickBot="1" x14ac:dyDescent="0.3">
      <c r="A152" s="19" t="s">
        <v>53</v>
      </c>
      <c r="B152" s="84" t="s">
        <v>573</v>
      </c>
      <c r="C152" s="314"/>
    </row>
    <row r="153" spans="1:6" ht="15" customHeight="1" thickBot="1" x14ac:dyDescent="0.3">
      <c r="A153" s="19" t="s">
        <v>54</v>
      </c>
      <c r="B153" s="84" t="s">
        <v>574</v>
      </c>
      <c r="C153" s="256">
        <f>+C129+C133+C140+C145+C151+C152</f>
        <v>0</v>
      </c>
      <c r="D153" s="257"/>
      <c r="E153" s="257"/>
      <c r="F153" s="257"/>
    </row>
    <row r="154" spans="1:6" s="245" customFormat="1" ht="12.95" customHeight="1" thickBot="1" x14ac:dyDescent="0.25">
      <c r="A154" s="156" t="s">
        <v>55</v>
      </c>
      <c r="B154" s="231" t="s">
        <v>575</v>
      </c>
      <c r="C154" s="256">
        <f>+C128+C153</f>
        <v>199238554</v>
      </c>
    </row>
    <row r="155" spans="1:6" ht="7.5" customHeight="1" x14ac:dyDescent="0.25"/>
    <row r="156" spans="1:6" x14ac:dyDescent="0.25">
      <c r="A156" s="956" t="s">
        <v>356</v>
      </c>
      <c r="B156" s="956"/>
      <c r="C156" s="956"/>
    </row>
    <row r="157" spans="1:6" ht="15" customHeight="1" thickBot="1" x14ac:dyDescent="0.3">
      <c r="A157" s="953" t="s">
        <v>169</v>
      </c>
      <c r="B157" s="953"/>
      <c r="C157" s="167" t="s">
        <v>676</v>
      </c>
    </row>
    <row r="158" spans="1:6" ht="13.5" customHeight="1" thickBot="1" x14ac:dyDescent="0.3">
      <c r="A158" s="19">
        <v>1</v>
      </c>
      <c r="B158" s="24" t="s">
        <v>576</v>
      </c>
      <c r="C158" s="158">
        <f>+C62-C128</f>
        <v>-192287262</v>
      </c>
    </row>
    <row r="159" spans="1:6" ht="32.25" customHeight="1" thickBot="1" x14ac:dyDescent="0.3">
      <c r="A159" s="19" t="s">
        <v>46</v>
      </c>
      <c r="B159" s="24" t="s">
        <v>577</v>
      </c>
      <c r="C159" s="158">
        <f>+C86-C153</f>
        <v>447404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ÁLLAMI (ÁLLAMIGAZGATÁSI) FELADATOK MÉRLEGE
&amp;R&amp;"Times New Roman CE,Félkövér dőlt"&amp;11 4. melléklet a 30/2017.(XI.30.)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3"/>
  <sheetViews>
    <sheetView view="pageLayout" topLeftCell="B10" zoomScale="130" zoomScaleNormal="100" zoomScaleSheetLayoutView="100" zoomScalePageLayoutView="130" workbookViewId="0">
      <selection activeCell="D1" sqref="D1"/>
    </sheetView>
  </sheetViews>
  <sheetFormatPr defaultRowHeight="12.75" x14ac:dyDescent="0.2"/>
  <cols>
    <col min="1" max="1" width="6.83203125" style="45" customWidth="1"/>
    <col min="2" max="2" width="55.1640625" style="92" customWidth="1"/>
    <col min="3" max="3" width="16" style="45" bestFit="1" customWidth="1"/>
    <col min="4" max="4" width="55.1640625" style="45" customWidth="1"/>
    <col min="5" max="5" width="16.33203125" style="45" customWidth="1"/>
    <col min="6" max="6" width="4.83203125" style="45" customWidth="1"/>
    <col min="7" max="16384" width="9.33203125" style="45"/>
  </cols>
  <sheetData>
    <row r="1" spans="1:6" ht="39.75" customHeight="1" x14ac:dyDescent="0.2">
      <c r="B1" s="176" t="s">
        <v>172</v>
      </c>
      <c r="C1" s="177"/>
      <c r="D1" s="177"/>
      <c r="E1" s="177"/>
      <c r="F1" s="958"/>
    </row>
    <row r="2" spans="1:6" ht="14.25" thickBot="1" x14ac:dyDescent="0.25">
      <c r="E2" s="178" t="s">
        <v>692</v>
      </c>
      <c r="F2" s="958"/>
    </row>
    <row r="3" spans="1:6" ht="18" customHeight="1" thickBot="1" x14ac:dyDescent="0.25">
      <c r="A3" s="959" t="s">
        <v>96</v>
      </c>
      <c r="B3" s="179" t="s">
        <v>84</v>
      </c>
      <c r="C3" s="180"/>
      <c r="D3" s="179" t="s">
        <v>85</v>
      </c>
      <c r="E3" s="181"/>
      <c r="F3" s="958"/>
    </row>
    <row r="4" spans="1:6" s="182" customFormat="1" ht="35.25" customHeight="1" thickBot="1" x14ac:dyDescent="0.25">
      <c r="A4" s="960"/>
      <c r="B4" s="93" t="s">
        <v>90</v>
      </c>
      <c r="C4" s="35" t="s">
        <v>661</v>
      </c>
      <c r="D4" s="93" t="s">
        <v>90</v>
      </c>
      <c r="E4" s="44" t="str">
        <f>+C4</f>
        <v>2017. évi előirányzat</v>
      </c>
      <c r="F4" s="958"/>
    </row>
    <row r="5" spans="1:6" s="187" customFormat="1" ht="12" customHeight="1" thickBot="1" x14ac:dyDescent="0.25">
      <c r="A5" s="183" t="s">
        <v>524</v>
      </c>
      <c r="B5" s="184" t="s">
        <v>525</v>
      </c>
      <c r="C5" s="185" t="s">
        <v>526</v>
      </c>
      <c r="D5" s="184" t="s">
        <v>579</v>
      </c>
      <c r="E5" s="186" t="s">
        <v>580</v>
      </c>
      <c r="F5" s="958"/>
    </row>
    <row r="6" spans="1:6" ht="12.95" customHeight="1" x14ac:dyDescent="0.2">
      <c r="A6" s="188" t="s">
        <v>45</v>
      </c>
      <c r="B6" s="189" t="s">
        <v>357</v>
      </c>
      <c r="C6" s="808">
        <v>1214566895</v>
      </c>
      <c r="D6" s="205" t="s">
        <v>91</v>
      </c>
      <c r="E6" s="811">
        <v>1093963055</v>
      </c>
      <c r="F6" s="958"/>
    </row>
    <row r="7" spans="1:6" ht="12.95" customHeight="1" x14ac:dyDescent="0.2">
      <c r="A7" s="190" t="s">
        <v>46</v>
      </c>
      <c r="B7" s="191" t="s">
        <v>358</v>
      </c>
      <c r="C7" s="809">
        <v>335849323</v>
      </c>
      <c r="D7" s="195" t="s">
        <v>187</v>
      </c>
      <c r="E7" s="812">
        <v>232171042</v>
      </c>
      <c r="F7" s="958"/>
    </row>
    <row r="8" spans="1:6" ht="12.95" customHeight="1" x14ac:dyDescent="0.2">
      <c r="A8" s="190" t="s">
        <v>47</v>
      </c>
      <c r="B8" s="191" t="s">
        <v>378</v>
      </c>
      <c r="C8" s="51">
        <v>16877134</v>
      </c>
      <c r="D8" s="195" t="s">
        <v>212</v>
      </c>
      <c r="E8" s="812">
        <v>983158853</v>
      </c>
      <c r="F8" s="958"/>
    </row>
    <row r="9" spans="1:6" ht="12.95" customHeight="1" x14ac:dyDescent="0.2">
      <c r="A9" s="190" t="s">
        <v>48</v>
      </c>
      <c r="B9" s="191" t="s">
        <v>178</v>
      </c>
      <c r="C9" s="51">
        <v>356490000</v>
      </c>
      <c r="D9" s="195" t="s">
        <v>188</v>
      </c>
      <c r="E9" s="812">
        <v>79248740</v>
      </c>
      <c r="F9" s="958"/>
    </row>
    <row r="10" spans="1:6" ht="12.95" customHeight="1" x14ac:dyDescent="0.2">
      <c r="A10" s="190" t="s">
        <v>49</v>
      </c>
      <c r="B10" s="192" t="s">
        <v>403</v>
      </c>
      <c r="C10" s="809">
        <v>469251145</v>
      </c>
      <c r="D10" s="195" t="s">
        <v>189</v>
      </c>
      <c r="E10" s="812">
        <f>88130011-3000000</f>
        <v>85130011</v>
      </c>
      <c r="F10" s="958"/>
    </row>
    <row r="11" spans="1:6" ht="12.95" customHeight="1" x14ac:dyDescent="0.2">
      <c r="A11" s="190" t="s">
        <v>50</v>
      </c>
      <c r="B11" s="191" t="s">
        <v>359</v>
      </c>
      <c r="C11" s="810">
        <v>24244433</v>
      </c>
      <c r="D11" s="195" t="s">
        <v>77</v>
      </c>
      <c r="E11" s="812">
        <f>65587833+3000000</f>
        <v>68587833</v>
      </c>
      <c r="F11" s="958"/>
    </row>
    <row r="12" spans="1:6" ht="12.95" customHeight="1" x14ac:dyDescent="0.2">
      <c r="A12" s="190" t="s">
        <v>51</v>
      </c>
      <c r="B12" s="191" t="s">
        <v>581</v>
      </c>
      <c r="C12" s="51"/>
      <c r="D12" s="390"/>
      <c r="E12" s="52"/>
      <c r="F12" s="958"/>
    </row>
    <row r="13" spans="1:6" ht="12.95" customHeight="1" x14ac:dyDescent="0.2">
      <c r="A13" s="190" t="s">
        <v>52</v>
      </c>
      <c r="B13" s="39"/>
      <c r="C13" s="51"/>
      <c r="D13" s="390"/>
      <c r="E13" s="52"/>
      <c r="F13" s="958"/>
    </row>
    <row r="14" spans="1:6" ht="12.95" customHeight="1" x14ac:dyDescent="0.2">
      <c r="A14" s="190" t="s">
        <v>53</v>
      </c>
      <c r="B14" s="258"/>
      <c r="C14" s="334"/>
      <c r="D14" s="390"/>
      <c r="E14" s="52"/>
      <c r="F14" s="958"/>
    </row>
    <row r="15" spans="1:6" ht="12.95" customHeight="1" x14ac:dyDescent="0.2">
      <c r="A15" s="190" t="s">
        <v>54</v>
      </c>
      <c r="B15" s="39"/>
      <c r="C15" s="51"/>
      <c r="D15" s="390"/>
      <c r="E15" s="52"/>
      <c r="F15" s="958"/>
    </row>
    <row r="16" spans="1:6" ht="12.95" customHeight="1" x14ac:dyDescent="0.2">
      <c r="A16" s="190" t="s">
        <v>55</v>
      </c>
      <c r="B16" s="39"/>
      <c r="C16" s="168"/>
      <c r="D16" s="39"/>
      <c r="E16" s="172"/>
      <c r="F16" s="958"/>
    </row>
    <row r="17" spans="1:6" ht="12.95" customHeight="1" thickBot="1" x14ac:dyDescent="0.25">
      <c r="A17" s="190" t="s">
        <v>56</v>
      </c>
      <c r="B17" s="46"/>
      <c r="C17" s="169"/>
      <c r="D17" s="39"/>
      <c r="E17" s="173"/>
      <c r="F17" s="958"/>
    </row>
    <row r="18" spans="1:6" ht="15.95" customHeight="1" thickBot="1" x14ac:dyDescent="0.25">
      <c r="A18" s="193" t="s">
        <v>57</v>
      </c>
      <c r="B18" s="85" t="s">
        <v>582</v>
      </c>
      <c r="C18" s="170">
        <f>SUM(C6:C17)-C8</f>
        <v>2400401796</v>
      </c>
      <c r="D18" s="85" t="s">
        <v>364</v>
      </c>
      <c r="E18" s="174">
        <f>SUM(E6:E17)</f>
        <v>2542259534</v>
      </c>
      <c r="F18" s="958"/>
    </row>
    <row r="19" spans="1:6" ht="12.95" customHeight="1" x14ac:dyDescent="0.2">
      <c r="A19" s="429" t="s">
        <v>58</v>
      </c>
      <c r="B19" s="194" t="s">
        <v>361</v>
      </c>
      <c r="C19" s="287">
        <f>SUM(C20:C23)</f>
        <v>292999415</v>
      </c>
      <c r="D19" s="195" t="s">
        <v>195</v>
      </c>
      <c r="E19" s="175"/>
      <c r="F19" s="958"/>
    </row>
    <row r="20" spans="1:6" ht="12.95" customHeight="1" x14ac:dyDescent="0.2">
      <c r="A20" s="430" t="s">
        <v>59</v>
      </c>
      <c r="B20" s="195" t="s">
        <v>205</v>
      </c>
      <c r="C20" s="51">
        <v>292999415</v>
      </c>
      <c r="D20" s="195" t="s">
        <v>363</v>
      </c>
      <c r="E20" s="52">
        <v>100000000</v>
      </c>
      <c r="F20" s="958"/>
    </row>
    <row r="21" spans="1:6" ht="12.95" customHeight="1" x14ac:dyDescent="0.2">
      <c r="A21" s="430" t="s">
        <v>60</v>
      </c>
      <c r="B21" s="195" t="s">
        <v>206</v>
      </c>
      <c r="C21" s="51"/>
      <c r="D21" s="195" t="s">
        <v>170</v>
      </c>
      <c r="E21" s="52"/>
      <c r="F21" s="958"/>
    </row>
    <row r="22" spans="1:6" ht="12.95" customHeight="1" x14ac:dyDescent="0.2">
      <c r="A22" s="430" t="s">
        <v>61</v>
      </c>
      <c r="B22" s="195" t="s">
        <v>210</v>
      </c>
      <c r="C22" s="51"/>
      <c r="D22" s="195" t="s">
        <v>171</v>
      </c>
      <c r="E22" s="52"/>
      <c r="F22" s="958"/>
    </row>
    <row r="23" spans="1:6" ht="12.95" customHeight="1" x14ac:dyDescent="0.2">
      <c r="A23" s="430" t="s">
        <v>62</v>
      </c>
      <c r="B23" s="195" t="s">
        <v>211</v>
      </c>
      <c r="C23" s="51"/>
      <c r="D23" s="194" t="s">
        <v>213</v>
      </c>
      <c r="E23" s="52"/>
      <c r="F23" s="958"/>
    </row>
    <row r="24" spans="1:6" ht="12.95" customHeight="1" x14ac:dyDescent="0.2">
      <c r="A24" s="430" t="s">
        <v>63</v>
      </c>
      <c r="B24" s="195" t="s">
        <v>362</v>
      </c>
      <c r="C24" s="196">
        <f>SUM(C25:C28)</f>
        <v>100000000</v>
      </c>
      <c r="D24" s="195" t="s">
        <v>196</v>
      </c>
      <c r="E24" s="52"/>
      <c r="F24" s="958"/>
    </row>
    <row r="25" spans="1:6" ht="12.95" customHeight="1" x14ac:dyDescent="0.2">
      <c r="A25" s="429" t="s">
        <v>64</v>
      </c>
      <c r="B25" s="194" t="s">
        <v>360</v>
      </c>
      <c r="C25" s="171">
        <v>100000000</v>
      </c>
      <c r="D25" s="189" t="s">
        <v>564</v>
      </c>
      <c r="E25" s="175"/>
      <c r="F25" s="958"/>
    </row>
    <row r="26" spans="1:6" ht="12.95" customHeight="1" x14ac:dyDescent="0.2">
      <c r="A26" s="430" t="s">
        <v>65</v>
      </c>
      <c r="B26" s="195" t="s">
        <v>583</v>
      </c>
      <c r="C26" s="51"/>
      <c r="D26" s="191" t="s">
        <v>572</v>
      </c>
      <c r="E26" s="52"/>
      <c r="F26" s="958"/>
    </row>
    <row r="27" spans="1:6" ht="12.95" customHeight="1" x14ac:dyDescent="0.2">
      <c r="A27" s="190" t="s">
        <v>66</v>
      </c>
      <c r="B27" s="195" t="s">
        <v>537</v>
      </c>
      <c r="C27" s="51"/>
      <c r="D27" s="191" t="s">
        <v>573</v>
      </c>
      <c r="E27" s="52"/>
      <c r="F27" s="958"/>
    </row>
    <row r="28" spans="1:6" ht="12.95" customHeight="1" thickBot="1" x14ac:dyDescent="0.25">
      <c r="A28" s="234" t="s">
        <v>67</v>
      </c>
      <c r="B28" s="194" t="s">
        <v>318</v>
      </c>
      <c r="C28" s="171"/>
      <c r="D28" s="259" t="s">
        <v>654</v>
      </c>
      <c r="E28" s="175">
        <v>35164932</v>
      </c>
      <c r="F28" s="958"/>
    </row>
    <row r="29" spans="1:6" ht="13.5" customHeight="1" thickBot="1" x14ac:dyDescent="0.25">
      <c r="A29" s="193" t="s">
        <v>68</v>
      </c>
      <c r="B29" s="85" t="s">
        <v>584</v>
      </c>
      <c r="C29" s="170">
        <f>+C19+C24+C27+C28</f>
        <v>392999415</v>
      </c>
      <c r="D29" s="85" t="s">
        <v>585</v>
      </c>
      <c r="E29" s="174">
        <f>SUM(E19:E28)</f>
        <v>135164932</v>
      </c>
      <c r="F29" s="958"/>
    </row>
    <row r="30" spans="1:6" ht="13.5" thickBot="1" x14ac:dyDescent="0.25">
      <c r="A30" s="193" t="s">
        <v>69</v>
      </c>
      <c r="B30" s="197" t="s">
        <v>586</v>
      </c>
      <c r="C30" s="414">
        <f>+C18+C29</f>
        <v>2793401211</v>
      </c>
      <c r="D30" s="197" t="s">
        <v>587</v>
      </c>
      <c r="E30" s="414">
        <f>+E18+E29</f>
        <v>2677424466</v>
      </c>
      <c r="F30" s="958"/>
    </row>
    <row r="31" spans="1:6" ht="13.5" thickBot="1" x14ac:dyDescent="0.25">
      <c r="A31" s="193" t="s">
        <v>70</v>
      </c>
      <c r="B31" s="197" t="s">
        <v>173</v>
      </c>
      <c r="C31" s="414">
        <f>IF(C18-E18&lt;0,E18-C18,"-")</f>
        <v>141857738</v>
      </c>
      <c r="D31" s="197" t="s">
        <v>174</v>
      </c>
      <c r="E31" s="414" t="str">
        <f>IF(C18-E18&gt;0,C18-E18,"-")</f>
        <v>-</v>
      </c>
      <c r="F31" s="958"/>
    </row>
    <row r="32" spans="1:6" ht="13.5" thickBot="1" x14ac:dyDescent="0.25">
      <c r="A32" s="193" t="s">
        <v>71</v>
      </c>
      <c r="B32" s="197" t="s">
        <v>214</v>
      </c>
      <c r="C32" s="198" t="str">
        <f>IF(C30-E30&lt;0,E30-C30,"-")</f>
        <v>-</v>
      </c>
      <c r="D32" s="197" t="s">
        <v>215</v>
      </c>
      <c r="E32" s="414">
        <f>IF(C30-E30&gt;0,C30-E30,"-")</f>
        <v>115976745</v>
      </c>
      <c r="F32" s="958"/>
    </row>
    <row r="33" spans="2:4" ht="18.75" x14ac:dyDescent="0.2">
      <c r="B33" s="961"/>
      <c r="C33" s="961"/>
      <c r="D33" s="961"/>
    </row>
  </sheetData>
  <mergeCells count="3">
    <mergeCell ref="F1:F32"/>
    <mergeCell ref="A3:A4"/>
    <mergeCell ref="B33:D33"/>
  </mergeCells>
  <printOptions horizontalCentered="1"/>
  <pageMargins left="0.33" right="0.48" top="0.9055118110236221" bottom="0.5" header="0.6692913385826772" footer="0.28000000000000003"/>
  <pageSetup paperSize="9" orientation="landscape" r:id="rId1"/>
  <headerFooter alignWithMargins="0">
    <oddHeader xml:space="preserve">&amp;R&amp;"Times New Roman CE,Félkövér dőlt"&amp;11 5. melléklet a 30/2017.(XI.30.) önkormányzati rendelethez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9"/>
  <sheetViews>
    <sheetView view="pageLayout" zoomScaleNormal="100" zoomScaleSheetLayoutView="115" workbookViewId="0">
      <selection activeCell="E1" sqref="E1"/>
    </sheetView>
  </sheetViews>
  <sheetFormatPr defaultRowHeight="12.75" x14ac:dyDescent="0.2"/>
  <cols>
    <col min="1" max="1" width="6.83203125" style="45" customWidth="1"/>
    <col min="2" max="2" width="55.1640625" style="92" customWidth="1"/>
    <col min="3" max="3" width="16.33203125" style="45" customWidth="1"/>
    <col min="4" max="4" width="55.1640625" style="45" customWidth="1"/>
    <col min="5" max="5" width="16.33203125" style="45" customWidth="1"/>
    <col min="6" max="6" width="4.83203125" style="45" customWidth="1"/>
    <col min="7" max="16384" width="9.33203125" style="45"/>
  </cols>
  <sheetData>
    <row r="1" spans="1:6" ht="31.5" x14ac:dyDescent="0.2">
      <c r="B1" s="176" t="s">
        <v>785</v>
      </c>
      <c r="C1" s="177"/>
      <c r="D1" s="177" t="s">
        <v>786</v>
      </c>
      <c r="E1" s="177"/>
      <c r="F1" s="958"/>
    </row>
    <row r="2" spans="1:6" ht="14.25" thickBot="1" x14ac:dyDescent="0.25">
      <c r="E2" s="178" t="s">
        <v>692</v>
      </c>
      <c r="F2" s="958"/>
    </row>
    <row r="3" spans="1:6" ht="13.5" thickBot="1" x14ac:dyDescent="0.25">
      <c r="A3" s="962" t="s">
        <v>96</v>
      </c>
      <c r="B3" s="179" t="s">
        <v>84</v>
      </c>
      <c r="C3" s="180"/>
      <c r="D3" s="179" t="s">
        <v>85</v>
      </c>
      <c r="E3" s="181"/>
      <c r="F3" s="958"/>
    </row>
    <row r="4" spans="1:6" s="182" customFormat="1" ht="24.75" thickBot="1" x14ac:dyDescent="0.25">
      <c r="A4" s="963"/>
      <c r="B4" s="93" t="s">
        <v>90</v>
      </c>
      <c r="C4" s="35" t="s">
        <v>661</v>
      </c>
      <c r="D4" s="93" t="s">
        <v>90</v>
      </c>
      <c r="E4" s="35" t="s">
        <v>661</v>
      </c>
      <c r="F4" s="958"/>
    </row>
    <row r="5" spans="1:6" s="182" customFormat="1" ht="13.5" thickBot="1" x14ac:dyDescent="0.25">
      <c r="A5" s="183" t="s">
        <v>524</v>
      </c>
      <c r="B5" s="184" t="s">
        <v>525</v>
      </c>
      <c r="C5" s="185" t="s">
        <v>526</v>
      </c>
      <c r="D5" s="184" t="s">
        <v>579</v>
      </c>
      <c r="E5" s="186" t="s">
        <v>580</v>
      </c>
      <c r="F5" s="958"/>
    </row>
    <row r="6" spans="1:6" ht="12.95" customHeight="1" x14ac:dyDescent="0.2">
      <c r="A6" s="188" t="s">
        <v>45</v>
      </c>
      <c r="B6" s="189" t="s">
        <v>365</v>
      </c>
      <c r="C6" s="644">
        <v>532260298</v>
      </c>
      <c r="D6" s="205" t="s">
        <v>207</v>
      </c>
      <c r="E6" s="811">
        <v>366184004</v>
      </c>
      <c r="F6" s="958"/>
    </row>
    <row r="7" spans="1:6" ht="12.75" customHeight="1" x14ac:dyDescent="0.2">
      <c r="A7" s="190" t="s">
        <v>46</v>
      </c>
      <c r="B7" s="191" t="s">
        <v>366</v>
      </c>
      <c r="C7" s="51">
        <v>511621609</v>
      </c>
      <c r="D7" s="195" t="s">
        <v>371</v>
      </c>
      <c r="E7" s="837">
        <f>315386684+2959448</f>
        <v>318346132</v>
      </c>
      <c r="F7" s="958"/>
    </row>
    <row r="8" spans="1:6" ht="12.95" customHeight="1" x14ac:dyDescent="0.2">
      <c r="A8" s="190" t="s">
        <v>47</v>
      </c>
      <c r="B8" s="191" t="s">
        <v>36</v>
      </c>
      <c r="C8" s="51">
        <v>47429000</v>
      </c>
      <c r="D8" s="195" t="s">
        <v>191</v>
      </c>
      <c r="E8" s="52">
        <v>337534552</v>
      </c>
      <c r="F8" s="958"/>
    </row>
    <row r="9" spans="1:6" ht="12.95" customHeight="1" x14ac:dyDescent="0.2">
      <c r="A9" s="190" t="s">
        <v>48</v>
      </c>
      <c r="B9" s="191" t="s">
        <v>367</v>
      </c>
      <c r="C9" s="809">
        <v>1400000</v>
      </c>
      <c r="D9" s="195" t="s">
        <v>372</v>
      </c>
      <c r="E9" s="324">
        <v>247361482</v>
      </c>
      <c r="F9" s="958"/>
    </row>
    <row r="10" spans="1:6" ht="12.75" customHeight="1" x14ac:dyDescent="0.2">
      <c r="A10" s="190" t="s">
        <v>49</v>
      </c>
      <c r="B10" s="191" t="s">
        <v>368</v>
      </c>
      <c r="C10" s="51"/>
      <c r="D10" s="195" t="s">
        <v>209</v>
      </c>
      <c r="E10" s="812">
        <v>48504500</v>
      </c>
      <c r="F10" s="958"/>
    </row>
    <row r="11" spans="1:6" ht="12.95" customHeight="1" x14ac:dyDescent="0.2">
      <c r="A11" s="190" t="s">
        <v>50</v>
      </c>
      <c r="B11" s="191" t="s">
        <v>369</v>
      </c>
      <c r="C11" s="334"/>
      <c r="D11" s="315"/>
      <c r="E11" s="52"/>
      <c r="F11" s="958"/>
    </row>
    <row r="12" spans="1:6" ht="12.95" customHeight="1" x14ac:dyDescent="0.2">
      <c r="A12" s="190" t="s">
        <v>51</v>
      </c>
      <c r="B12" s="39"/>
      <c r="C12" s="51"/>
      <c r="D12" s="315"/>
      <c r="E12" s="52"/>
      <c r="F12" s="958"/>
    </row>
    <row r="13" spans="1:6" ht="12.95" customHeight="1" x14ac:dyDescent="0.2">
      <c r="A13" s="190" t="s">
        <v>52</v>
      </c>
      <c r="B13" s="39"/>
      <c r="C13" s="51"/>
      <c r="D13" s="315"/>
      <c r="E13" s="52"/>
      <c r="F13" s="958"/>
    </row>
    <row r="14" spans="1:6" ht="12.95" customHeight="1" x14ac:dyDescent="0.2">
      <c r="A14" s="190" t="s">
        <v>53</v>
      </c>
      <c r="B14" s="316"/>
      <c r="C14" s="334"/>
      <c r="D14" s="315"/>
      <c r="E14" s="52"/>
      <c r="F14" s="958"/>
    </row>
    <row r="15" spans="1:6" x14ac:dyDescent="0.2">
      <c r="A15" s="190" t="s">
        <v>54</v>
      </c>
      <c r="B15" s="39"/>
      <c r="C15" s="334"/>
      <c r="D15" s="315"/>
      <c r="E15" s="52"/>
      <c r="F15" s="958"/>
    </row>
    <row r="16" spans="1:6" ht="12.95" customHeight="1" thickBot="1" x14ac:dyDescent="0.25">
      <c r="A16" s="234" t="s">
        <v>55</v>
      </c>
      <c r="B16" s="259"/>
      <c r="C16" s="391"/>
      <c r="D16" s="194" t="s">
        <v>77</v>
      </c>
      <c r="E16" s="175">
        <v>29181987</v>
      </c>
      <c r="F16" s="958"/>
    </row>
    <row r="17" spans="1:6" ht="15.95" customHeight="1" thickBot="1" x14ac:dyDescent="0.25">
      <c r="A17" s="193" t="s">
        <v>56</v>
      </c>
      <c r="B17" s="85" t="s">
        <v>379</v>
      </c>
      <c r="C17" s="170">
        <f>+C6+C8+C9+C11+C12+C13+C14+C15+C16</f>
        <v>581089298</v>
      </c>
      <c r="D17" s="85" t="s">
        <v>380</v>
      </c>
      <c r="E17" s="174">
        <f>+E6+E8+E10+E11+E12+E13+E14+E15+E16</f>
        <v>781405043</v>
      </c>
      <c r="F17" s="958"/>
    </row>
    <row r="18" spans="1:6" ht="12.95" customHeight="1" x14ac:dyDescent="0.2">
      <c r="A18" s="188" t="s">
        <v>57</v>
      </c>
      <c r="B18" s="201" t="s">
        <v>227</v>
      </c>
      <c r="C18" s="208">
        <f>+C19+C20+C21+C22+C23</f>
        <v>0</v>
      </c>
      <c r="D18" s="195" t="s">
        <v>195</v>
      </c>
      <c r="E18" s="50"/>
      <c r="F18" s="958"/>
    </row>
    <row r="19" spans="1:6" ht="12.95" customHeight="1" x14ac:dyDescent="0.2">
      <c r="A19" s="190" t="s">
        <v>58</v>
      </c>
      <c r="B19" s="202" t="s">
        <v>216</v>
      </c>
      <c r="C19" s="51"/>
      <c r="D19" s="195" t="s">
        <v>198</v>
      </c>
      <c r="E19" s="52"/>
      <c r="F19" s="958"/>
    </row>
    <row r="20" spans="1:6" ht="12.95" customHeight="1" x14ac:dyDescent="0.2">
      <c r="A20" s="188" t="s">
        <v>59</v>
      </c>
      <c r="B20" s="202" t="s">
        <v>217</v>
      </c>
      <c r="C20" s="51"/>
      <c r="D20" s="195" t="s">
        <v>170</v>
      </c>
      <c r="E20" s="52"/>
      <c r="F20" s="958"/>
    </row>
    <row r="21" spans="1:6" ht="12.95" customHeight="1" x14ac:dyDescent="0.2">
      <c r="A21" s="190" t="s">
        <v>60</v>
      </c>
      <c r="B21" s="202" t="s">
        <v>218</v>
      </c>
      <c r="C21" s="51"/>
      <c r="D21" s="195" t="s">
        <v>171</v>
      </c>
      <c r="E21" s="52">
        <v>3161000</v>
      </c>
      <c r="F21" s="958"/>
    </row>
    <row r="22" spans="1:6" ht="12.95" customHeight="1" x14ac:dyDescent="0.2">
      <c r="A22" s="188" t="s">
        <v>61</v>
      </c>
      <c r="B22" s="202" t="s">
        <v>219</v>
      </c>
      <c r="C22" s="51"/>
      <c r="D22" s="194" t="s">
        <v>213</v>
      </c>
      <c r="E22" s="52"/>
      <c r="F22" s="958"/>
    </row>
    <row r="23" spans="1:6" ht="12.95" customHeight="1" x14ac:dyDescent="0.2">
      <c r="A23" s="190" t="s">
        <v>62</v>
      </c>
      <c r="B23" s="203" t="s">
        <v>220</v>
      </c>
      <c r="C23" s="51"/>
      <c r="D23" s="195" t="s">
        <v>199</v>
      </c>
      <c r="E23" s="52"/>
      <c r="F23" s="958"/>
    </row>
    <row r="24" spans="1:6" ht="12.95" customHeight="1" x14ac:dyDescent="0.2">
      <c r="A24" s="188" t="s">
        <v>63</v>
      </c>
      <c r="B24" s="204" t="s">
        <v>221</v>
      </c>
      <c r="C24" s="616">
        <f>+C25+C26+C27+C28+C29</f>
        <v>87500000</v>
      </c>
      <c r="D24" s="205" t="s">
        <v>197</v>
      </c>
      <c r="E24" s="52"/>
      <c r="F24" s="958"/>
    </row>
    <row r="25" spans="1:6" ht="12.95" customHeight="1" x14ac:dyDescent="0.2">
      <c r="A25" s="190" t="s">
        <v>64</v>
      </c>
      <c r="B25" s="203" t="s">
        <v>222</v>
      </c>
      <c r="C25" s="617">
        <v>87500000</v>
      </c>
      <c r="D25" s="205" t="s">
        <v>373</v>
      </c>
      <c r="E25" s="52"/>
      <c r="F25" s="958"/>
    </row>
    <row r="26" spans="1:6" ht="12.95" customHeight="1" x14ac:dyDescent="0.2">
      <c r="A26" s="188" t="s">
        <v>65</v>
      </c>
      <c r="B26" s="203" t="s">
        <v>223</v>
      </c>
      <c r="C26" s="51"/>
      <c r="D26" s="200"/>
      <c r="E26" s="52"/>
      <c r="F26" s="958"/>
    </row>
    <row r="27" spans="1:6" ht="12.95" customHeight="1" x14ac:dyDescent="0.2">
      <c r="A27" s="190" t="s">
        <v>66</v>
      </c>
      <c r="B27" s="202" t="s">
        <v>224</v>
      </c>
      <c r="C27" s="51"/>
      <c r="D27" s="200"/>
      <c r="E27" s="52"/>
      <c r="F27" s="958"/>
    </row>
    <row r="28" spans="1:6" ht="12.95" customHeight="1" x14ac:dyDescent="0.2">
      <c r="A28" s="188" t="s">
        <v>67</v>
      </c>
      <c r="B28" s="206" t="s">
        <v>225</v>
      </c>
      <c r="C28" s="51"/>
      <c r="D28" s="390"/>
      <c r="E28" s="52"/>
      <c r="F28" s="958"/>
    </row>
    <row r="29" spans="1:6" ht="12.95" customHeight="1" thickBot="1" x14ac:dyDescent="0.25">
      <c r="A29" s="190" t="s">
        <v>68</v>
      </c>
      <c r="B29" s="207" t="s">
        <v>226</v>
      </c>
      <c r="C29" s="51"/>
      <c r="D29" s="200"/>
      <c r="E29" s="52"/>
      <c r="F29" s="958"/>
    </row>
    <row r="30" spans="1:6" ht="21.75" customHeight="1" thickBot="1" x14ac:dyDescent="0.25">
      <c r="A30" s="193" t="s">
        <v>69</v>
      </c>
      <c r="B30" s="85" t="s">
        <v>370</v>
      </c>
      <c r="C30" s="170">
        <f>+C18+C24</f>
        <v>87500000</v>
      </c>
      <c r="D30" s="85" t="s">
        <v>374</v>
      </c>
      <c r="E30" s="174">
        <f>SUM(E18:E29)</f>
        <v>3161000</v>
      </c>
      <c r="F30" s="958"/>
    </row>
    <row r="31" spans="1:6" ht="13.5" thickBot="1" x14ac:dyDescent="0.25">
      <c r="A31" s="193" t="s">
        <v>70</v>
      </c>
      <c r="B31" s="197" t="s">
        <v>375</v>
      </c>
      <c r="C31" s="198">
        <f>+C17+C30</f>
        <v>668589298</v>
      </c>
      <c r="D31" s="197" t="s">
        <v>376</v>
      </c>
      <c r="E31" s="198">
        <f>+E17+E30</f>
        <v>784566043</v>
      </c>
      <c r="F31" s="958"/>
    </row>
    <row r="32" spans="1:6" ht="13.5" thickBot="1" x14ac:dyDescent="0.25">
      <c r="A32" s="193" t="s">
        <v>71</v>
      </c>
      <c r="B32" s="197" t="s">
        <v>173</v>
      </c>
      <c r="C32" s="198">
        <f>IF(C17-E17&lt;0,E17-C17,"-")</f>
        <v>200315745</v>
      </c>
      <c r="D32" s="197" t="s">
        <v>174</v>
      </c>
      <c r="E32" s="198" t="str">
        <f>IF(C17-E17&gt;0,C17-E17,"-")</f>
        <v>-</v>
      </c>
      <c r="F32" s="958"/>
    </row>
    <row r="33" spans="1:6" ht="13.5" thickBot="1" x14ac:dyDescent="0.25">
      <c r="A33" s="193" t="s">
        <v>72</v>
      </c>
      <c r="B33" s="197" t="s">
        <v>214</v>
      </c>
      <c r="C33" s="198">
        <f>IF(C31-E31&lt;0,E31-C31,"-")</f>
        <v>115976745</v>
      </c>
      <c r="D33" s="197" t="s">
        <v>215</v>
      </c>
      <c r="E33" s="198" t="str">
        <f>IF(C31-E31&gt;0,C31-E31,"-")</f>
        <v>-</v>
      </c>
      <c r="F33" s="958"/>
    </row>
    <row r="34" spans="1:6" x14ac:dyDescent="0.2">
      <c r="C34" s="431"/>
      <c r="D34" s="431"/>
      <c r="E34" s="431"/>
    </row>
    <row r="35" spans="1:6" x14ac:dyDescent="0.2">
      <c r="C35" s="431"/>
      <c r="D35" s="431"/>
      <c r="E35" s="431"/>
    </row>
    <row r="36" spans="1:6" x14ac:dyDescent="0.2">
      <c r="C36" s="431"/>
      <c r="D36" s="431"/>
      <c r="E36" s="431"/>
    </row>
    <row r="37" spans="1:6" x14ac:dyDescent="0.2">
      <c r="C37" s="431"/>
      <c r="D37" s="431"/>
      <c r="E37" s="431"/>
    </row>
    <row r="38" spans="1:6" x14ac:dyDescent="0.2">
      <c r="C38" s="431"/>
      <c r="D38" s="431"/>
      <c r="E38" s="431"/>
    </row>
    <row r="39" spans="1:6" x14ac:dyDescent="0.2">
      <c r="C39" s="431"/>
      <c r="D39" s="431"/>
      <c r="E39" s="431"/>
    </row>
  </sheetData>
  <mergeCells count="2">
    <mergeCell ref="F1:F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93" orientation="landscape" r:id="rId1"/>
  <headerFooter alignWithMargins="0">
    <oddHeader>&amp;R 6. melléklet a 30/2017.(XI.30.)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81"/>
  <sheetViews>
    <sheetView view="pageLayout" zoomScaleNormal="100" workbookViewId="0">
      <selection activeCell="G3" sqref="G3"/>
    </sheetView>
  </sheetViews>
  <sheetFormatPr defaultRowHeight="12.75" x14ac:dyDescent="0.2"/>
  <cols>
    <col min="1" max="1" width="60.33203125" style="37" customWidth="1"/>
    <col min="2" max="2" width="15.6640625" style="36" customWidth="1"/>
    <col min="3" max="3" width="16.33203125" style="36" customWidth="1"/>
    <col min="4" max="4" width="18" style="36" customWidth="1"/>
    <col min="5" max="5" width="16.6640625" style="36" customWidth="1"/>
    <col min="6" max="6" width="18.83203125" style="45" customWidth="1"/>
    <col min="7" max="8" width="12.83203125" style="36" customWidth="1"/>
    <col min="9" max="9" width="13.83203125" style="36" customWidth="1"/>
    <col min="10" max="16384" width="9.33203125" style="36"/>
  </cols>
  <sheetData>
    <row r="1" spans="1:7" ht="25.5" customHeight="1" x14ac:dyDescent="0.2">
      <c r="A1" s="964" t="s">
        <v>34</v>
      </c>
      <c r="B1" s="964"/>
      <c r="C1" s="964"/>
      <c r="D1" s="964"/>
      <c r="E1" s="964"/>
      <c r="F1" s="964"/>
    </row>
    <row r="2" spans="1:7" ht="22.5" customHeight="1" thickBot="1" x14ac:dyDescent="0.3">
      <c r="A2" s="92"/>
      <c r="B2" s="45"/>
      <c r="C2" s="45"/>
      <c r="D2" s="45"/>
      <c r="E2" s="45"/>
      <c r="F2" s="43" t="s">
        <v>692</v>
      </c>
    </row>
    <row r="3" spans="1:7" s="38" customFormat="1" ht="44.25" customHeight="1" thickBot="1" x14ac:dyDescent="0.25">
      <c r="A3" s="93" t="s">
        <v>93</v>
      </c>
      <c r="B3" s="94" t="s">
        <v>94</v>
      </c>
      <c r="C3" s="94" t="s">
        <v>95</v>
      </c>
      <c r="D3" s="94" t="s">
        <v>663</v>
      </c>
      <c r="E3" s="94" t="s">
        <v>661</v>
      </c>
      <c r="F3" s="44" t="s">
        <v>664</v>
      </c>
      <c r="G3" s="373"/>
    </row>
    <row r="4" spans="1:7" s="45" customFormat="1" ht="12" customHeight="1" thickBot="1" x14ac:dyDescent="0.25">
      <c r="A4" s="371">
        <v>1</v>
      </c>
      <c r="B4" s="372">
        <v>2</v>
      </c>
      <c r="C4" s="372">
        <v>3</v>
      </c>
      <c r="D4" s="372">
        <v>4</v>
      </c>
      <c r="E4" s="372">
        <v>5</v>
      </c>
      <c r="F4" s="147" t="s">
        <v>109</v>
      </c>
    </row>
    <row r="5" spans="1:7" s="650" customFormat="1" ht="15.95" customHeight="1" x14ac:dyDescent="0.2">
      <c r="A5" s="645" t="s">
        <v>679</v>
      </c>
      <c r="B5" s="646">
        <f>2176000-1668000</f>
        <v>508000</v>
      </c>
      <c r="C5" s="647" t="s">
        <v>662</v>
      </c>
      <c r="D5" s="648"/>
      <c r="E5" s="648">
        <f>2176000-1668000</f>
        <v>508000</v>
      </c>
      <c r="F5" s="649">
        <f t="shared" ref="F5:F42" si="0">B5-D5-E5</f>
        <v>0</v>
      </c>
    </row>
    <row r="6" spans="1:7" s="705" customFormat="1" ht="15.95" customHeight="1" x14ac:dyDescent="0.2">
      <c r="A6" s="882" t="s">
        <v>687</v>
      </c>
      <c r="B6" s="883">
        <v>140</v>
      </c>
      <c r="C6" s="884" t="s">
        <v>662</v>
      </c>
      <c r="D6" s="873"/>
      <c r="E6" s="873">
        <v>140</v>
      </c>
      <c r="F6" s="656">
        <f t="shared" si="0"/>
        <v>0</v>
      </c>
    </row>
    <row r="7" spans="1:7" s="650" customFormat="1" x14ac:dyDescent="0.2">
      <c r="A7" s="779" t="s">
        <v>680</v>
      </c>
      <c r="B7" s="778">
        <v>42001</v>
      </c>
      <c r="C7" s="464" t="s">
        <v>662</v>
      </c>
      <c r="D7" s="331"/>
      <c r="E7" s="331">
        <v>42001</v>
      </c>
      <c r="F7" s="656">
        <f t="shared" si="0"/>
        <v>0</v>
      </c>
    </row>
    <row r="8" spans="1:7" s="650" customFormat="1" ht="15.95" customHeight="1" x14ac:dyDescent="0.2">
      <c r="A8" s="657" t="s">
        <v>681</v>
      </c>
      <c r="B8" s="652">
        <v>13492698</v>
      </c>
      <c r="C8" s="653" t="s">
        <v>662</v>
      </c>
      <c r="D8" s="654"/>
      <c r="E8" s="654">
        <f>14492698-1000000</f>
        <v>13492698</v>
      </c>
      <c r="F8" s="655">
        <f t="shared" si="0"/>
        <v>0</v>
      </c>
    </row>
    <row r="9" spans="1:7" s="650" customFormat="1" ht="15.95" customHeight="1" x14ac:dyDescent="0.2">
      <c r="A9" s="658" t="s">
        <v>678</v>
      </c>
      <c r="B9" s="659"/>
      <c r="C9" s="653" t="s">
        <v>662</v>
      </c>
      <c r="D9" s="660"/>
      <c r="E9" s="660"/>
      <c r="F9" s="655">
        <f t="shared" si="0"/>
        <v>0</v>
      </c>
    </row>
    <row r="10" spans="1:7" s="664" customFormat="1" ht="25.5" customHeight="1" x14ac:dyDescent="0.2">
      <c r="A10" s="661" t="s">
        <v>682</v>
      </c>
      <c r="B10" s="659">
        <f>529000+180000</f>
        <v>709000</v>
      </c>
      <c r="C10" s="662" t="s">
        <v>662</v>
      </c>
      <c r="D10" s="660"/>
      <c r="E10" s="660">
        <f>529000+180000</f>
        <v>709000</v>
      </c>
      <c r="F10" s="663">
        <f t="shared" si="0"/>
        <v>0</v>
      </c>
    </row>
    <row r="11" spans="1:7" s="650" customFormat="1" ht="15.95" customHeight="1" x14ac:dyDescent="0.2">
      <c r="A11" s="665" t="s">
        <v>683</v>
      </c>
      <c r="B11" s="666">
        <v>828000</v>
      </c>
      <c r="C11" s="653" t="s">
        <v>662</v>
      </c>
      <c r="D11" s="667"/>
      <c r="E11" s="667">
        <v>828000</v>
      </c>
      <c r="F11" s="655">
        <f t="shared" si="0"/>
        <v>0</v>
      </c>
    </row>
    <row r="12" spans="1:7" s="650" customFormat="1" ht="18.75" customHeight="1" x14ac:dyDescent="0.2">
      <c r="A12" s="651" t="s">
        <v>639</v>
      </c>
      <c r="B12" s="659">
        <v>762000</v>
      </c>
      <c r="C12" s="653" t="s">
        <v>662</v>
      </c>
      <c r="D12" s="660"/>
      <c r="E12" s="660">
        <v>762000</v>
      </c>
      <c r="F12" s="655">
        <f t="shared" si="0"/>
        <v>0</v>
      </c>
    </row>
    <row r="13" spans="1:7" s="650" customFormat="1" ht="15.95" customHeight="1" x14ac:dyDescent="0.2">
      <c r="A13" s="651" t="s">
        <v>684</v>
      </c>
      <c r="B13" s="652">
        <v>375000</v>
      </c>
      <c r="C13" s="653" t="s">
        <v>662</v>
      </c>
      <c r="D13" s="668"/>
      <c r="E13" s="654">
        <v>375000</v>
      </c>
      <c r="F13" s="655">
        <f t="shared" si="0"/>
        <v>0</v>
      </c>
    </row>
    <row r="14" spans="1:7" s="650" customFormat="1" ht="15.95" customHeight="1" x14ac:dyDescent="0.2">
      <c r="A14" s="651" t="s">
        <v>685</v>
      </c>
      <c r="B14" s="652">
        <v>136000</v>
      </c>
      <c r="C14" s="653" t="s">
        <v>662</v>
      </c>
      <c r="D14" s="654"/>
      <c r="E14" s="654">
        <v>136000</v>
      </c>
      <c r="F14" s="655">
        <f t="shared" si="0"/>
        <v>0</v>
      </c>
    </row>
    <row r="15" spans="1:7" s="650" customFormat="1" ht="15.95" customHeight="1" x14ac:dyDescent="0.2">
      <c r="A15" s="651" t="s">
        <v>686</v>
      </c>
      <c r="B15" s="652">
        <v>90200</v>
      </c>
      <c r="C15" s="653" t="s">
        <v>662</v>
      </c>
      <c r="D15" s="654"/>
      <c r="E15" s="654">
        <v>90200</v>
      </c>
      <c r="F15" s="655">
        <f t="shared" si="0"/>
        <v>0</v>
      </c>
    </row>
    <row r="16" spans="1:7" s="650" customFormat="1" ht="15.95" customHeight="1" x14ac:dyDescent="0.2">
      <c r="A16" s="669" t="s">
        <v>640</v>
      </c>
      <c r="B16" s="652">
        <v>436000</v>
      </c>
      <c r="C16" s="653" t="s">
        <v>662</v>
      </c>
      <c r="D16" s="654"/>
      <c r="E16" s="654">
        <v>436000</v>
      </c>
      <c r="F16" s="655">
        <f t="shared" si="0"/>
        <v>0</v>
      </c>
    </row>
    <row r="17" spans="1:6" s="650" customFormat="1" ht="15.95" customHeight="1" x14ac:dyDescent="0.2">
      <c r="A17" s="651" t="s">
        <v>14</v>
      </c>
      <c r="B17" s="652">
        <v>6604000</v>
      </c>
      <c r="C17" s="653" t="s">
        <v>662</v>
      </c>
      <c r="D17" s="654"/>
      <c r="E17" s="654">
        <v>6604000</v>
      </c>
      <c r="F17" s="655">
        <f t="shared" si="0"/>
        <v>0</v>
      </c>
    </row>
    <row r="18" spans="1:6" s="650" customFormat="1" ht="15.95" customHeight="1" x14ac:dyDescent="0.2">
      <c r="A18" s="670" t="s">
        <v>15</v>
      </c>
      <c r="B18" s="652">
        <v>301000</v>
      </c>
      <c r="C18" s="653" t="s">
        <v>662</v>
      </c>
      <c r="D18" s="654"/>
      <c r="E18" s="654">
        <v>301000</v>
      </c>
      <c r="F18" s="655">
        <f t="shared" si="0"/>
        <v>0</v>
      </c>
    </row>
    <row r="19" spans="1:6" s="650" customFormat="1" ht="15.95" customHeight="1" x14ac:dyDescent="0.2">
      <c r="A19" s="670" t="s">
        <v>16</v>
      </c>
      <c r="B19" s="652">
        <v>0</v>
      </c>
      <c r="C19" s="653" t="s">
        <v>662</v>
      </c>
      <c r="D19" s="654"/>
      <c r="E19" s="654">
        <v>0</v>
      </c>
      <c r="F19" s="671">
        <f t="shared" si="0"/>
        <v>0</v>
      </c>
    </row>
    <row r="20" spans="1:6" s="650" customFormat="1" ht="15.75" customHeight="1" x14ac:dyDescent="0.2">
      <c r="A20" s="670" t="s">
        <v>17</v>
      </c>
      <c r="B20" s="652">
        <v>77000</v>
      </c>
      <c r="C20" s="653" t="s">
        <v>662</v>
      </c>
      <c r="D20" s="654"/>
      <c r="E20" s="654">
        <v>77000</v>
      </c>
      <c r="F20" s="655">
        <f t="shared" si="0"/>
        <v>0</v>
      </c>
    </row>
    <row r="21" spans="1:6" s="664" customFormat="1" ht="15.75" customHeight="1" x14ac:dyDescent="0.2">
      <c r="A21" s="670" t="s">
        <v>739</v>
      </c>
      <c r="B21" s="672">
        <v>349250</v>
      </c>
      <c r="C21" s="653" t="s">
        <v>662</v>
      </c>
      <c r="D21" s="654"/>
      <c r="E21" s="654">
        <v>349250</v>
      </c>
      <c r="F21" s="655">
        <f t="shared" si="0"/>
        <v>0</v>
      </c>
    </row>
    <row r="22" spans="1:6" s="650" customFormat="1" ht="15.75" customHeight="1" x14ac:dyDescent="0.2">
      <c r="A22" s="670" t="s">
        <v>730</v>
      </c>
      <c r="B22" s="672">
        <v>2160000</v>
      </c>
      <c r="C22" s="653" t="s">
        <v>662</v>
      </c>
      <c r="D22" s="654"/>
      <c r="E22" s="654">
        <v>2160000</v>
      </c>
      <c r="F22" s="655">
        <f t="shared" si="0"/>
        <v>0</v>
      </c>
    </row>
    <row r="23" spans="1:6" s="664" customFormat="1" ht="15.75" customHeight="1" x14ac:dyDescent="0.2">
      <c r="A23" s="670" t="s">
        <v>756</v>
      </c>
      <c r="B23" s="672">
        <f>4226991-2768918+1668000+2694940</f>
        <v>5821013</v>
      </c>
      <c r="C23" s="653" t="s">
        <v>662</v>
      </c>
      <c r="D23" s="654"/>
      <c r="E23" s="654">
        <f>4226991-2768918+1668000+2694940</f>
        <v>5821013</v>
      </c>
      <c r="F23" s="655">
        <f t="shared" si="0"/>
        <v>0</v>
      </c>
    </row>
    <row r="24" spans="1:6" s="650" customFormat="1" ht="15.75" customHeight="1" x14ac:dyDescent="0.2">
      <c r="A24" s="848" t="s">
        <v>731</v>
      </c>
      <c r="B24" s="849">
        <f>71809476-1889633+2959448</f>
        <v>72879291</v>
      </c>
      <c r="C24" s="850" t="s">
        <v>662</v>
      </c>
      <c r="D24" s="851"/>
      <c r="E24" s="851">
        <f>71809476-1889633+2959448</f>
        <v>72879291</v>
      </c>
      <c r="F24" s="655">
        <f t="shared" si="0"/>
        <v>0</v>
      </c>
    </row>
    <row r="25" spans="1:6" s="650" customFormat="1" ht="15.75" customHeight="1" x14ac:dyDescent="0.2">
      <c r="A25" s="670" t="s">
        <v>732</v>
      </c>
      <c r="B25" s="672">
        <v>15956160</v>
      </c>
      <c r="C25" s="653" t="s">
        <v>662</v>
      </c>
      <c r="D25" s="654"/>
      <c r="E25" s="654">
        <v>15956160</v>
      </c>
      <c r="F25" s="655">
        <f t="shared" si="0"/>
        <v>0</v>
      </c>
    </row>
    <row r="26" spans="1:6" s="664" customFormat="1" ht="15.75" customHeight="1" x14ac:dyDescent="0.2">
      <c r="A26" s="670" t="s">
        <v>740</v>
      </c>
      <c r="B26" s="672">
        <v>214128350</v>
      </c>
      <c r="C26" s="653" t="s">
        <v>662</v>
      </c>
      <c r="D26" s="654"/>
      <c r="E26" s="654">
        <v>214128350</v>
      </c>
      <c r="F26" s="655">
        <f t="shared" si="0"/>
        <v>0</v>
      </c>
    </row>
    <row r="27" spans="1:6" s="664" customFormat="1" ht="15.75" customHeight="1" x14ac:dyDescent="0.2">
      <c r="A27" s="670" t="s">
        <v>741</v>
      </c>
      <c r="B27" s="672">
        <v>800000</v>
      </c>
      <c r="C27" s="653" t="s">
        <v>662</v>
      </c>
      <c r="D27" s="654"/>
      <c r="E27" s="654">
        <v>800000</v>
      </c>
      <c r="F27" s="655">
        <f t="shared" si="0"/>
        <v>0</v>
      </c>
    </row>
    <row r="28" spans="1:6" s="664" customFormat="1" ht="15.75" customHeight="1" x14ac:dyDescent="0.2">
      <c r="A28" s="848" t="s">
        <v>757</v>
      </c>
      <c r="B28" s="853">
        <f>1653800+360045</f>
        <v>2013845</v>
      </c>
      <c r="C28" s="854" t="s">
        <v>662</v>
      </c>
      <c r="D28" s="855"/>
      <c r="E28" s="855">
        <f>1653800+360045</f>
        <v>2013845</v>
      </c>
      <c r="F28" s="673">
        <f t="shared" si="0"/>
        <v>0</v>
      </c>
    </row>
    <row r="29" spans="1:6" s="664" customFormat="1" ht="15.75" customHeight="1" x14ac:dyDescent="0.2">
      <c r="A29" s="678" t="s">
        <v>742</v>
      </c>
      <c r="B29" s="674">
        <v>370002</v>
      </c>
      <c r="C29" s="675" t="s">
        <v>662</v>
      </c>
      <c r="D29" s="676"/>
      <c r="E29" s="676">
        <v>370002</v>
      </c>
      <c r="F29" s="655">
        <f t="shared" si="0"/>
        <v>0</v>
      </c>
    </row>
    <row r="30" spans="1:6" s="664" customFormat="1" ht="15.75" customHeight="1" x14ac:dyDescent="0.2">
      <c r="A30" s="852" t="s">
        <v>787</v>
      </c>
      <c r="B30" s="853">
        <v>359410</v>
      </c>
      <c r="C30" s="854" t="s">
        <v>662</v>
      </c>
      <c r="D30" s="855"/>
      <c r="E30" s="855">
        <v>359410</v>
      </c>
      <c r="F30" s="673">
        <f t="shared" si="0"/>
        <v>0</v>
      </c>
    </row>
    <row r="31" spans="1:6" s="664" customFormat="1" ht="15.75" customHeight="1" thickBot="1" x14ac:dyDescent="0.25">
      <c r="A31" s="678" t="s">
        <v>758</v>
      </c>
      <c r="B31" s="674">
        <v>5001260</v>
      </c>
      <c r="C31" s="675" t="s">
        <v>662</v>
      </c>
      <c r="D31" s="676"/>
      <c r="E31" s="676">
        <v>5001260</v>
      </c>
      <c r="F31" s="677">
        <f t="shared" si="0"/>
        <v>0</v>
      </c>
    </row>
    <row r="32" spans="1:6" s="650" customFormat="1" ht="15.75" customHeight="1" x14ac:dyDescent="0.2">
      <c r="A32" s="679" t="s">
        <v>715</v>
      </c>
      <c r="B32" s="680"/>
      <c r="C32" s="681" t="s">
        <v>662</v>
      </c>
      <c r="D32" s="682"/>
      <c r="E32" s="682"/>
      <c r="F32" s="683">
        <f t="shared" si="0"/>
        <v>0</v>
      </c>
    </row>
    <row r="33" spans="1:6" s="650" customFormat="1" ht="15.75" customHeight="1" x14ac:dyDescent="0.2">
      <c r="A33" s="670" t="s">
        <v>716</v>
      </c>
      <c r="B33" s="672"/>
      <c r="C33" s="653" t="s">
        <v>662</v>
      </c>
      <c r="D33" s="654"/>
      <c r="E33" s="654"/>
      <c r="F33" s="684">
        <f t="shared" si="0"/>
        <v>0</v>
      </c>
    </row>
    <row r="34" spans="1:6" s="664" customFormat="1" ht="15.75" customHeight="1" x14ac:dyDescent="0.2">
      <c r="A34" s="670" t="s">
        <v>717</v>
      </c>
      <c r="B34" s="672">
        <v>490000</v>
      </c>
      <c r="C34" s="653" t="s">
        <v>662</v>
      </c>
      <c r="D34" s="654"/>
      <c r="E34" s="654">
        <v>490000</v>
      </c>
      <c r="F34" s="684">
        <f t="shared" si="0"/>
        <v>0</v>
      </c>
    </row>
    <row r="35" spans="1:6" s="650" customFormat="1" ht="15.75" customHeight="1" x14ac:dyDescent="0.2">
      <c r="A35" s="670" t="s">
        <v>718</v>
      </c>
      <c r="B35" s="672">
        <v>0</v>
      </c>
      <c r="C35" s="653" t="s">
        <v>662</v>
      </c>
      <c r="D35" s="654"/>
      <c r="E35" s="654">
        <v>0</v>
      </c>
      <c r="F35" s="684">
        <f t="shared" si="0"/>
        <v>0</v>
      </c>
    </row>
    <row r="36" spans="1:6" s="664" customFormat="1" ht="15.75" customHeight="1" x14ac:dyDescent="0.2">
      <c r="A36" s="670" t="s">
        <v>719</v>
      </c>
      <c r="B36" s="672">
        <v>98000</v>
      </c>
      <c r="C36" s="653" t="s">
        <v>662</v>
      </c>
      <c r="D36" s="654"/>
      <c r="E36" s="654">
        <v>98000</v>
      </c>
      <c r="F36" s="684">
        <f t="shared" si="0"/>
        <v>0</v>
      </c>
    </row>
    <row r="37" spans="1:6" s="650" customFormat="1" ht="15.75" customHeight="1" x14ac:dyDescent="0.2">
      <c r="A37" s="670" t="s">
        <v>720</v>
      </c>
      <c r="B37" s="672"/>
      <c r="C37" s="653" t="s">
        <v>662</v>
      </c>
      <c r="D37" s="654"/>
      <c r="E37" s="654"/>
      <c r="F37" s="684">
        <f t="shared" si="0"/>
        <v>0</v>
      </c>
    </row>
    <row r="38" spans="1:6" s="664" customFormat="1" ht="15.75" customHeight="1" x14ac:dyDescent="0.2">
      <c r="A38" s="670" t="s">
        <v>721</v>
      </c>
      <c r="B38" s="672">
        <v>279000</v>
      </c>
      <c r="C38" s="653" t="s">
        <v>662</v>
      </c>
      <c r="D38" s="654"/>
      <c r="E38" s="654">
        <v>279000</v>
      </c>
      <c r="F38" s="684">
        <f t="shared" si="0"/>
        <v>0</v>
      </c>
    </row>
    <row r="39" spans="1:6" s="650" customFormat="1" ht="15.75" customHeight="1" x14ac:dyDescent="0.2">
      <c r="A39" s="670" t="s">
        <v>722</v>
      </c>
      <c r="B39" s="672">
        <v>150000</v>
      </c>
      <c r="C39" s="653" t="s">
        <v>662</v>
      </c>
      <c r="D39" s="654"/>
      <c r="E39" s="654">
        <v>150000</v>
      </c>
      <c r="F39" s="684">
        <f t="shared" si="0"/>
        <v>0</v>
      </c>
    </row>
    <row r="40" spans="1:6" s="664" customFormat="1" ht="15.75" customHeight="1" x14ac:dyDescent="0.2">
      <c r="A40" s="670" t="s">
        <v>723</v>
      </c>
      <c r="B40" s="672">
        <v>91500</v>
      </c>
      <c r="C40" s="653" t="s">
        <v>662</v>
      </c>
      <c r="D40" s="654"/>
      <c r="E40" s="654">
        <v>91500</v>
      </c>
      <c r="F40" s="655">
        <f t="shared" si="0"/>
        <v>0</v>
      </c>
    </row>
    <row r="41" spans="1:6" s="664" customFormat="1" ht="15.75" customHeight="1" x14ac:dyDescent="0.2">
      <c r="A41" s="670" t="s">
        <v>743</v>
      </c>
      <c r="B41" s="672">
        <v>482600</v>
      </c>
      <c r="C41" s="653" t="s">
        <v>662</v>
      </c>
      <c r="D41" s="654"/>
      <c r="E41" s="654">
        <v>482600</v>
      </c>
      <c r="F41" s="655">
        <f t="shared" si="0"/>
        <v>0</v>
      </c>
    </row>
    <row r="42" spans="1:6" s="664" customFormat="1" ht="15.75" customHeight="1" thickBot="1" x14ac:dyDescent="0.25">
      <c r="A42" s="685" t="s">
        <v>744</v>
      </c>
      <c r="B42" s="686">
        <v>779800</v>
      </c>
      <c r="C42" s="687" t="s">
        <v>662</v>
      </c>
      <c r="D42" s="688"/>
      <c r="E42" s="688">
        <v>779800</v>
      </c>
      <c r="F42" s="689">
        <f t="shared" si="0"/>
        <v>0</v>
      </c>
    </row>
    <row r="43" spans="1:6" s="650" customFormat="1" ht="15.75" customHeight="1" x14ac:dyDescent="0.2">
      <c r="A43" s="690" t="s">
        <v>1</v>
      </c>
      <c r="B43" s="691"/>
      <c r="C43" s="681"/>
      <c r="D43" s="682"/>
      <c r="E43" s="682"/>
      <c r="F43" s="692"/>
    </row>
    <row r="44" spans="1:6" s="650" customFormat="1" ht="15.75" customHeight="1" x14ac:dyDescent="0.2">
      <c r="A44" s="693" t="s">
        <v>425</v>
      </c>
      <c r="B44" s="652">
        <v>880075</v>
      </c>
      <c r="C44" s="653" t="s">
        <v>662</v>
      </c>
      <c r="D44" s="654"/>
      <c r="E44" s="654">
        <v>880075</v>
      </c>
      <c r="F44" s="655"/>
    </row>
    <row r="45" spans="1:6" s="650" customFormat="1" ht="15.75" customHeight="1" x14ac:dyDescent="0.2">
      <c r="A45" s="693" t="s">
        <v>2</v>
      </c>
      <c r="B45" s="652">
        <v>555298</v>
      </c>
      <c r="C45" s="653" t="s">
        <v>662</v>
      </c>
      <c r="D45" s="654"/>
      <c r="E45" s="654">
        <v>555298</v>
      </c>
      <c r="F45" s="655"/>
    </row>
    <row r="46" spans="1:6" s="650" customFormat="1" ht="15.75" customHeight="1" x14ac:dyDescent="0.2">
      <c r="A46" s="693" t="s">
        <v>3</v>
      </c>
      <c r="B46" s="652">
        <f>2264654+11685+16200+123157</f>
        <v>2415696</v>
      </c>
      <c r="C46" s="653" t="s">
        <v>662</v>
      </c>
      <c r="D46" s="654"/>
      <c r="E46" s="654">
        <f>2264654+11685+16200+123157</f>
        <v>2415696</v>
      </c>
      <c r="F46" s="655"/>
    </row>
    <row r="47" spans="1:6" s="699" customFormat="1" ht="15.75" customHeight="1" x14ac:dyDescent="0.2">
      <c r="A47" s="694" t="s">
        <v>4</v>
      </c>
      <c r="B47" s="695">
        <v>1860454</v>
      </c>
      <c r="C47" s="696" t="s">
        <v>662</v>
      </c>
      <c r="D47" s="697"/>
      <c r="E47" s="697">
        <v>1860454</v>
      </c>
      <c r="F47" s="698"/>
    </row>
    <row r="48" spans="1:6" s="650" customFormat="1" ht="15.75" customHeight="1" x14ac:dyDescent="0.2">
      <c r="A48" s="693" t="s">
        <v>5</v>
      </c>
      <c r="B48" s="652">
        <v>1050200</v>
      </c>
      <c r="C48" s="653" t="s">
        <v>662</v>
      </c>
      <c r="D48" s="654"/>
      <c r="E48" s="654">
        <v>1050200</v>
      </c>
      <c r="F48" s="655"/>
    </row>
    <row r="49" spans="1:6" s="664" customFormat="1" ht="15.75" customHeight="1" x14ac:dyDescent="0.2">
      <c r="A49" s="693" t="s">
        <v>745</v>
      </c>
      <c r="B49" s="652">
        <v>35000</v>
      </c>
      <c r="C49" s="653" t="s">
        <v>662</v>
      </c>
      <c r="D49" s="654"/>
      <c r="E49" s="654">
        <v>35000</v>
      </c>
      <c r="F49" s="655"/>
    </row>
    <row r="50" spans="1:6" s="650" customFormat="1" ht="28.5" customHeight="1" x14ac:dyDescent="0.2">
      <c r="A50" s="700" t="s">
        <v>709</v>
      </c>
      <c r="B50" s="652">
        <v>400000</v>
      </c>
      <c r="C50" s="653" t="s">
        <v>662</v>
      </c>
      <c r="D50" s="654"/>
      <c r="E50" s="654">
        <v>400000</v>
      </c>
      <c r="F50" s="655">
        <f t="shared" ref="F50:F73" si="1">B50-D50-E50</f>
        <v>0</v>
      </c>
    </row>
    <row r="51" spans="1:6" s="701" customFormat="1" ht="27.75" customHeight="1" x14ac:dyDescent="0.2">
      <c r="A51" s="777" t="s">
        <v>774</v>
      </c>
      <c r="B51" s="778">
        <v>95000</v>
      </c>
      <c r="C51" s="464" t="s">
        <v>662</v>
      </c>
      <c r="D51" s="331"/>
      <c r="E51" s="331">
        <v>95000</v>
      </c>
      <c r="F51" s="673"/>
    </row>
    <row r="52" spans="1:6" s="650" customFormat="1" ht="16.5" customHeight="1" x14ac:dyDescent="0.2">
      <c r="A52" s="702" t="s">
        <v>710</v>
      </c>
      <c r="B52" s="666">
        <v>456000</v>
      </c>
      <c r="C52" s="653" t="s">
        <v>662</v>
      </c>
      <c r="D52" s="667"/>
      <c r="E52" s="667">
        <v>456000</v>
      </c>
      <c r="F52" s="655">
        <f t="shared" si="1"/>
        <v>0</v>
      </c>
    </row>
    <row r="53" spans="1:6" s="650" customFormat="1" ht="16.5" customHeight="1" x14ac:dyDescent="0.2">
      <c r="A53" s="702" t="s">
        <v>733</v>
      </c>
      <c r="B53" s="666">
        <v>66900</v>
      </c>
      <c r="C53" s="662" t="s">
        <v>662</v>
      </c>
      <c r="D53" s="667"/>
      <c r="E53" s="667">
        <v>66900</v>
      </c>
      <c r="F53" s="663"/>
    </row>
    <row r="54" spans="1:6" s="703" customFormat="1" ht="16.5" customHeight="1" x14ac:dyDescent="0.2">
      <c r="A54" s="775" t="s">
        <v>775</v>
      </c>
      <c r="B54" s="776">
        <v>387000</v>
      </c>
      <c r="C54" s="464" t="s">
        <v>662</v>
      </c>
      <c r="D54" s="302"/>
      <c r="E54" s="302">
        <v>387000</v>
      </c>
      <c r="F54" s="656"/>
    </row>
    <row r="55" spans="1:6" s="705" customFormat="1" ht="22.5" customHeight="1" x14ac:dyDescent="0.2">
      <c r="A55" s="856" t="s">
        <v>711</v>
      </c>
      <c r="B55" s="857">
        <v>419100</v>
      </c>
      <c r="C55" s="850" t="s">
        <v>662</v>
      </c>
      <c r="D55" s="851"/>
      <c r="E55" s="851">
        <v>419100</v>
      </c>
      <c r="F55" s="673">
        <f t="shared" si="1"/>
        <v>0</v>
      </c>
    </row>
    <row r="56" spans="1:6" s="664" customFormat="1" ht="22.5" customHeight="1" x14ac:dyDescent="0.2">
      <c r="A56" s="704" t="s">
        <v>746</v>
      </c>
      <c r="B56" s="652">
        <v>1238248</v>
      </c>
      <c r="C56" s="653" t="s">
        <v>662</v>
      </c>
      <c r="D56" s="654"/>
      <c r="E56" s="654">
        <v>1238248</v>
      </c>
      <c r="F56" s="655"/>
    </row>
    <row r="57" spans="1:6" s="664" customFormat="1" ht="22.5" customHeight="1" x14ac:dyDescent="0.2">
      <c r="A57" s="704" t="s">
        <v>747</v>
      </c>
      <c r="B57" s="652">
        <v>60000</v>
      </c>
      <c r="C57" s="653" t="s">
        <v>662</v>
      </c>
      <c r="D57" s="654"/>
      <c r="E57" s="654">
        <v>60000</v>
      </c>
      <c r="F57" s="655"/>
    </row>
    <row r="58" spans="1:6" s="705" customFormat="1" ht="22.5" customHeight="1" x14ac:dyDescent="0.2">
      <c r="A58" s="856" t="s">
        <v>759</v>
      </c>
      <c r="B58" s="857">
        <v>26240</v>
      </c>
      <c r="C58" s="850" t="s">
        <v>662</v>
      </c>
      <c r="D58" s="851"/>
      <c r="E58" s="851">
        <v>26240</v>
      </c>
      <c r="F58" s="673"/>
    </row>
    <row r="59" spans="1:6" s="705" customFormat="1" ht="22.5" customHeight="1" x14ac:dyDescent="0.2">
      <c r="A59" s="771" t="s">
        <v>776</v>
      </c>
      <c r="B59" s="772">
        <v>100000</v>
      </c>
      <c r="C59" s="773" t="s">
        <v>662</v>
      </c>
      <c r="D59" s="774"/>
      <c r="E59" s="774">
        <v>100000</v>
      </c>
      <c r="F59" s="673"/>
    </row>
    <row r="60" spans="1:6" s="705" customFormat="1" ht="22.5" customHeight="1" x14ac:dyDescent="0.2">
      <c r="A60" s="771" t="s">
        <v>759</v>
      </c>
      <c r="B60" s="772">
        <v>27000</v>
      </c>
      <c r="C60" s="773" t="s">
        <v>662</v>
      </c>
      <c r="D60" s="774"/>
      <c r="E60" s="774">
        <v>27000</v>
      </c>
      <c r="F60" s="673"/>
    </row>
    <row r="61" spans="1:6" s="705" customFormat="1" ht="22.5" customHeight="1" x14ac:dyDescent="0.2">
      <c r="A61" s="771" t="s">
        <v>777</v>
      </c>
      <c r="B61" s="772">
        <v>140433</v>
      </c>
      <c r="C61" s="773" t="s">
        <v>662</v>
      </c>
      <c r="D61" s="774"/>
      <c r="E61" s="774">
        <v>140433</v>
      </c>
      <c r="F61" s="673"/>
    </row>
    <row r="62" spans="1:6" s="650" customFormat="1" ht="21" customHeight="1" x14ac:dyDescent="0.2">
      <c r="A62" s="706" t="s">
        <v>712</v>
      </c>
      <c r="B62" s="652">
        <v>300000</v>
      </c>
      <c r="C62" s="653" t="s">
        <v>662</v>
      </c>
      <c r="D62" s="654"/>
      <c r="E62" s="654">
        <v>300000</v>
      </c>
      <c r="F62" s="655">
        <f t="shared" si="1"/>
        <v>0</v>
      </c>
    </row>
    <row r="63" spans="1:6" s="664" customFormat="1" ht="21" customHeight="1" x14ac:dyDescent="0.2">
      <c r="A63" s="706" t="s">
        <v>713</v>
      </c>
      <c r="B63" s="659">
        <f>1929960+310040</f>
        <v>2240000</v>
      </c>
      <c r="C63" s="653" t="s">
        <v>662</v>
      </c>
      <c r="D63" s="660"/>
      <c r="E63" s="660">
        <f>1929960+310040</f>
        <v>2240000</v>
      </c>
      <c r="F63" s="655">
        <f t="shared" si="1"/>
        <v>0</v>
      </c>
    </row>
    <row r="64" spans="1:6" s="664" customFormat="1" ht="21" customHeight="1" x14ac:dyDescent="0.2">
      <c r="A64" s="707" t="s">
        <v>726</v>
      </c>
      <c r="B64" s="708">
        <v>973976</v>
      </c>
      <c r="C64" s="709" t="s">
        <v>727</v>
      </c>
      <c r="D64" s="710"/>
      <c r="E64" s="710">
        <v>973976</v>
      </c>
      <c r="F64" s="684">
        <f t="shared" si="1"/>
        <v>0</v>
      </c>
    </row>
    <row r="65" spans="1:6" s="664" customFormat="1" ht="21" customHeight="1" x14ac:dyDescent="0.2">
      <c r="A65" s="707" t="s">
        <v>734</v>
      </c>
      <c r="B65" s="708">
        <v>69210</v>
      </c>
      <c r="C65" s="711" t="s">
        <v>662</v>
      </c>
      <c r="D65" s="710"/>
      <c r="E65" s="710">
        <v>69210</v>
      </c>
      <c r="F65" s="712">
        <f t="shared" si="1"/>
        <v>0</v>
      </c>
    </row>
    <row r="66" spans="1:6" s="664" customFormat="1" x14ac:dyDescent="0.2">
      <c r="A66" s="707" t="s">
        <v>748</v>
      </c>
      <c r="B66" s="708">
        <v>2665000</v>
      </c>
      <c r="C66" s="711" t="s">
        <v>662</v>
      </c>
      <c r="D66" s="710"/>
      <c r="E66" s="710">
        <v>2665000</v>
      </c>
      <c r="F66" s="712">
        <f t="shared" si="1"/>
        <v>0</v>
      </c>
    </row>
    <row r="67" spans="1:6" s="664" customFormat="1" x14ac:dyDescent="0.2">
      <c r="A67" s="707" t="s">
        <v>749</v>
      </c>
      <c r="B67" s="708">
        <v>170000</v>
      </c>
      <c r="C67" s="711" t="s">
        <v>662</v>
      </c>
      <c r="D67" s="710"/>
      <c r="E67" s="710">
        <v>170000</v>
      </c>
      <c r="F67" s="712">
        <f t="shared" si="1"/>
        <v>0</v>
      </c>
    </row>
    <row r="68" spans="1:6" s="664" customFormat="1" x14ac:dyDescent="0.2">
      <c r="A68" s="707" t="s">
        <v>760</v>
      </c>
      <c r="B68" s="708">
        <v>2430118</v>
      </c>
      <c r="C68" s="711" t="s">
        <v>662</v>
      </c>
      <c r="D68" s="710"/>
      <c r="E68" s="710">
        <v>2430118</v>
      </c>
      <c r="F68" s="712">
        <f t="shared" si="1"/>
        <v>0</v>
      </c>
    </row>
    <row r="69" spans="1:6" s="664" customFormat="1" x14ac:dyDescent="0.2">
      <c r="A69" s="707" t="s">
        <v>761</v>
      </c>
      <c r="B69" s="708">
        <v>127000</v>
      </c>
      <c r="C69" s="711" t="s">
        <v>662</v>
      </c>
      <c r="D69" s="710"/>
      <c r="E69" s="710">
        <v>127000</v>
      </c>
      <c r="F69" s="712">
        <f t="shared" si="1"/>
        <v>0</v>
      </c>
    </row>
    <row r="70" spans="1:6" s="705" customFormat="1" ht="25.5" x14ac:dyDescent="0.2">
      <c r="A70" s="758" t="s">
        <v>778</v>
      </c>
      <c r="B70" s="759">
        <v>800000</v>
      </c>
      <c r="C70" s="760" t="s">
        <v>662</v>
      </c>
      <c r="D70" s="761"/>
      <c r="E70" s="761">
        <v>800000</v>
      </c>
      <c r="F70" s="713">
        <f t="shared" si="1"/>
        <v>0</v>
      </c>
    </row>
    <row r="71" spans="1:6" s="650" customFormat="1" ht="21" customHeight="1" x14ac:dyDescent="0.2">
      <c r="A71" s="758" t="s">
        <v>714</v>
      </c>
      <c r="B71" s="759">
        <v>350000</v>
      </c>
      <c r="C71" s="762" t="s">
        <v>662</v>
      </c>
      <c r="D71" s="761"/>
      <c r="E71" s="761">
        <v>350000</v>
      </c>
      <c r="F71" s="684">
        <f t="shared" si="1"/>
        <v>0</v>
      </c>
    </row>
    <row r="72" spans="1:6" s="650" customFormat="1" ht="21" customHeight="1" thickBot="1" x14ac:dyDescent="0.25">
      <c r="A72" s="758" t="s">
        <v>728</v>
      </c>
      <c r="B72" s="763">
        <v>90000</v>
      </c>
      <c r="C72" s="764" t="s">
        <v>662</v>
      </c>
      <c r="D72" s="765"/>
      <c r="E72" s="765">
        <v>90000</v>
      </c>
      <c r="F72" s="714">
        <f t="shared" si="1"/>
        <v>0</v>
      </c>
    </row>
    <row r="73" spans="1:6" s="650" customFormat="1" ht="21" customHeight="1" x14ac:dyDescent="0.2">
      <c r="A73" s="766" t="s">
        <v>779</v>
      </c>
      <c r="B73" s="767">
        <v>284990</v>
      </c>
      <c r="C73" s="768" t="s">
        <v>662</v>
      </c>
      <c r="D73" s="769"/>
      <c r="E73" s="770">
        <v>284990</v>
      </c>
      <c r="F73" s="715">
        <f t="shared" si="1"/>
        <v>0</v>
      </c>
    </row>
    <row r="74" spans="1:6" s="650" customFormat="1" ht="21" customHeight="1" thickBot="1" x14ac:dyDescent="0.25">
      <c r="A74" s="865" t="s">
        <v>725</v>
      </c>
      <c r="B74" s="858">
        <v>0</v>
      </c>
      <c r="C74" s="859" t="s">
        <v>662</v>
      </c>
      <c r="D74" s="860"/>
      <c r="E74" s="861">
        <v>0</v>
      </c>
      <c r="F74" s="862"/>
    </row>
    <row r="75" spans="1:6" s="705" customFormat="1" ht="19.5" customHeight="1" x14ac:dyDescent="0.2">
      <c r="A75" s="867" t="s">
        <v>788</v>
      </c>
      <c r="B75" s="868">
        <v>14500</v>
      </c>
      <c r="C75" s="869" t="s">
        <v>662</v>
      </c>
      <c r="D75" s="870"/>
      <c r="E75" s="870">
        <v>14500</v>
      </c>
      <c r="F75" s="863"/>
    </row>
    <row r="76" spans="1:6" s="705" customFormat="1" ht="19.5" customHeight="1" x14ac:dyDescent="0.2">
      <c r="A76" s="871" t="s">
        <v>789</v>
      </c>
      <c r="B76" s="872">
        <v>488500</v>
      </c>
      <c r="C76" s="850" t="s">
        <v>662</v>
      </c>
      <c r="D76" s="873"/>
      <c r="E76" s="873">
        <v>488500</v>
      </c>
      <c r="F76" s="673"/>
    </row>
    <row r="77" spans="1:6" s="705" customFormat="1" ht="19.5" customHeight="1" x14ac:dyDescent="0.2">
      <c r="A77" s="871" t="s">
        <v>790</v>
      </c>
      <c r="B77" s="872">
        <v>29000</v>
      </c>
      <c r="C77" s="850" t="s">
        <v>662</v>
      </c>
      <c r="D77" s="873"/>
      <c r="E77" s="873">
        <v>29000</v>
      </c>
      <c r="F77" s="673"/>
    </row>
    <row r="78" spans="1:6" s="705" customFormat="1" ht="19.5" customHeight="1" x14ac:dyDescent="0.2">
      <c r="A78" s="871" t="s">
        <v>791</v>
      </c>
      <c r="B78" s="872">
        <v>14500</v>
      </c>
      <c r="C78" s="850" t="s">
        <v>662</v>
      </c>
      <c r="D78" s="873"/>
      <c r="E78" s="873">
        <v>14500</v>
      </c>
      <c r="F78" s="673"/>
    </row>
    <row r="79" spans="1:6" s="705" customFormat="1" ht="19.5" customHeight="1" x14ac:dyDescent="0.2">
      <c r="A79" s="874" t="s">
        <v>792</v>
      </c>
      <c r="B79" s="875">
        <v>14500</v>
      </c>
      <c r="C79" s="876" t="s">
        <v>662</v>
      </c>
      <c r="D79" s="877"/>
      <c r="E79" s="877">
        <v>14500</v>
      </c>
      <c r="F79" s="866"/>
    </row>
    <row r="80" spans="1:6" s="705" customFormat="1" ht="19.5" customHeight="1" thickBot="1" x14ac:dyDescent="0.25">
      <c r="A80" s="878" t="s">
        <v>793</v>
      </c>
      <c r="B80" s="879">
        <v>200000</v>
      </c>
      <c r="C80" s="880" t="s">
        <v>662</v>
      </c>
      <c r="D80" s="881"/>
      <c r="E80" s="881">
        <v>200000</v>
      </c>
      <c r="F80" s="864"/>
    </row>
    <row r="81" spans="1:6" s="47" customFormat="1" ht="18" customHeight="1" thickBot="1" x14ac:dyDescent="0.25">
      <c r="A81" s="95" t="s">
        <v>92</v>
      </c>
      <c r="B81" s="627">
        <f>SUM(B5:B46,B48:B80)</f>
        <v>366184004</v>
      </c>
      <c r="C81" s="398"/>
      <c r="D81" s="397">
        <f>SUM(D5:D80)</f>
        <v>0</v>
      </c>
      <c r="E81" s="397">
        <f>SUM(E5:E46,E48:E80)</f>
        <v>366184004</v>
      </c>
      <c r="F81" s="399">
        <f>SUM(F5:F52)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47" orientation="portrait" verticalDpi="300" r:id="rId1"/>
  <headerFooter alignWithMargins="0">
    <oddHeader>&amp;R&amp;"Times New Roman CE,Félkövér dőlt"&amp;11  7. melléklet a 30/2017.(XI.30.)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51"/>
  <sheetViews>
    <sheetView view="pageLayout" zoomScaleNormal="100" zoomScaleSheetLayoutView="85" workbookViewId="0">
      <selection activeCell="C38" sqref="C38"/>
    </sheetView>
  </sheetViews>
  <sheetFormatPr defaultRowHeight="12.75" x14ac:dyDescent="0.2"/>
  <cols>
    <col min="1" max="1" width="38.6640625" style="40" customWidth="1"/>
    <col min="2" max="5" width="13.83203125" style="40" customWidth="1"/>
    <col min="6" max="16384" width="9.33203125" style="40"/>
  </cols>
  <sheetData>
    <row r="1" spans="1:5" x14ac:dyDescent="0.2">
      <c r="A1" s="104"/>
      <c r="B1" s="104"/>
      <c r="C1" s="104"/>
      <c r="D1" s="104"/>
      <c r="E1" s="104"/>
    </row>
    <row r="2" spans="1:5" ht="34.5" customHeight="1" x14ac:dyDescent="0.25">
      <c r="A2" s="985" t="s">
        <v>724</v>
      </c>
      <c r="B2" s="985"/>
      <c r="C2" s="985"/>
      <c r="D2" s="985"/>
      <c r="E2" s="985"/>
    </row>
    <row r="3" spans="1:5" ht="14.25" thickBot="1" x14ac:dyDescent="0.3">
      <c r="A3" s="104"/>
      <c r="B3" s="104"/>
      <c r="C3" s="104"/>
      <c r="D3" s="986" t="s">
        <v>702</v>
      </c>
      <c r="E3" s="986"/>
    </row>
    <row r="4" spans="1:5" ht="15" customHeight="1" thickBot="1" x14ac:dyDescent="0.25">
      <c r="A4" s="105" t="s">
        <v>149</v>
      </c>
      <c r="B4" s="106" t="s">
        <v>706</v>
      </c>
      <c r="C4" s="106">
        <v>2017</v>
      </c>
      <c r="D4" s="106" t="s">
        <v>707</v>
      </c>
      <c r="E4" s="107" t="s">
        <v>78</v>
      </c>
    </row>
    <row r="5" spans="1:5" x14ac:dyDescent="0.2">
      <c r="A5" s="108" t="s">
        <v>150</v>
      </c>
      <c r="B5" s="56"/>
      <c r="C5" s="56"/>
      <c r="D5" s="56"/>
      <c r="E5" s="109">
        <f t="shared" ref="E5:E11" si="0">SUM(B5:D5)</f>
        <v>0</v>
      </c>
    </row>
    <row r="6" spans="1:5" x14ac:dyDescent="0.2">
      <c r="A6" s="110" t="s">
        <v>162</v>
      </c>
      <c r="B6" s="57"/>
      <c r="C6" s="57"/>
      <c r="D6" s="57"/>
      <c r="E6" s="111">
        <f t="shared" si="0"/>
        <v>0</v>
      </c>
    </row>
    <row r="7" spans="1:5" x14ac:dyDescent="0.2">
      <c r="A7" s="112" t="s">
        <v>151</v>
      </c>
      <c r="B7" s="58">
        <v>71149405</v>
      </c>
      <c r="C7" s="58">
        <v>3797300</v>
      </c>
      <c r="D7" s="58"/>
      <c r="E7" s="113">
        <f t="shared" si="0"/>
        <v>74946705</v>
      </c>
    </row>
    <row r="8" spans="1:5" x14ac:dyDescent="0.2">
      <c r="A8" s="112" t="s">
        <v>163</v>
      </c>
      <c r="B8" s="58"/>
      <c r="C8" s="58"/>
      <c r="D8" s="58"/>
      <c r="E8" s="113">
        <f t="shared" si="0"/>
        <v>0</v>
      </c>
    </row>
    <row r="9" spans="1:5" x14ac:dyDescent="0.2">
      <c r="A9" s="112" t="s">
        <v>152</v>
      </c>
      <c r="B9" s="58"/>
      <c r="C9" s="58"/>
      <c r="D9" s="58"/>
      <c r="E9" s="113">
        <f t="shared" si="0"/>
        <v>0</v>
      </c>
    </row>
    <row r="10" spans="1:5" x14ac:dyDescent="0.2">
      <c r="A10" s="112" t="s">
        <v>153</v>
      </c>
      <c r="B10" s="58"/>
      <c r="C10" s="58"/>
      <c r="D10" s="58"/>
      <c r="E10" s="113">
        <f t="shared" si="0"/>
        <v>0</v>
      </c>
    </row>
    <row r="11" spans="1:5" ht="13.5" thickBot="1" x14ac:dyDescent="0.25">
      <c r="A11" s="59"/>
      <c r="B11" s="60"/>
      <c r="C11" s="60"/>
      <c r="D11" s="60"/>
      <c r="E11" s="113">
        <f t="shared" si="0"/>
        <v>0</v>
      </c>
    </row>
    <row r="12" spans="1:5" ht="13.5" thickBot="1" x14ac:dyDescent="0.25">
      <c r="A12" s="114" t="s">
        <v>155</v>
      </c>
      <c r="B12" s="115">
        <f>B5+SUM(B7:B11)</f>
        <v>71149405</v>
      </c>
      <c r="C12" s="115">
        <f>C5+SUM(C7:C11)</f>
        <v>3797300</v>
      </c>
      <c r="D12" s="115">
        <f>D5+SUM(D7:D11)</f>
        <v>0</v>
      </c>
      <c r="E12" s="116">
        <f>E5+SUM(E7:E11)</f>
        <v>74946705</v>
      </c>
    </row>
    <row r="13" spans="1:5" ht="13.5" thickBot="1" x14ac:dyDescent="0.25">
      <c r="A13" s="42"/>
      <c r="B13" s="42"/>
      <c r="C13" s="42"/>
      <c r="D13" s="42"/>
      <c r="E13" s="42"/>
    </row>
    <row r="14" spans="1:5" ht="15" customHeight="1" thickBot="1" x14ac:dyDescent="0.25">
      <c r="A14" s="105" t="s">
        <v>154</v>
      </c>
      <c r="B14" s="106" t="s">
        <v>706</v>
      </c>
      <c r="C14" s="106">
        <v>2017</v>
      </c>
      <c r="D14" s="106" t="s">
        <v>707</v>
      </c>
      <c r="E14" s="107" t="s">
        <v>78</v>
      </c>
    </row>
    <row r="15" spans="1:5" x14ac:dyDescent="0.2">
      <c r="A15" s="108" t="s">
        <v>158</v>
      </c>
      <c r="B15" s="56"/>
      <c r="C15" s="56"/>
      <c r="D15" s="56"/>
      <c r="E15" s="109">
        <f t="shared" ref="E15:E21" si="1">SUM(B15:D15)</f>
        <v>0</v>
      </c>
    </row>
    <row r="16" spans="1:5" x14ac:dyDescent="0.2">
      <c r="A16" s="117" t="s">
        <v>159</v>
      </c>
      <c r="B16" s="58"/>
      <c r="C16" s="58">
        <v>67832698</v>
      </c>
      <c r="D16" s="58"/>
      <c r="E16" s="113">
        <f t="shared" si="1"/>
        <v>67832698</v>
      </c>
    </row>
    <row r="17" spans="1:5" x14ac:dyDescent="0.2">
      <c r="A17" s="112" t="s">
        <v>160</v>
      </c>
      <c r="B17" s="58">
        <v>449720</v>
      </c>
      <c r="C17" s="58">
        <v>2866987</v>
      </c>
      <c r="D17" s="58"/>
      <c r="E17" s="113">
        <f t="shared" si="1"/>
        <v>3316707</v>
      </c>
    </row>
    <row r="18" spans="1:5" x14ac:dyDescent="0.2">
      <c r="A18" s="112" t="s">
        <v>161</v>
      </c>
      <c r="B18" s="58"/>
      <c r="C18" s="58"/>
      <c r="D18" s="58"/>
      <c r="E18" s="113">
        <f t="shared" si="1"/>
        <v>0</v>
      </c>
    </row>
    <row r="19" spans="1:5" x14ac:dyDescent="0.2">
      <c r="A19" s="61" t="s">
        <v>708</v>
      </c>
      <c r="B19" s="58"/>
      <c r="C19" s="58">
        <v>3797300</v>
      </c>
      <c r="D19" s="58"/>
      <c r="E19" s="113">
        <f t="shared" si="1"/>
        <v>3797300</v>
      </c>
    </row>
    <row r="20" spans="1:5" x14ac:dyDescent="0.2">
      <c r="A20" s="61"/>
      <c r="B20" s="58"/>
      <c r="C20" s="58"/>
      <c r="D20" s="58"/>
      <c r="E20" s="113">
        <f t="shared" si="1"/>
        <v>0</v>
      </c>
    </row>
    <row r="21" spans="1:5" ht="13.5" thickBot="1" x14ac:dyDescent="0.25">
      <c r="A21" s="59"/>
      <c r="B21" s="60"/>
      <c r="C21" s="60"/>
      <c r="D21" s="60"/>
      <c r="E21" s="113">
        <f t="shared" si="1"/>
        <v>0</v>
      </c>
    </row>
    <row r="22" spans="1:5" ht="13.5" thickBot="1" x14ac:dyDescent="0.25">
      <c r="A22" s="114" t="s">
        <v>80</v>
      </c>
      <c r="B22" s="115">
        <f>SUM(B15:B21)</f>
        <v>449720</v>
      </c>
      <c r="C22" s="115">
        <f>SUM(C15:C21)</f>
        <v>74496985</v>
      </c>
      <c r="D22" s="115">
        <f>SUM(D15:D21)</f>
        <v>0</v>
      </c>
      <c r="E22" s="116">
        <f>SUM(E15:E21)</f>
        <v>74946705</v>
      </c>
    </row>
    <row r="23" spans="1:5" x14ac:dyDescent="0.2">
      <c r="A23" s="104"/>
      <c r="B23" s="104"/>
      <c r="C23" s="104"/>
      <c r="D23" s="104"/>
      <c r="E23" s="104"/>
    </row>
    <row r="24" spans="1:5" ht="34.5" customHeight="1" x14ac:dyDescent="0.25">
      <c r="A24" s="985" t="s">
        <v>735</v>
      </c>
      <c r="B24" s="985"/>
      <c r="C24" s="985"/>
      <c r="D24" s="985"/>
      <c r="E24" s="985"/>
    </row>
    <row r="25" spans="1:5" ht="14.25" thickBot="1" x14ac:dyDescent="0.3">
      <c r="A25" s="104"/>
      <c r="B25" s="104"/>
      <c r="C25" s="104"/>
      <c r="D25" s="986" t="s">
        <v>702</v>
      </c>
      <c r="E25" s="986"/>
    </row>
    <row r="26" spans="1:5" ht="13.5" thickBot="1" x14ac:dyDescent="0.25">
      <c r="A26" s="105" t="s">
        <v>149</v>
      </c>
      <c r="B26" s="106" t="s">
        <v>706</v>
      </c>
      <c r="C26" s="106">
        <v>2017</v>
      </c>
      <c r="D26" s="106" t="s">
        <v>707</v>
      </c>
      <c r="E26" s="107" t="s">
        <v>78</v>
      </c>
    </row>
    <row r="27" spans="1:5" x14ac:dyDescent="0.2">
      <c r="A27" s="108" t="s">
        <v>150</v>
      </c>
      <c r="B27" s="56"/>
      <c r="C27" s="56"/>
      <c r="D27" s="56"/>
      <c r="E27" s="109">
        <f t="shared" ref="E27:E33" si="2">SUM(B27:D27)</f>
        <v>0</v>
      </c>
    </row>
    <row r="28" spans="1:5" x14ac:dyDescent="0.2">
      <c r="A28" s="110" t="s">
        <v>162</v>
      </c>
      <c r="B28" s="57"/>
      <c r="C28" s="57"/>
      <c r="D28" s="57"/>
      <c r="E28" s="111">
        <f t="shared" si="2"/>
        <v>0</v>
      </c>
    </row>
    <row r="29" spans="1:5" x14ac:dyDescent="0.2">
      <c r="A29" s="112" t="s">
        <v>151</v>
      </c>
      <c r="B29" s="58"/>
      <c r="C29" s="58">
        <v>75588869</v>
      </c>
      <c r="D29" s="58"/>
      <c r="E29" s="113">
        <f t="shared" si="2"/>
        <v>75588869</v>
      </c>
    </row>
    <row r="30" spans="1:5" x14ac:dyDescent="0.2">
      <c r="A30" s="112" t="s">
        <v>163</v>
      </c>
      <c r="B30" s="58"/>
      <c r="C30" s="58"/>
      <c r="D30" s="58"/>
      <c r="E30" s="113">
        <f t="shared" si="2"/>
        <v>0</v>
      </c>
    </row>
    <row r="31" spans="1:5" x14ac:dyDescent="0.2">
      <c r="A31" s="112" t="s">
        <v>152</v>
      </c>
      <c r="B31" s="300"/>
      <c r="C31" s="58"/>
      <c r="D31" s="58"/>
      <c r="E31" s="113">
        <f t="shared" si="2"/>
        <v>0</v>
      </c>
    </row>
    <row r="32" spans="1:5" x14ac:dyDescent="0.2">
      <c r="A32" s="112" t="s">
        <v>153</v>
      </c>
      <c r="B32" s="58"/>
      <c r="C32" s="58"/>
      <c r="D32" s="58"/>
      <c r="E32" s="113">
        <f t="shared" si="2"/>
        <v>0</v>
      </c>
    </row>
    <row r="33" spans="1:8" ht="13.5" thickBot="1" x14ac:dyDescent="0.25">
      <c r="A33" s="59"/>
      <c r="B33" s="60"/>
      <c r="C33" s="60"/>
      <c r="D33" s="60"/>
      <c r="E33" s="113">
        <f t="shared" si="2"/>
        <v>0</v>
      </c>
    </row>
    <row r="34" spans="1:8" ht="13.5" thickBot="1" x14ac:dyDescent="0.25">
      <c r="A34" s="114" t="s">
        <v>155</v>
      </c>
      <c r="B34" s="115">
        <f>B27+SUM(B29:B33)</f>
        <v>0</v>
      </c>
      <c r="C34" s="115">
        <f>C27+SUM(C29:C33)</f>
        <v>75588869</v>
      </c>
      <c r="D34" s="115">
        <f>D27+SUM(D29:D33)</f>
        <v>0</v>
      </c>
      <c r="E34" s="116">
        <f>E27+SUM(E29:E33)</f>
        <v>75588869</v>
      </c>
    </row>
    <row r="35" spans="1:8" ht="13.5" thickBot="1" x14ac:dyDescent="0.25">
      <c r="A35" s="42"/>
      <c r="B35" s="42"/>
      <c r="C35" s="42"/>
      <c r="D35" s="42"/>
      <c r="E35" s="42"/>
    </row>
    <row r="36" spans="1:8" ht="13.5" thickBot="1" x14ac:dyDescent="0.25">
      <c r="A36" s="105" t="s">
        <v>154</v>
      </c>
      <c r="B36" s="106" t="s">
        <v>706</v>
      </c>
      <c r="C36" s="106">
        <v>2017</v>
      </c>
      <c r="D36" s="106" t="s">
        <v>707</v>
      </c>
      <c r="E36" s="107" t="s">
        <v>78</v>
      </c>
    </row>
    <row r="37" spans="1:8" x14ac:dyDescent="0.2">
      <c r="A37" s="108" t="s">
        <v>158</v>
      </c>
      <c r="B37" s="56"/>
      <c r="C37" s="56">
        <v>1889663</v>
      </c>
      <c r="D37" s="56"/>
      <c r="E37" s="109">
        <f t="shared" ref="E37:E43" si="3">SUM(B37:D37)</f>
        <v>1889663</v>
      </c>
    </row>
    <row r="38" spans="1:8" x14ac:dyDescent="0.2">
      <c r="A38" s="886" t="s">
        <v>159</v>
      </c>
      <c r="B38" s="465"/>
      <c r="C38" s="465">
        <f>71809476-1889633+2959448</f>
        <v>72879291</v>
      </c>
      <c r="D38" s="465"/>
      <c r="E38" s="466">
        <f t="shared" si="3"/>
        <v>72879291</v>
      </c>
    </row>
    <row r="39" spans="1:8" x14ac:dyDescent="0.2">
      <c r="A39" s="112" t="s">
        <v>160</v>
      </c>
      <c r="B39" s="58"/>
      <c r="C39" s="300"/>
      <c r="D39" s="300"/>
      <c r="E39" s="301">
        <f t="shared" si="3"/>
        <v>0</v>
      </c>
    </row>
    <row r="40" spans="1:8" x14ac:dyDescent="0.2">
      <c r="A40" s="112" t="s">
        <v>161</v>
      </c>
      <c r="B40" s="58"/>
      <c r="C40" s="58"/>
      <c r="D40" s="58"/>
      <c r="E40" s="113">
        <f t="shared" si="3"/>
        <v>0</v>
      </c>
    </row>
    <row r="41" spans="1:8" x14ac:dyDescent="0.2">
      <c r="A41" s="61" t="s">
        <v>708</v>
      </c>
      <c r="B41" s="300"/>
      <c r="C41" s="58">
        <v>3779393</v>
      </c>
      <c r="D41" s="58"/>
      <c r="E41" s="113">
        <f t="shared" si="3"/>
        <v>3779393</v>
      </c>
    </row>
    <row r="42" spans="1:8" x14ac:dyDescent="0.2">
      <c r="A42" s="61"/>
      <c r="B42" s="58"/>
      <c r="C42" s="58"/>
      <c r="D42" s="58"/>
      <c r="E42" s="113">
        <f t="shared" si="3"/>
        <v>0</v>
      </c>
    </row>
    <row r="43" spans="1:8" ht="13.5" thickBot="1" x14ac:dyDescent="0.25">
      <c r="A43" s="59"/>
      <c r="B43" s="60"/>
      <c r="C43" s="60"/>
      <c r="D43" s="60"/>
      <c r="E43" s="113">
        <f t="shared" si="3"/>
        <v>0</v>
      </c>
    </row>
    <row r="44" spans="1:8" ht="13.5" thickBot="1" x14ac:dyDescent="0.25">
      <c r="A44" s="885" t="s">
        <v>80</v>
      </c>
      <c r="B44" s="887">
        <f>SUM(B37:B43)</f>
        <v>0</v>
      </c>
      <c r="C44" s="887">
        <f>SUM(C37:C43)</f>
        <v>78548347</v>
      </c>
      <c r="D44" s="887">
        <f>SUM(D37:D43)</f>
        <v>0</v>
      </c>
      <c r="E44" s="888">
        <f>SUM(E37:E43)</f>
        <v>78548347</v>
      </c>
    </row>
    <row r="45" spans="1:8" x14ac:dyDescent="0.2">
      <c r="A45" s="104"/>
      <c r="B45" s="104"/>
      <c r="C45" s="104"/>
      <c r="D45" s="104"/>
      <c r="E45" s="104"/>
    </row>
    <row r="46" spans="1:8" ht="15.75" x14ac:dyDescent="0.2">
      <c r="A46" s="987" t="s">
        <v>665</v>
      </c>
      <c r="B46" s="987"/>
      <c r="C46" s="987"/>
      <c r="D46" s="987"/>
      <c r="E46" s="987"/>
    </row>
    <row r="47" spans="1:8" ht="13.5" thickBot="1" x14ac:dyDescent="0.25">
      <c r="A47" s="104"/>
      <c r="B47" s="104"/>
      <c r="C47" s="104"/>
      <c r="D47" s="104"/>
      <c r="E47" s="104"/>
    </row>
    <row r="48" spans="1:8" ht="13.5" thickBot="1" x14ac:dyDescent="0.25">
      <c r="A48" s="980" t="s">
        <v>156</v>
      </c>
      <c r="B48" s="981"/>
      <c r="C48" s="982"/>
      <c r="D48" s="983" t="s">
        <v>703</v>
      </c>
      <c r="E48" s="984"/>
      <c r="H48" s="41"/>
    </row>
    <row r="49" spans="1:5" x14ac:dyDescent="0.2">
      <c r="A49" s="965"/>
      <c r="B49" s="966"/>
      <c r="C49" s="967"/>
      <c r="D49" s="968"/>
      <c r="E49" s="969"/>
    </row>
    <row r="50" spans="1:5" ht="13.5" thickBot="1" x14ac:dyDescent="0.25">
      <c r="A50" s="970"/>
      <c r="B50" s="971"/>
      <c r="C50" s="972"/>
      <c r="D50" s="973"/>
      <c r="E50" s="974"/>
    </row>
    <row r="51" spans="1:5" ht="13.5" thickBot="1" x14ac:dyDescent="0.25">
      <c r="A51" s="975" t="s">
        <v>80</v>
      </c>
      <c r="B51" s="976"/>
      <c r="C51" s="977"/>
      <c r="D51" s="978">
        <f>SUM(D49:E50)</f>
        <v>0</v>
      </c>
      <c r="E51" s="979"/>
    </row>
  </sheetData>
  <mergeCells count="13">
    <mergeCell ref="A48:C48"/>
    <mergeCell ref="D48:E48"/>
    <mergeCell ref="A2:E2"/>
    <mergeCell ref="D3:E3"/>
    <mergeCell ref="A24:E24"/>
    <mergeCell ref="D25:E25"/>
    <mergeCell ref="A46:E46"/>
    <mergeCell ref="A49:C49"/>
    <mergeCell ref="D49:E49"/>
    <mergeCell ref="A50:C50"/>
    <mergeCell ref="D50:E50"/>
    <mergeCell ref="A51:C51"/>
    <mergeCell ref="D51:E51"/>
  </mergeCells>
  <conditionalFormatting sqref="E27:E34 B34:D34 E37:E44 B44:D44 D51:E51 E5:E12 B12:D12 B22:E22 E15:E2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3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 30/2017.(XI.30.)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Layout" topLeftCell="A34" zoomScaleNormal="115" zoomScaleSheetLayoutView="85" workbookViewId="0">
      <selection activeCell="I68" sqref="I68"/>
    </sheetView>
  </sheetViews>
  <sheetFormatPr defaultRowHeight="12.75" x14ac:dyDescent="0.2"/>
  <cols>
    <col min="1" max="1" width="19.5" style="432" customWidth="1"/>
    <col min="2" max="2" width="72" style="433" customWidth="1"/>
    <col min="3" max="3" width="25" style="434" customWidth="1"/>
    <col min="4" max="4" width="14.1640625" style="1037" hidden="1" customWidth="1"/>
    <col min="5" max="5" width="14.6640625" style="1037" hidden="1" customWidth="1"/>
    <col min="6" max="6" width="16.6640625" style="1026" hidden="1" customWidth="1"/>
    <col min="7" max="7" width="9.33203125" style="1026" hidden="1" customWidth="1"/>
    <col min="8" max="8" width="9.33203125" style="1037" hidden="1" customWidth="1"/>
    <col min="9" max="16384" width="9.33203125" style="2"/>
  </cols>
  <sheetData>
    <row r="1" spans="1:8" s="1" customFormat="1" ht="16.5" customHeight="1" thickBot="1" x14ac:dyDescent="0.25">
      <c r="A1" s="118"/>
      <c r="B1" s="120"/>
      <c r="C1" s="143"/>
      <c r="D1" s="1037"/>
      <c r="E1" s="1037"/>
      <c r="F1" s="1026"/>
      <c r="G1" s="1026"/>
      <c r="H1" s="1037"/>
    </row>
    <row r="2" spans="1:8" s="62" customFormat="1" ht="21" customHeight="1" x14ac:dyDescent="0.2">
      <c r="A2" s="236" t="s">
        <v>90</v>
      </c>
      <c r="B2" s="209" t="s">
        <v>204</v>
      </c>
      <c r="C2" s="211" t="s">
        <v>81</v>
      </c>
      <c r="D2" s="1038"/>
      <c r="E2" s="1039"/>
      <c r="F2" s="1027"/>
      <c r="G2" s="1027"/>
      <c r="H2" s="1039"/>
    </row>
    <row r="3" spans="1:8" s="62" customFormat="1" ht="16.5" thickBot="1" x14ac:dyDescent="0.25">
      <c r="A3" s="121" t="s">
        <v>200</v>
      </c>
      <c r="B3" s="210" t="s">
        <v>381</v>
      </c>
      <c r="C3" s="317" t="s">
        <v>81</v>
      </c>
      <c r="D3" s="1039"/>
      <c r="E3" s="1039"/>
      <c r="F3" s="1027"/>
      <c r="G3" s="1027"/>
      <c r="H3" s="1039"/>
    </row>
    <row r="4" spans="1:8" s="63" customFormat="1" ht="15.95" customHeight="1" thickBot="1" x14ac:dyDescent="0.3">
      <c r="A4" s="122"/>
      <c r="B4" s="122"/>
      <c r="C4" s="123" t="s">
        <v>676</v>
      </c>
      <c r="D4" s="1039"/>
      <c r="E4" s="1039"/>
      <c r="F4" s="1027"/>
      <c r="G4" s="1027"/>
      <c r="H4" s="1039"/>
    </row>
    <row r="5" spans="1:8" ht="13.5" thickBot="1" x14ac:dyDescent="0.25">
      <c r="A5" s="237" t="s">
        <v>202</v>
      </c>
      <c r="B5" s="124" t="s">
        <v>82</v>
      </c>
      <c r="C5" s="212" t="s">
        <v>83</v>
      </c>
    </row>
    <row r="6" spans="1:8" s="48" customFormat="1" ht="12.95" customHeight="1" thickBot="1" x14ac:dyDescent="0.25">
      <c r="A6" s="96" t="s">
        <v>524</v>
      </c>
      <c r="B6" s="97" t="s">
        <v>525</v>
      </c>
      <c r="C6" s="98" t="s">
        <v>526</v>
      </c>
      <c r="D6" s="1036"/>
      <c r="E6" s="1036"/>
      <c r="F6" s="1026"/>
      <c r="G6" s="1026"/>
      <c r="H6" s="1036"/>
    </row>
    <row r="7" spans="1:8" s="48" customFormat="1" ht="15.95" customHeight="1" thickBot="1" x14ac:dyDescent="0.25">
      <c r="A7" s="126"/>
      <c r="B7" s="127" t="s">
        <v>84</v>
      </c>
      <c r="C7" s="213"/>
      <c r="D7" s="1036"/>
      <c r="E7" s="1036"/>
      <c r="F7" s="1026"/>
      <c r="G7" s="1026"/>
      <c r="H7" s="1036"/>
    </row>
    <row r="8" spans="1:8" s="48" customFormat="1" ht="12" customHeight="1" thickBot="1" x14ac:dyDescent="0.25">
      <c r="A8" s="31" t="s">
        <v>45</v>
      </c>
      <c r="B8" s="20" t="s">
        <v>228</v>
      </c>
      <c r="C8" s="158">
        <f>+C9+C10+C11+C12+C13+C14</f>
        <v>1214566895</v>
      </c>
      <c r="D8" s="1036">
        <f>'9.1.1. sz. mell. '!C8+'9.1.2. sz. mell.'!C8</f>
        <v>1214566895</v>
      </c>
      <c r="E8" s="1036">
        <f>'9.1.1. sz. mell. '!C8+'9.1.2. sz. mell.'!C8</f>
        <v>1214566895</v>
      </c>
      <c r="F8" s="1028">
        <f>'9.1.1. sz. mell. '!C8+'9.1.2. sz. mell.'!C8</f>
        <v>1214566895</v>
      </c>
      <c r="G8" s="1028">
        <f>C8-F8</f>
        <v>0</v>
      </c>
      <c r="H8" s="1036">
        <f>C8-D8</f>
        <v>0</v>
      </c>
    </row>
    <row r="9" spans="1:8" s="64" customFormat="1" ht="12" customHeight="1" x14ac:dyDescent="0.2">
      <c r="A9" s="260" t="s">
        <v>121</v>
      </c>
      <c r="B9" s="246" t="s">
        <v>229</v>
      </c>
      <c r="C9" s="284">
        <f>227512539+905743</f>
        <v>228418282</v>
      </c>
      <c r="D9" s="1036">
        <f>'9.1.1. sz. mell. '!C9+'9.1.2. sz. mell.'!C9</f>
        <v>228418282</v>
      </c>
      <c r="E9" s="1036">
        <f>'9.1.1. sz. mell. '!C9+'9.1.2. sz. mell.'!C9</f>
        <v>228418282</v>
      </c>
      <c r="F9" s="1029">
        <f>'9.1.1. sz. mell. '!C9+'9.1.2. sz. mell.'!C9</f>
        <v>228418282</v>
      </c>
      <c r="G9" s="1030">
        <f t="shared" ref="G9:G72" si="0">C9-F9</f>
        <v>0</v>
      </c>
      <c r="H9" s="1036">
        <f t="shared" ref="H9:H72" si="1">C9-D9</f>
        <v>0</v>
      </c>
    </row>
    <row r="10" spans="1:8" s="65" customFormat="1" ht="12" customHeight="1" x14ac:dyDescent="0.2">
      <c r="A10" s="261" t="s">
        <v>122</v>
      </c>
      <c r="B10" s="247" t="s">
        <v>230</v>
      </c>
      <c r="C10" s="162">
        <f>218107294+10461768-4721982-4278000</f>
        <v>219569080</v>
      </c>
      <c r="D10" s="1036">
        <f>'9.1.1. sz. mell. '!C10+'9.1.2. sz. mell.'!C10</f>
        <v>219569080</v>
      </c>
      <c r="E10" s="1036">
        <f>'9.1.1. sz. mell. '!C10+'9.1.2. sz. mell.'!C10</f>
        <v>219569080</v>
      </c>
      <c r="F10" s="1031">
        <f>'9.1.1. sz. mell. '!C10+'9.1.2. sz. mell.'!C10</f>
        <v>219569080</v>
      </c>
      <c r="G10" s="1032">
        <f t="shared" si="0"/>
        <v>0</v>
      </c>
      <c r="H10" s="1036">
        <f t="shared" si="1"/>
        <v>0</v>
      </c>
    </row>
    <row r="11" spans="1:8" s="65" customFormat="1" ht="12" customHeight="1" x14ac:dyDescent="0.2">
      <c r="A11" s="261" t="s">
        <v>123</v>
      </c>
      <c r="B11" s="247" t="s">
        <v>231</v>
      </c>
      <c r="C11" s="889">
        <f>121200000+67844165+118423160+15562200+177597260+4526280+11511000+24250000-35761000-1921230+31350000</f>
        <v>534581835</v>
      </c>
      <c r="D11" s="1036">
        <f>'9.1.1. sz. mell. '!C11+'9.1.2. sz. mell.'!C11</f>
        <v>534581835</v>
      </c>
      <c r="E11" s="1036">
        <f>'9.1.1. sz. mell. '!C11+'9.1.2. sz. mell.'!C11</f>
        <v>534581835</v>
      </c>
      <c r="F11" s="1031">
        <f>'9.1.1. sz. mell. '!C11+'9.1.2. sz. mell.'!C11</f>
        <v>534581835</v>
      </c>
      <c r="G11" s="1032">
        <f t="shared" si="0"/>
        <v>0</v>
      </c>
      <c r="H11" s="1036">
        <f t="shared" si="1"/>
        <v>0</v>
      </c>
    </row>
    <row r="12" spans="1:8" s="65" customFormat="1" ht="12" customHeight="1" x14ac:dyDescent="0.2">
      <c r="A12" s="261" t="s">
        <v>124</v>
      </c>
      <c r="B12" s="247" t="s">
        <v>232</v>
      </c>
      <c r="C12" s="162">
        <f>4412740+15262320+10629000-4412740+4412740+1038248</f>
        <v>31342308</v>
      </c>
      <c r="D12" s="1036">
        <f>'9.1.1. sz. mell. '!C12+'9.1.2. sz. mell.'!C12</f>
        <v>31342308</v>
      </c>
      <c r="E12" s="1036">
        <f>'9.1.1. sz. mell. '!C12+'9.1.2. sz. mell.'!C12</f>
        <v>31342308</v>
      </c>
      <c r="F12" s="1031">
        <f>'9.1.1. sz. mell. '!C12+'9.1.2. sz. mell.'!C12</f>
        <v>31342308</v>
      </c>
      <c r="G12" s="1032">
        <f t="shared" si="0"/>
        <v>0</v>
      </c>
      <c r="H12" s="1036">
        <f t="shared" si="1"/>
        <v>0</v>
      </c>
    </row>
    <row r="13" spans="1:8" s="65" customFormat="1" ht="12" customHeight="1" x14ac:dyDescent="0.2">
      <c r="A13" s="261" t="s">
        <v>164</v>
      </c>
      <c r="B13" s="247" t="s">
        <v>588</v>
      </c>
      <c r="C13" s="889">
        <f>3551000+1060845+168707597+58000+128000+13957152+413944+9514709+49094027+4501192-4412740-15000000+306000-21350000-3628476-6245860</f>
        <v>200655390</v>
      </c>
      <c r="D13" s="1036">
        <f>'9.1.1. sz. mell. '!C13+'9.1.2. sz. mell.'!C13</f>
        <v>200655390</v>
      </c>
      <c r="E13" s="1036">
        <f>'9.1.1. sz. mell. '!C13+'9.1.2. sz. mell.'!C13</f>
        <v>200655390</v>
      </c>
      <c r="F13" s="1031">
        <f>'9.1.1. sz. mell. '!C13+'9.1.2. sz. mell.'!C13</f>
        <v>200655390</v>
      </c>
      <c r="G13" s="1032">
        <f t="shared" si="0"/>
        <v>0</v>
      </c>
      <c r="H13" s="1036">
        <f t="shared" si="1"/>
        <v>0</v>
      </c>
    </row>
    <row r="14" spans="1:8" s="64" customFormat="1" ht="12" customHeight="1" thickBot="1" x14ac:dyDescent="0.25">
      <c r="A14" s="262" t="s">
        <v>125</v>
      </c>
      <c r="B14" s="248" t="s">
        <v>528</v>
      </c>
      <c r="C14" s="162"/>
      <c r="D14" s="1036">
        <f>'9.1.1. sz. mell. '!C14+'9.1.2. sz. mell.'!C14</f>
        <v>0</v>
      </c>
      <c r="E14" s="1036">
        <f>'9.1.1. sz. mell. '!C14+'9.1.2. sz. mell.'!C14</f>
        <v>0</v>
      </c>
      <c r="F14" s="1033">
        <f>'9.1.1. sz. mell. '!C14+'9.1.2. sz. mell.'!C14</f>
        <v>0</v>
      </c>
      <c r="G14" s="1034">
        <f t="shared" si="0"/>
        <v>0</v>
      </c>
      <c r="H14" s="1036">
        <f t="shared" si="1"/>
        <v>0</v>
      </c>
    </row>
    <row r="15" spans="1:8" s="64" customFormat="1" ht="12" customHeight="1" thickBot="1" x14ac:dyDescent="0.25">
      <c r="A15" s="31" t="s">
        <v>46</v>
      </c>
      <c r="B15" s="153" t="s">
        <v>233</v>
      </c>
      <c r="C15" s="158">
        <f>+C16+C17+C18+C19+C20</f>
        <v>308042145</v>
      </c>
      <c r="D15" s="1036">
        <f>'9.1.1. sz. mell. '!C15+'9.1.2. sz. mell.'!C15</f>
        <v>308042145</v>
      </c>
      <c r="E15" s="1036">
        <f>'9.1.1. sz. mell. '!C15+'9.1.2. sz. mell.'!C15</f>
        <v>308042145</v>
      </c>
      <c r="F15" s="1028">
        <f>'9.1.1. sz. mell. '!C15+'9.1.2. sz. mell.'!C15</f>
        <v>308042145</v>
      </c>
      <c r="G15" s="1028">
        <f t="shared" si="0"/>
        <v>0</v>
      </c>
      <c r="H15" s="1036">
        <f t="shared" si="1"/>
        <v>0</v>
      </c>
    </row>
    <row r="16" spans="1:8" s="64" customFormat="1" ht="12" customHeight="1" x14ac:dyDescent="0.2">
      <c r="A16" s="260" t="s">
        <v>127</v>
      </c>
      <c r="B16" s="246" t="s">
        <v>234</v>
      </c>
      <c r="C16" s="160"/>
      <c r="D16" s="1036">
        <f>'9.1.1. sz. mell. '!C16+'9.1.2. sz. mell.'!C16</f>
        <v>0</v>
      </c>
      <c r="E16" s="1036">
        <f>'9.1.1. sz. mell. '!C16+'9.1.2. sz. mell.'!C16</f>
        <v>0</v>
      </c>
      <c r="F16" s="1029">
        <f>'9.1.1. sz. mell. '!C16+'9.1.2. sz. mell.'!C16</f>
        <v>0</v>
      </c>
      <c r="G16" s="1030">
        <f t="shared" si="0"/>
        <v>0</v>
      </c>
      <c r="H16" s="1036">
        <f t="shared" si="1"/>
        <v>0</v>
      </c>
    </row>
    <row r="17" spans="1:8" s="64" customFormat="1" ht="12" customHeight="1" x14ac:dyDescent="0.2">
      <c r="A17" s="261" t="s">
        <v>128</v>
      </c>
      <c r="B17" s="247" t="s">
        <v>235</v>
      </c>
      <c r="C17" s="159"/>
      <c r="D17" s="1036">
        <f>'9.1.1. sz. mell. '!C17+'9.1.2. sz. mell.'!C17</f>
        <v>0</v>
      </c>
      <c r="E17" s="1036">
        <f>'9.1.1. sz. mell. '!C17+'9.1.2. sz. mell.'!C17</f>
        <v>0</v>
      </c>
      <c r="F17" s="1031">
        <f>'9.1.1. sz. mell. '!C17+'9.1.2. sz. mell.'!C17</f>
        <v>0</v>
      </c>
      <c r="G17" s="1032">
        <f t="shared" si="0"/>
        <v>0</v>
      </c>
      <c r="H17" s="1036">
        <f t="shared" si="1"/>
        <v>0</v>
      </c>
    </row>
    <row r="18" spans="1:8" s="64" customFormat="1" ht="12" customHeight="1" x14ac:dyDescent="0.2">
      <c r="A18" s="261" t="s">
        <v>129</v>
      </c>
      <c r="B18" s="247" t="s">
        <v>404</v>
      </c>
      <c r="C18" s="162"/>
      <c r="D18" s="1036">
        <f>'9.1.1. sz. mell. '!C18+'9.1.2. sz. mell.'!C18</f>
        <v>0</v>
      </c>
      <c r="E18" s="1036">
        <f>'9.1.1. sz. mell. '!C18+'9.1.2. sz. mell.'!C18</f>
        <v>0</v>
      </c>
      <c r="F18" s="1031">
        <f>'9.1.1. sz. mell. '!C18+'9.1.2. sz. mell.'!C18</f>
        <v>0</v>
      </c>
      <c r="G18" s="1032">
        <f t="shared" si="0"/>
        <v>0</v>
      </c>
      <c r="H18" s="1036">
        <f t="shared" si="1"/>
        <v>0</v>
      </c>
    </row>
    <row r="19" spans="1:8" s="64" customFormat="1" ht="12" customHeight="1" x14ac:dyDescent="0.2">
      <c r="A19" s="261" t="s">
        <v>130</v>
      </c>
      <c r="B19" s="247" t="s">
        <v>405</v>
      </c>
      <c r="C19" s="162"/>
      <c r="D19" s="1036">
        <f>'9.1.1. sz. mell. '!C19+'9.1.2. sz. mell.'!C19</f>
        <v>0</v>
      </c>
      <c r="E19" s="1036">
        <f>'9.1.1. sz. mell. '!C19+'9.1.2. sz. mell.'!C19</f>
        <v>0</v>
      </c>
      <c r="F19" s="1031">
        <f>'9.1.1. sz. mell. '!C19+'9.1.2. sz. mell.'!C19</f>
        <v>0</v>
      </c>
      <c r="G19" s="1032">
        <f t="shared" si="0"/>
        <v>0</v>
      </c>
      <c r="H19" s="1036">
        <f t="shared" si="1"/>
        <v>0</v>
      </c>
    </row>
    <row r="20" spans="1:8" s="64" customFormat="1" ht="12" customHeight="1" x14ac:dyDescent="0.2">
      <c r="A20" s="261" t="s">
        <v>131</v>
      </c>
      <c r="B20" s="247" t="s">
        <v>236</v>
      </c>
      <c r="C20" s="889">
        <f>2285000+210000+110446000+65342000+25310845+9303887+291175856+362000+94906504+6840000+3111000+1770000+4682000+12549488-323735435+3483000</f>
        <v>308042145</v>
      </c>
      <c r="D20" s="1036">
        <f>'9.1.1. sz. mell. '!C20+'9.1.2. sz. mell.'!C20</f>
        <v>308042145</v>
      </c>
      <c r="E20" s="1036">
        <f>'9.1.1. sz. mell. '!C20+'9.1.2. sz. mell.'!C20</f>
        <v>308042145</v>
      </c>
      <c r="F20" s="1031">
        <f>'9.1.1. sz. mell. '!C20+'9.1.2. sz. mell.'!C20</f>
        <v>308042145</v>
      </c>
      <c r="G20" s="1032">
        <f t="shared" si="0"/>
        <v>0</v>
      </c>
      <c r="H20" s="1036">
        <f t="shared" si="1"/>
        <v>0</v>
      </c>
    </row>
    <row r="21" spans="1:8" s="65" customFormat="1" ht="12" customHeight="1" thickBot="1" x14ac:dyDescent="0.25">
      <c r="A21" s="262" t="s">
        <v>140</v>
      </c>
      <c r="B21" s="248" t="s">
        <v>237</v>
      </c>
      <c r="C21" s="235"/>
      <c r="D21" s="1036">
        <f>'9.1.1. sz. mell. '!C21+'9.1.2. sz. mell.'!C21</f>
        <v>0</v>
      </c>
      <c r="E21" s="1036">
        <f>'9.1.1. sz. mell. '!C21+'9.1.2. sz. mell.'!C21</f>
        <v>0</v>
      </c>
      <c r="F21" s="1033">
        <f>'9.1.1. sz. mell. '!C21+'9.1.2. sz. mell.'!C21</f>
        <v>0</v>
      </c>
      <c r="G21" s="1034">
        <f t="shared" si="0"/>
        <v>0</v>
      </c>
      <c r="H21" s="1036">
        <f t="shared" si="1"/>
        <v>0</v>
      </c>
    </row>
    <row r="22" spans="1:8" s="65" customFormat="1" ht="12" customHeight="1" thickBot="1" x14ac:dyDescent="0.25">
      <c r="A22" s="31" t="s">
        <v>47</v>
      </c>
      <c r="B22" s="20" t="s">
        <v>238</v>
      </c>
      <c r="C22" s="158">
        <f>+C23+C24+C25+C26+C27</f>
        <v>527042023</v>
      </c>
      <c r="D22" s="1036">
        <f>'9.1.1. sz. mell. '!C22+'9.1.2. sz. mell.'!C22</f>
        <v>527042023</v>
      </c>
      <c r="E22" s="1036">
        <f>'9.1.1. sz. mell. '!C22+'9.1.2. sz. mell.'!C22</f>
        <v>527042023</v>
      </c>
      <c r="F22" s="1028">
        <f>'9.1.1. sz. mell. '!C22+'9.1.2. sz. mell.'!C22</f>
        <v>527042023</v>
      </c>
      <c r="G22" s="1028">
        <f t="shared" si="0"/>
        <v>0</v>
      </c>
      <c r="H22" s="1036">
        <f t="shared" si="1"/>
        <v>0</v>
      </c>
    </row>
    <row r="23" spans="1:8" s="65" customFormat="1" ht="12" customHeight="1" x14ac:dyDescent="0.2">
      <c r="A23" s="260" t="s">
        <v>110</v>
      </c>
      <c r="B23" s="246" t="s">
        <v>239</v>
      </c>
      <c r="C23" s="284">
        <v>15690532</v>
      </c>
      <c r="D23" s="1036">
        <f>'9.1.1. sz. mell. '!C23+'9.1.2. sz. mell.'!C23</f>
        <v>15690532</v>
      </c>
      <c r="E23" s="1036">
        <f>'9.1.1. sz. mell. '!C23+'9.1.2. sz. mell.'!C23</f>
        <v>15690532</v>
      </c>
      <c r="F23" s="1029">
        <f>'9.1.1. sz. mell. '!C23+'9.1.2. sz. mell.'!C23</f>
        <v>15690532</v>
      </c>
      <c r="G23" s="1030">
        <f t="shared" si="0"/>
        <v>0</v>
      </c>
      <c r="H23" s="1036">
        <f t="shared" si="1"/>
        <v>0</v>
      </c>
    </row>
    <row r="24" spans="1:8" s="64" customFormat="1" ht="12" customHeight="1" x14ac:dyDescent="0.2">
      <c r="A24" s="261" t="s">
        <v>111</v>
      </c>
      <c r="B24" s="247" t="s">
        <v>240</v>
      </c>
      <c r="C24" s="162"/>
      <c r="D24" s="1036">
        <f>'9.1.1. sz. mell. '!C24+'9.1.2. sz. mell.'!C24</f>
        <v>0</v>
      </c>
      <c r="E24" s="1036">
        <f>'9.1.1. sz. mell. '!C24+'9.1.2. sz. mell.'!C24</f>
        <v>0</v>
      </c>
      <c r="F24" s="1031">
        <f>'9.1.1. sz. mell. '!C24+'9.1.2. sz. mell.'!C24</f>
        <v>0</v>
      </c>
      <c r="G24" s="1032">
        <f t="shared" si="0"/>
        <v>0</v>
      </c>
      <c r="H24" s="1036">
        <f t="shared" si="1"/>
        <v>0</v>
      </c>
    </row>
    <row r="25" spans="1:8" s="65" customFormat="1" ht="12" customHeight="1" x14ac:dyDescent="0.2">
      <c r="A25" s="261" t="s">
        <v>112</v>
      </c>
      <c r="B25" s="247" t="s">
        <v>406</v>
      </c>
      <c r="C25" s="162"/>
      <c r="D25" s="1036">
        <f>'9.1.1. sz. mell. '!C25+'9.1.2. sz. mell.'!C25</f>
        <v>0</v>
      </c>
      <c r="E25" s="1036">
        <f>'9.1.1. sz. mell. '!C25+'9.1.2. sz. mell.'!C25</f>
        <v>0</v>
      </c>
      <c r="F25" s="1031">
        <f>'9.1.1. sz. mell. '!C25+'9.1.2. sz. mell.'!C25</f>
        <v>0</v>
      </c>
      <c r="G25" s="1032">
        <f t="shared" si="0"/>
        <v>0</v>
      </c>
      <c r="H25" s="1036">
        <f t="shared" si="1"/>
        <v>0</v>
      </c>
    </row>
    <row r="26" spans="1:8" s="65" customFormat="1" ht="12" customHeight="1" x14ac:dyDescent="0.2">
      <c r="A26" s="261" t="s">
        <v>113</v>
      </c>
      <c r="B26" s="247" t="s">
        <v>407</v>
      </c>
      <c r="C26" s="162"/>
      <c r="D26" s="1036">
        <f>'9.1.1. sz. mell. '!C26+'9.1.2. sz. mell.'!C26</f>
        <v>0</v>
      </c>
      <c r="E26" s="1036">
        <f>'9.1.1. sz. mell. '!C26+'9.1.2. sz. mell.'!C26</f>
        <v>0</v>
      </c>
      <c r="F26" s="1031">
        <f>'9.1.1. sz. mell. '!C26+'9.1.2. sz. mell.'!C26</f>
        <v>0</v>
      </c>
      <c r="G26" s="1032">
        <f t="shared" si="0"/>
        <v>0</v>
      </c>
      <c r="H26" s="1036">
        <f t="shared" si="1"/>
        <v>0</v>
      </c>
    </row>
    <row r="27" spans="1:8" s="65" customFormat="1" ht="12" customHeight="1" x14ac:dyDescent="0.2">
      <c r="A27" s="261" t="s">
        <v>175</v>
      </c>
      <c r="B27" s="247" t="s">
        <v>241</v>
      </c>
      <c r="C27" s="162">
        <f>3797300+15179276+2160000+75588869+15956160+214128350+199720812-15179276</f>
        <v>511351491</v>
      </c>
      <c r="D27" s="1036">
        <f>'9.1.1. sz. mell. '!C27+'9.1.2. sz. mell.'!C27</f>
        <v>511351491</v>
      </c>
      <c r="E27" s="1036">
        <f>'9.1.1. sz. mell. '!C27+'9.1.2. sz. mell.'!C27</f>
        <v>511351491</v>
      </c>
      <c r="F27" s="1031">
        <f>'9.1.1. sz. mell. '!C27+'9.1.2. sz. mell.'!C27</f>
        <v>511351491</v>
      </c>
      <c r="G27" s="1032">
        <f t="shared" si="0"/>
        <v>0</v>
      </c>
      <c r="H27" s="1036">
        <f t="shared" si="1"/>
        <v>0</v>
      </c>
    </row>
    <row r="28" spans="1:8" s="65" customFormat="1" ht="12" customHeight="1" thickBot="1" x14ac:dyDescent="0.25">
      <c r="A28" s="262" t="s">
        <v>176</v>
      </c>
      <c r="B28" s="248" t="s">
        <v>242</v>
      </c>
      <c r="C28" s="235">
        <f>3797300+75588869+15956160+214128350+199720812</f>
        <v>509191491</v>
      </c>
      <c r="D28" s="1036">
        <f>'9.1.1. sz. mell. '!C28+'9.1.2. sz. mell.'!C28</f>
        <v>509191491</v>
      </c>
      <c r="E28" s="1036">
        <f>'9.1.1. sz. mell. '!C28+'9.1.2. sz. mell.'!C28</f>
        <v>509191491</v>
      </c>
      <c r="F28" s="1033">
        <f>'9.1.1. sz. mell. '!C28+'9.1.2. sz. mell.'!C28</f>
        <v>509191491</v>
      </c>
      <c r="G28" s="1034">
        <f t="shared" si="0"/>
        <v>0</v>
      </c>
      <c r="H28" s="1036">
        <f t="shared" si="1"/>
        <v>0</v>
      </c>
    </row>
    <row r="29" spans="1:8" s="65" customFormat="1" ht="12" customHeight="1" thickBot="1" x14ac:dyDescent="0.25">
      <c r="A29" s="31" t="s">
        <v>177</v>
      </c>
      <c r="B29" s="20" t="s">
        <v>243</v>
      </c>
      <c r="C29" s="163">
        <f>+C30+C34+C35+C36</f>
        <v>356490000</v>
      </c>
      <c r="D29" s="1036">
        <f>'9.1.1. sz. mell. '!C29+'9.1.2. sz. mell.'!C29</f>
        <v>356490000</v>
      </c>
      <c r="E29" s="1036">
        <f>'9.1.1. sz. mell. '!C29+'9.1.2. sz. mell.'!C29</f>
        <v>356490000</v>
      </c>
      <c r="F29" s="1028">
        <f>'9.1.1. sz. mell. '!C29+'9.1.2. sz. mell.'!C29</f>
        <v>356490000</v>
      </c>
      <c r="G29" s="1028">
        <f t="shared" si="0"/>
        <v>0</v>
      </c>
      <c r="H29" s="1036">
        <f t="shared" si="1"/>
        <v>0</v>
      </c>
    </row>
    <row r="30" spans="1:8" s="65" customFormat="1" ht="12" customHeight="1" x14ac:dyDescent="0.2">
      <c r="A30" s="260" t="s">
        <v>244</v>
      </c>
      <c r="B30" s="246" t="s">
        <v>589</v>
      </c>
      <c r="C30" s="241">
        <f>SUM(C31:C33)</f>
        <v>317830000</v>
      </c>
      <c r="D30" s="1036">
        <f>'9.1.1. sz. mell. '!C30+'9.1.2. sz. mell.'!C30</f>
        <v>317830000</v>
      </c>
      <c r="E30" s="1036">
        <f>'9.1.1. sz. mell. '!C30+'9.1.2. sz. mell.'!C30</f>
        <v>317830000</v>
      </c>
      <c r="F30" s="1029">
        <f>'9.1.1. sz. mell. '!C30+'9.1.2. sz. mell.'!C30</f>
        <v>317830000</v>
      </c>
      <c r="G30" s="1030">
        <f t="shared" si="0"/>
        <v>0</v>
      </c>
      <c r="H30" s="1036">
        <f t="shared" si="1"/>
        <v>0</v>
      </c>
    </row>
    <row r="31" spans="1:8" s="65" customFormat="1" ht="12" customHeight="1" x14ac:dyDescent="0.2">
      <c r="A31" s="261" t="s">
        <v>245</v>
      </c>
      <c r="B31" s="247" t="s">
        <v>250</v>
      </c>
      <c r="C31" s="159">
        <f>8990000+70000000</f>
        <v>78990000</v>
      </c>
      <c r="D31" s="1036">
        <f>'9.1.1. sz. mell. '!C31+'9.1.2. sz. mell.'!C31</f>
        <v>78990000</v>
      </c>
      <c r="E31" s="1036">
        <f>'9.1.1. sz. mell. '!C31+'9.1.2. sz. mell.'!C31</f>
        <v>78990000</v>
      </c>
      <c r="F31" s="1031">
        <f>'9.1.1. sz. mell. '!C31+'9.1.2. sz. mell.'!C31</f>
        <v>78990000</v>
      </c>
      <c r="G31" s="1032">
        <f t="shared" si="0"/>
        <v>0</v>
      </c>
      <c r="H31" s="1036">
        <f t="shared" si="1"/>
        <v>0</v>
      </c>
    </row>
    <row r="32" spans="1:8" s="65" customFormat="1" ht="12" customHeight="1" x14ac:dyDescent="0.2">
      <c r="A32" s="261" t="s">
        <v>246</v>
      </c>
      <c r="B32" s="247" t="s">
        <v>631</v>
      </c>
      <c r="C32" s="162">
        <f>203840000+35000000</f>
        <v>238840000</v>
      </c>
      <c r="D32" s="1036">
        <f>'9.1.1. sz. mell. '!C32+'9.1.2. sz. mell.'!C32</f>
        <v>238840000</v>
      </c>
      <c r="E32" s="1036">
        <f>'9.1.1. sz. mell. '!C32+'9.1.2. sz. mell.'!C32</f>
        <v>238840000</v>
      </c>
      <c r="F32" s="1031">
        <f>'9.1.1. sz. mell. '!C32+'9.1.2. sz. mell.'!C32</f>
        <v>238840000</v>
      </c>
      <c r="G32" s="1032">
        <f t="shared" si="0"/>
        <v>0</v>
      </c>
      <c r="H32" s="1036">
        <f t="shared" si="1"/>
        <v>0</v>
      </c>
    </row>
    <row r="33" spans="1:8" s="65" customFormat="1" ht="12" customHeight="1" x14ac:dyDescent="0.2">
      <c r="A33" s="261" t="s">
        <v>530</v>
      </c>
      <c r="B33" s="247" t="s">
        <v>628</v>
      </c>
      <c r="C33" s="162"/>
      <c r="D33" s="1036">
        <f>'9.1.1. sz. mell. '!C33+'9.1.2. sz. mell.'!C33</f>
        <v>0</v>
      </c>
      <c r="E33" s="1036">
        <f>'9.1.1. sz. mell. '!C33+'9.1.2. sz. mell.'!C33</f>
        <v>0</v>
      </c>
      <c r="F33" s="1031">
        <f>'9.1.1. sz. mell. '!C33+'9.1.2. sz. mell.'!C33</f>
        <v>0</v>
      </c>
      <c r="G33" s="1032">
        <f t="shared" si="0"/>
        <v>0</v>
      </c>
      <c r="H33" s="1036">
        <f t="shared" si="1"/>
        <v>0</v>
      </c>
    </row>
    <row r="34" spans="1:8" s="65" customFormat="1" ht="12" customHeight="1" x14ac:dyDescent="0.2">
      <c r="A34" s="261" t="s">
        <v>247</v>
      </c>
      <c r="B34" s="247" t="s">
        <v>252</v>
      </c>
      <c r="C34" s="159">
        <f>27000000</f>
        <v>27000000</v>
      </c>
      <c r="D34" s="1036">
        <f>'9.1.1. sz. mell. '!C34+'9.1.2. sz. mell.'!C34</f>
        <v>27000000</v>
      </c>
      <c r="E34" s="1036">
        <f>'9.1.1. sz. mell. '!C34+'9.1.2. sz. mell.'!C34</f>
        <v>27000000</v>
      </c>
      <c r="F34" s="1031">
        <f>'9.1.1. sz. mell. '!C34+'9.1.2. sz. mell.'!C34</f>
        <v>27000000</v>
      </c>
      <c r="G34" s="1032">
        <f t="shared" si="0"/>
        <v>0</v>
      </c>
      <c r="H34" s="1036">
        <f t="shared" si="1"/>
        <v>0</v>
      </c>
    </row>
    <row r="35" spans="1:8" s="65" customFormat="1" ht="12" customHeight="1" x14ac:dyDescent="0.2">
      <c r="A35" s="261" t="s">
        <v>248</v>
      </c>
      <c r="B35" s="247" t="s">
        <v>253</v>
      </c>
      <c r="C35" s="159">
        <f>4060000-4000000</f>
        <v>60000</v>
      </c>
      <c r="D35" s="1036">
        <f>'9.1.1. sz. mell. '!C35+'9.1.2. sz. mell.'!C35</f>
        <v>60000</v>
      </c>
      <c r="E35" s="1036">
        <f>'9.1.1. sz. mell. '!C35+'9.1.2. sz. mell.'!C35</f>
        <v>60000</v>
      </c>
      <c r="F35" s="1031">
        <f>'9.1.1. sz. mell. '!C35+'9.1.2. sz. mell.'!C35</f>
        <v>60000</v>
      </c>
      <c r="G35" s="1032">
        <f t="shared" si="0"/>
        <v>0</v>
      </c>
      <c r="H35" s="1036">
        <f t="shared" si="1"/>
        <v>0</v>
      </c>
    </row>
    <row r="36" spans="1:8" s="65" customFormat="1" ht="12" customHeight="1" thickBot="1" x14ac:dyDescent="0.25">
      <c r="A36" s="262" t="s">
        <v>249</v>
      </c>
      <c r="B36" s="248" t="s">
        <v>254</v>
      </c>
      <c r="C36" s="235">
        <f>5500000+4000000+2100000</f>
        <v>11600000</v>
      </c>
      <c r="D36" s="1036">
        <f>'9.1.1. sz. mell. '!C36+'9.1.2. sz. mell.'!C36</f>
        <v>11600000</v>
      </c>
      <c r="E36" s="1036">
        <f>'9.1.1. sz. mell. '!C36+'9.1.2. sz. mell.'!C36</f>
        <v>11600000</v>
      </c>
      <c r="F36" s="1033">
        <f>'9.1.1. sz. mell. '!C36+'9.1.2. sz. mell.'!C36</f>
        <v>11600000</v>
      </c>
      <c r="G36" s="1034">
        <f t="shared" si="0"/>
        <v>0</v>
      </c>
      <c r="H36" s="1036">
        <f t="shared" si="1"/>
        <v>0</v>
      </c>
    </row>
    <row r="37" spans="1:8" s="65" customFormat="1" ht="12" customHeight="1" thickBot="1" x14ac:dyDescent="0.25">
      <c r="A37" s="31" t="s">
        <v>49</v>
      </c>
      <c r="B37" s="20" t="s">
        <v>532</v>
      </c>
      <c r="C37" s="158">
        <f>SUM(C38:C48)</f>
        <v>64725863</v>
      </c>
      <c r="D37" s="1036">
        <f>'9.1.1. sz. mell. '!C37+'9.1.2. sz. mell.'!C37</f>
        <v>64725863</v>
      </c>
      <c r="E37" s="1036">
        <f>'9.1.1. sz. mell. '!C37+'9.1.2. sz. mell.'!C37</f>
        <v>64725863</v>
      </c>
      <c r="F37" s="1028">
        <f>'9.1.1. sz. mell. '!C37+'9.1.2. sz. mell.'!C37</f>
        <v>64725863</v>
      </c>
      <c r="G37" s="1028">
        <f t="shared" si="0"/>
        <v>0</v>
      </c>
      <c r="H37" s="1036">
        <f t="shared" si="1"/>
        <v>0</v>
      </c>
    </row>
    <row r="38" spans="1:8" s="65" customFormat="1" ht="12" customHeight="1" x14ac:dyDescent="0.2">
      <c r="A38" s="260" t="s">
        <v>114</v>
      </c>
      <c r="B38" s="246" t="s">
        <v>257</v>
      </c>
      <c r="C38" s="890">
        <f>3937000+4000000+5000000+5500000-2941522+3954000</f>
        <v>19449478</v>
      </c>
      <c r="D38" s="1036">
        <f>'9.1.1. sz. mell. '!C38+'9.1.2. sz. mell.'!C38</f>
        <v>19449478</v>
      </c>
      <c r="E38" s="1036">
        <f>'9.1.1. sz. mell. '!C38+'9.1.2. sz. mell.'!C38</f>
        <v>19449478</v>
      </c>
      <c r="F38" s="1029">
        <f>'9.1.1. sz. mell. '!C38+'9.1.2. sz. mell.'!C38</f>
        <v>19449478</v>
      </c>
      <c r="G38" s="1030">
        <f t="shared" si="0"/>
        <v>0</v>
      </c>
      <c r="H38" s="1036">
        <f t="shared" si="1"/>
        <v>0</v>
      </c>
    </row>
    <row r="39" spans="1:8" s="65" customFormat="1" ht="12" customHeight="1" x14ac:dyDescent="0.2">
      <c r="A39" s="261" t="s">
        <v>115</v>
      </c>
      <c r="B39" s="247" t="s">
        <v>258</v>
      </c>
      <c r="C39" s="162">
        <f>100000+12004000+160000+555000+7128864</f>
        <v>19947864</v>
      </c>
      <c r="D39" s="1036">
        <f>'9.1.1. sz. mell. '!C39+'9.1.2. sz. mell.'!C39</f>
        <v>19947864</v>
      </c>
      <c r="E39" s="1036">
        <f>'9.1.1. sz. mell. '!C39+'9.1.2. sz. mell.'!C39</f>
        <v>19947864</v>
      </c>
      <c r="F39" s="1031">
        <f>'9.1.1. sz. mell. '!C39+'9.1.2. sz. mell.'!C39</f>
        <v>19947864</v>
      </c>
      <c r="G39" s="1032">
        <f t="shared" si="0"/>
        <v>0</v>
      </c>
      <c r="H39" s="1036">
        <f t="shared" si="1"/>
        <v>0</v>
      </c>
    </row>
    <row r="40" spans="1:8" s="65" customFormat="1" ht="12" customHeight="1" x14ac:dyDescent="0.2">
      <c r="A40" s="261" t="s">
        <v>116</v>
      </c>
      <c r="B40" s="247" t="s">
        <v>259</v>
      </c>
      <c r="C40" s="889">
        <f>8458000+947000+918292-195228+206000+158027-4705000+240000+300000</f>
        <v>6327091</v>
      </c>
      <c r="D40" s="1036">
        <f>'9.1.1. sz. mell. '!C40+'9.1.2. sz. mell.'!C40</f>
        <v>6327091</v>
      </c>
      <c r="E40" s="1036">
        <f>'9.1.1. sz. mell. '!C40+'9.1.2. sz. mell.'!C40</f>
        <v>6327091</v>
      </c>
      <c r="F40" s="1031">
        <f>'9.1.1. sz. mell. '!C40+'9.1.2. sz. mell.'!C40</f>
        <v>6327091</v>
      </c>
      <c r="G40" s="1032">
        <f t="shared" si="0"/>
        <v>0</v>
      </c>
      <c r="H40" s="1036">
        <f t="shared" si="1"/>
        <v>0</v>
      </c>
    </row>
    <row r="41" spans="1:8" s="65" customFormat="1" ht="12" customHeight="1" x14ac:dyDescent="0.2">
      <c r="A41" s="261" t="s">
        <v>179</v>
      </c>
      <c r="B41" s="247" t="s">
        <v>260</v>
      </c>
      <c r="C41" s="162">
        <f>430000</f>
        <v>430000</v>
      </c>
      <c r="D41" s="1036">
        <f>'9.1.1. sz. mell. '!C41+'9.1.2. sz. mell.'!C41</f>
        <v>430000</v>
      </c>
      <c r="E41" s="1036">
        <f>'9.1.1. sz. mell. '!C41+'9.1.2. sz. mell.'!C41</f>
        <v>430000</v>
      </c>
      <c r="F41" s="1031">
        <f>'9.1.1. sz. mell. '!C41+'9.1.2. sz. mell.'!C41</f>
        <v>430000</v>
      </c>
      <c r="G41" s="1032">
        <f t="shared" si="0"/>
        <v>0</v>
      </c>
      <c r="H41" s="1036">
        <f t="shared" si="1"/>
        <v>0</v>
      </c>
    </row>
    <row r="42" spans="1:8" s="65" customFormat="1" ht="12" customHeight="1" x14ac:dyDescent="0.2">
      <c r="A42" s="261" t="s">
        <v>180</v>
      </c>
      <c r="B42" s="247" t="s">
        <v>261</v>
      </c>
      <c r="C42" s="162"/>
      <c r="D42" s="1036">
        <f>'9.1.1. sz. mell. '!C42+'9.1.2. sz. mell.'!C42</f>
        <v>0</v>
      </c>
      <c r="E42" s="1036">
        <f>'9.1.1. sz. mell. '!C42+'9.1.2. sz. mell.'!C42</f>
        <v>0</v>
      </c>
      <c r="F42" s="1031">
        <f>'9.1.1. sz. mell. '!C42+'9.1.2. sz. mell.'!C42</f>
        <v>0</v>
      </c>
      <c r="G42" s="1032">
        <f t="shared" si="0"/>
        <v>0</v>
      </c>
      <c r="H42" s="1036">
        <f t="shared" si="1"/>
        <v>0</v>
      </c>
    </row>
    <row r="43" spans="1:8" s="65" customFormat="1" ht="12" customHeight="1" x14ac:dyDescent="0.2">
      <c r="A43" s="261" t="s">
        <v>181</v>
      </c>
      <c r="B43" s="247" t="s">
        <v>262</v>
      </c>
      <c r="C43" s="889">
        <f>1063000+3242000+5853000+44000+378000+600000+1350000+270000+1485000+682000+195228+206000+40410+27000-516228+1924793+81000-2548000+3189</f>
        <v>14380392</v>
      </c>
      <c r="D43" s="1036">
        <f>'9.1.1. sz. mell. '!C43+'9.1.2. sz. mell.'!C43</f>
        <v>14380392</v>
      </c>
      <c r="E43" s="1036">
        <f>'9.1.1. sz. mell. '!C43+'9.1.2. sz. mell.'!C43</f>
        <v>14380392</v>
      </c>
      <c r="F43" s="1031">
        <f>'9.1.1. sz. mell. '!C43+'9.1.2. sz. mell.'!C43</f>
        <v>14380392</v>
      </c>
      <c r="G43" s="1032">
        <f t="shared" si="0"/>
        <v>0</v>
      </c>
      <c r="H43" s="1036">
        <f t="shared" si="1"/>
        <v>0</v>
      </c>
    </row>
    <row r="44" spans="1:8" s="65" customFormat="1" ht="12" customHeight="1" x14ac:dyDescent="0.2">
      <c r="A44" s="261" t="s">
        <v>182</v>
      </c>
      <c r="B44" s="247" t="s">
        <v>263</v>
      </c>
      <c r="C44" s="162">
        <v>1924793</v>
      </c>
      <c r="D44" s="1036">
        <f>'9.1.1. sz. mell. '!C44+'9.1.2. sz. mell.'!C44</f>
        <v>1924793</v>
      </c>
      <c r="E44" s="1036">
        <f>'9.1.1. sz. mell. '!C44+'9.1.2. sz. mell.'!C44</f>
        <v>1924793</v>
      </c>
      <c r="F44" s="1031">
        <f>'9.1.1. sz. mell. '!C44+'9.1.2. sz. mell.'!C44</f>
        <v>1924793</v>
      </c>
      <c r="G44" s="1032">
        <f t="shared" si="0"/>
        <v>0</v>
      </c>
      <c r="H44" s="1036">
        <f t="shared" si="1"/>
        <v>0</v>
      </c>
    </row>
    <row r="45" spans="1:8" s="65" customFormat="1" ht="12" customHeight="1" x14ac:dyDescent="0.2">
      <c r="A45" s="261" t="s">
        <v>183</v>
      </c>
      <c r="B45" s="247" t="s">
        <v>264</v>
      </c>
      <c r="C45" s="162">
        <v>30000</v>
      </c>
      <c r="D45" s="1036">
        <f>'9.1.1. sz. mell. '!C45+'9.1.2. sz. mell.'!C45</f>
        <v>30000</v>
      </c>
      <c r="E45" s="1036">
        <f>'9.1.1. sz. mell. '!C45+'9.1.2. sz. mell.'!C45</f>
        <v>30000</v>
      </c>
      <c r="F45" s="1031">
        <f>'9.1.1. sz. mell. '!C45+'9.1.2. sz. mell.'!C45</f>
        <v>30000</v>
      </c>
      <c r="G45" s="1032">
        <f t="shared" si="0"/>
        <v>0</v>
      </c>
      <c r="H45" s="1036">
        <f t="shared" si="1"/>
        <v>0</v>
      </c>
    </row>
    <row r="46" spans="1:8" s="65" customFormat="1" ht="12" customHeight="1" x14ac:dyDescent="0.2">
      <c r="A46" s="261" t="s">
        <v>255</v>
      </c>
      <c r="B46" s="247" t="s">
        <v>265</v>
      </c>
      <c r="C46" s="162"/>
      <c r="D46" s="1036">
        <f>'9.1.1. sz. mell. '!C46+'9.1.2. sz. mell.'!C46</f>
        <v>0</v>
      </c>
      <c r="E46" s="1036">
        <f>'9.1.1. sz. mell. '!C46+'9.1.2. sz. mell.'!C46</f>
        <v>0</v>
      </c>
      <c r="F46" s="1031">
        <f>'9.1.1. sz. mell. '!C46+'9.1.2. sz. mell.'!C46</f>
        <v>0</v>
      </c>
      <c r="G46" s="1032">
        <f t="shared" si="0"/>
        <v>0</v>
      </c>
      <c r="H46" s="1036">
        <f t="shared" si="1"/>
        <v>0</v>
      </c>
    </row>
    <row r="47" spans="1:8" s="65" customFormat="1" ht="12" customHeight="1" x14ac:dyDescent="0.2">
      <c r="A47" s="262" t="s">
        <v>256</v>
      </c>
      <c r="B47" s="248" t="s">
        <v>533</v>
      </c>
      <c r="C47" s="235">
        <f>500000</f>
        <v>500000</v>
      </c>
      <c r="D47" s="1036">
        <f>'9.1.1. sz. mell. '!C47+'9.1.2. sz. mell.'!C47</f>
        <v>500000</v>
      </c>
      <c r="E47" s="1036">
        <f>'9.1.1. sz. mell. '!C47+'9.1.2. sz. mell.'!C47</f>
        <v>500000</v>
      </c>
      <c r="F47" s="1031">
        <f>'9.1.1. sz. mell. '!C47+'9.1.2. sz. mell.'!C47</f>
        <v>500000</v>
      </c>
      <c r="G47" s="1032">
        <f t="shared" si="0"/>
        <v>0</v>
      </c>
      <c r="H47" s="1036">
        <f t="shared" si="1"/>
        <v>0</v>
      </c>
    </row>
    <row r="48" spans="1:8" s="65" customFormat="1" ht="12" customHeight="1" thickBot="1" x14ac:dyDescent="0.25">
      <c r="A48" s="262" t="s">
        <v>534</v>
      </c>
      <c r="B48" s="248" t="s">
        <v>266</v>
      </c>
      <c r="C48" s="847">
        <f>704000+1020434+11811</f>
        <v>1736245</v>
      </c>
      <c r="D48" s="1036">
        <f>'9.1.1. sz. mell. '!C48+'9.1.2. sz. mell.'!C48</f>
        <v>1736245</v>
      </c>
      <c r="E48" s="1036">
        <f>'9.1.1. sz. mell. '!C48+'9.1.2. sz. mell.'!C48</f>
        <v>1736245</v>
      </c>
      <c r="F48" s="1033">
        <f>'9.1.1. sz. mell. '!C48+'9.1.2. sz. mell.'!C48</f>
        <v>1736245</v>
      </c>
      <c r="G48" s="1034">
        <f t="shared" si="0"/>
        <v>0</v>
      </c>
      <c r="H48" s="1036">
        <f t="shared" si="1"/>
        <v>0</v>
      </c>
    </row>
    <row r="49" spans="1:8" s="65" customFormat="1" ht="12" customHeight="1" thickBot="1" x14ac:dyDescent="0.25">
      <c r="A49" s="31" t="s">
        <v>50</v>
      </c>
      <c r="B49" s="20" t="s">
        <v>267</v>
      </c>
      <c r="C49" s="158">
        <f>SUM(C50:C54)</f>
        <v>47179000</v>
      </c>
      <c r="D49" s="1036">
        <f>'9.1.1. sz. mell. '!C49+'9.1.2. sz. mell.'!C49</f>
        <v>47179000</v>
      </c>
      <c r="E49" s="1036">
        <f>'9.1.1. sz. mell. '!C49+'9.1.2. sz. mell.'!C49</f>
        <v>47179000</v>
      </c>
      <c r="F49" s="1028">
        <f>'9.1.1. sz. mell. '!C49+'9.1.2. sz. mell.'!C49</f>
        <v>47179000</v>
      </c>
      <c r="G49" s="1028">
        <f t="shared" si="0"/>
        <v>0</v>
      </c>
      <c r="H49" s="1036">
        <f t="shared" si="1"/>
        <v>0</v>
      </c>
    </row>
    <row r="50" spans="1:8" s="65" customFormat="1" ht="12" customHeight="1" x14ac:dyDescent="0.2">
      <c r="A50" s="260" t="s">
        <v>117</v>
      </c>
      <c r="B50" s="246" t="s">
        <v>271</v>
      </c>
      <c r="C50" s="284"/>
      <c r="D50" s="1036">
        <f>'9.1.1. sz. mell. '!C50+'9.1.2. sz. mell.'!C50</f>
        <v>0</v>
      </c>
      <c r="E50" s="1036">
        <f>'9.1.1. sz. mell. '!C50+'9.1.2. sz. mell.'!C50</f>
        <v>0</v>
      </c>
      <c r="F50" s="1029">
        <f>'9.1.1. sz. mell. '!C50+'9.1.2. sz. mell.'!C50</f>
        <v>0</v>
      </c>
      <c r="G50" s="1030">
        <f t="shared" si="0"/>
        <v>0</v>
      </c>
      <c r="H50" s="1036">
        <f t="shared" si="1"/>
        <v>0</v>
      </c>
    </row>
    <row r="51" spans="1:8" s="65" customFormat="1" ht="12" customHeight="1" x14ac:dyDescent="0.2">
      <c r="A51" s="261" t="s">
        <v>118</v>
      </c>
      <c r="B51" s="247" t="s">
        <v>272</v>
      </c>
      <c r="C51" s="162">
        <f>25179000+22000000</f>
        <v>47179000</v>
      </c>
      <c r="D51" s="1036">
        <f>'9.1.1. sz. mell. '!C51+'9.1.2. sz. mell.'!C51</f>
        <v>47179000</v>
      </c>
      <c r="E51" s="1036">
        <f>'9.1.1. sz. mell. '!C51+'9.1.2. sz. mell.'!C51</f>
        <v>47179000</v>
      </c>
      <c r="F51" s="1031">
        <f>'9.1.1. sz. mell. '!C51+'9.1.2. sz. mell.'!C51</f>
        <v>47179000</v>
      </c>
      <c r="G51" s="1032">
        <f t="shared" si="0"/>
        <v>0</v>
      </c>
      <c r="H51" s="1036">
        <f t="shared" si="1"/>
        <v>0</v>
      </c>
    </row>
    <row r="52" spans="1:8" s="65" customFormat="1" ht="12" customHeight="1" x14ac:dyDescent="0.2">
      <c r="A52" s="261" t="s">
        <v>268</v>
      </c>
      <c r="B52" s="247" t="s">
        <v>273</v>
      </c>
      <c r="C52" s="162"/>
      <c r="D52" s="1036">
        <f>'9.1.1. sz. mell. '!C52+'9.1.2. sz. mell.'!C52</f>
        <v>0</v>
      </c>
      <c r="E52" s="1036">
        <f>'9.1.1. sz. mell. '!C52+'9.1.2. sz. mell.'!C52</f>
        <v>0</v>
      </c>
      <c r="F52" s="1031">
        <f>'9.1.1. sz. mell. '!C52+'9.1.2. sz. mell.'!C52</f>
        <v>0</v>
      </c>
      <c r="G52" s="1032">
        <f t="shared" si="0"/>
        <v>0</v>
      </c>
      <c r="H52" s="1036">
        <f t="shared" si="1"/>
        <v>0</v>
      </c>
    </row>
    <row r="53" spans="1:8" s="65" customFormat="1" ht="12" customHeight="1" x14ac:dyDescent="0.2">
      <c r="A53" s="261" t="s">
        <v>269</v>
      </c>
      <c r="B53" s="247" t="s">
        <v>274</v>
      </c>
      <c r="C53" s="162"/>
      <c r="D53" s="1036">
        <f>'9.1.1. sz. mell. '!C53+'9.1.2. sz. mell.'!C53</f>
        <v>0</v>
      </c>
      <c r="E53" s="1036">
        <f>'9.1.1. sz. mell. '!C53+'9.1.2. sz. mell.'!C53</f>
        <v>0</v>
      </c>
      <c r="F53" s="1031">
        <f>'9.1.1. sz. mell. '!C53+'9.1.2. sz. mell.'!C53</f>
        <v>0</v>
      </c>
      <c r="G53" s="1032">
        <f t="shared" si="0"/>
        <v>0</v>
      </c>
      <c r="H53" s="1036">
        <f t="shared" si="1"/>
        <v>0</v>
      </c>
    </row>
    <row r="54" spans="1:8" s="65" customFormat="1" ht="12" customHeight="1" thickBot="1" x14ac:dyDescent="0.25">
      <c r="A54" s="262" t="s">
        <v>270</v>
      </c>
      <c r="B54" s="248" t="s">
        <v>275</v>
      </c>
      <c r="C54" s="235"/>
      <c r="D54" s="1036">
        <f>'9.1.1. sz. mell. '!C54+'9.1.2. sz. mell.'!C54</f>
        <v>0</v>
      </c>
      <c r="E54" s="1036">
        <f>'9.1.1. sz. mell. '!C54+'9.1.2. sz. mell.'!C54</f>
        <v>0</v>
      </c>
      <c r="F54" s="1033">
        <f>'9.1.1. sz. mell. '!C54+'9.1.2. sz. mell.'!C54</f>
        <v>0</v>
      </c>
      <c r="G54" s="1034">
        <f t="shared" si="0"/>
        <v>0</v>
      </c>
      <c r="H54" s="1036">
        <f t="shared" si="1"/>
        <v>0</v>
      </c>
    </row>
    <row r="55" spans="1:8" s="65" customFormat="1" ht="12" customHeight="1" thickBot="1" x14ac:dyDescent="0.25">
      <c r="A55" s="31" t="s">
        <v>184</v>
      </c>
      <c r="B55" s="20" t="s">
        <v>276</v>
      </c>
      <c r="C55" s="158">
        <f>SUM(C56:C58)</f>
        <v>24024000</v>
      </c>
      <c r="D55" s="1036">
        <f>'9.1.1. sz. mell. '!C55+'9.1.2. sz. mell.'!C55</f>
        <v>24024000</v>
      </c>
      <c r="E55" s="1036">
        <f>'9.1.1. sz. mell. '!C55+'9.1.2. sz. mell.'!C55</f>
        <v>24024000</v>
      </c>
      <c r="F55" s="1028">
        <f>'9.1.1. sz. mell. '!C55+'9.1.2. sz. mell.'!C55</f>
        <v>24024000</v>
      </c>
      <c r="G55" s="1028">
        <f t="shared" si="0"/>
        <v>0</v>
      </c>
      <c r="H55" s="1036">
        <f t="shared" si="1"/>
        <v>0</v>
      </c>
    </row>
    <row r="56" spans="1:8" s="65" customFormat="1" ht="12" customHeight="1" x14ac:dyDescent="0.2">
      <c r="A56" s="260" t="s">
        <v>119</v>
      </c>
      <c r="B56" s="246" t="s">
        <v>277</v>
      </c>
      <c r="C56" s="160"/>
      <c r="D56" s="1036">
        <f>'9.1.1. sz. mell. '!C56+'9.1.2. sz. mell.'!C56</f>
        <v>0</v>
      </c>
      <c r="E56" s="1036">
        <f>'9.1.1. sz. mell. '!C56+'9.1.2. sz. mell.'!C56</f>
        <v>0</v>
      </c>
      <c r="F56" s="1029">
        <f>'9.1.1. sz. mell. '!C56+'9.1.2. sz. mell.'!C56</f>
        <v>0</v>
      </c>
      <c r="G56" s="1030">
        <f t="shared" si="0"/>
        <v>0</v>
      </c>
      <c r="H56" s="1036">
        <f t="shared" si="1"/>
        <v>0</v>
      </c>
    </row>
    <row r="57" spans="1:8" s="65" customFormat="1" ht="12" customHeight="1" x14ac:dyDescent="0.2">
      <c r="A57" s="261" t="s">
        <v>120</v>
      </c>
      <c r="B57" s="247" t="s">
        <v>408</v>
      </c>
      <c r="C57" s="889">
        <f>383000+1566000+18000000</f>
        <v>19949000</v>
      </c>
      <c r="D57" s="1036">
        <f>'9.1.1. sz. mell. '!C57+'9.1.2. sz. mell.'!C57</f>
        <v>19949000</v>
      </c>
      <c r="E57" s="1036">
        <f>'9.1.1. sz. mell. '!C57+'9.1.2. sz. mell.'!C57</f>
        <v>19949000</v>
      </c>
      <c r="F57" s="1031">
        <f>'9.1.1. sz. mell. '!C57+'9.1.2. sz. mell.'!C57</f>
        <v>19949000</v>
      </c>
      <c r="G57" s="1032">
        <f t="shared" si="0"/>
        <v>0</v>
      </c>
      <c r="H57" s="1036">
        <f t="shared" si="1"/>
        <v>0</v>
      </c>
    </row>
    <row r="58" spans="1:8" s="65" customFormat="1" ht="12" customHeight="1" x14ac:dyDescent="0.2">
      <c r="A58" s="261" t="s">
        <v>280</v>
      </c>
      <c r="B58" s="247" t="s">
        <v>278</v>
      </c>
      <c r="C58" s="162">
        <f>4075000</f>
        <v>4075000</v>
      </c>
      <c r="D58" s="1036">
        <f>'9.1.1. sz. mell. '!C58+'9.1.2. sz. mell.'!C58</f>
        <v>4075000</v>
      </c>
      <c r="E58" s="1036">
        <f>'9.1.1. sz. mell. '!C58+'9.1.2. sz. mell.'!C58</f>
        <v>4075000</v>
      </c>
      <c r="F58" s="1031">
        <f>'9.1.1. sz. mell. '!C58+'9.1.2. sz. mell.'!C58</f>
        <v>4075000</v>
      </c>
      <c r="G58" s="1032">
        <f t="shared" si="0"/>
        <v>0</v>
      </c>
      <c r="H58" s="1036">
        <f t="shared" si="1"/>
        <v>0</v>
      </c>
    </row>
    <row r="59" spans="1:8" s="65" customFormat="1" ht="12" customHeight="1" thickBot="1" x14ac:dyDescent="0.25">
      <c r="A59" s="262" t="s">
        <v>281</v>
      </c>
      <c r="B59" s="248" t="s">
        <v>279</v>
      </c>
      <c r="C59" s="161"/>
      <c r="D59" s="1036">
        <f>'9.1.1. sz. mell. '!C59+'9.1.2. sz. mell.'!C59</f>
        <v>0</v>
      </c>
      <c r="E59" s="1036">
        <f>'9.1.1. sz. mell. '!C59+'9.1.2. sz. mell.'!C59</f>
        <v>0</v>
      </c>
      <c r="F59" s="1033">
        <f>'9.1.1. sz. mell. '!C59+'9.1.2. sz. mell.'!C59</f>
        <v>0</v>
      </c>
      <c r="G59" s="1034">
        <f t="shared" si="0"/>
        <v>0</v>
      </c>
      <c r="H59" s="1036">
        <f t="shared" si="1"/>
        <v>0</v>
      </c>
    </row>
    <row r="60" spans="1:8" s="65" customFormat="1" ht="12" customHeight="1" thickBot="1" x14ac:dyDescent="0.25">
      <c r="A60" s="31" t="s">
        <v>52</v>
      </c>
      <c r="B60" s="153" t="s">
        <v>282</v>
      </c>
      <c r="C60" s="158">
        <f>SUM(C61:C63)</f>
        <v>0</v>
      </c>
      <c r="D60" s="1036">
        <f>'9.1.1. sz. mell. '!C60+'9.1.2. sz. mell.'!C60</f>
        <v>0</v>
      </c>
      <c r="E60" s="1036">
        <f>'9.1.1. sz. mell. '!C60+'9.1.2. sz. mell.'!C60</f>
        <v>0</v>
      </c>
      <c r="F60" s="1028">
        <f>'9.1.1. sz. mell. '!C60+'9.1.2. sz. mell.'!C60</f>
        <v>0</v>
      </c>
      <c r="G60" s="1028">
        <f t="shared" si="0"/>
        <v>0</v>
      </c>
      <c r="H60" s="1036">
        <f t="shared" si="1"/>
        <v>0</v>
      </c>
    </row>
    <row r="61" spans="1:8" s="65" customFormat="1" ht="12" customHeight="1" x14ac:dyDescent="0.2">
      <c r="A61" s="260" t="s">
        <v>185</v>
      </c>
      <c r="B61" s="246" t="s">
        <v>284</v>
      </c>
      <c r="C61" s="162"/>
      <c r="D61" s="1036">
        <f>'9.1.1. sz. mell. '!C61+'9.1.2. sz. mell.'!C61</f>
        <v>0</v>
      </c>
      <c r="E61" s="1036">
        <f>'9.1.1. sz. mell. '!C61+'9.1.2. sz. mell.'!C61</f>
        <v>0</v>
      </c>
      <c r="F61" s="1029">
        <f>'9.1.1. sz. mell. '!C61+'9.1.2. sz. mell.'!C61</f>
        <v>0</v>
      </c>
      <c r="G61" s="1030">
        <f t="shared" si="0"/>
        <v>0</v>
      </c>
      <c r="H61" s="1036">
        <f t="shared" si="1"/>
        <v>0</v>
      </c>
    </row>
    <row r="62" spans="1:8" s="65" customFormat="1" ht="12" customHeight="1" x14ac:dyDescent="0.2">
      <c r="A62" s="261" t="s">
        <v>186</v>
      </c>
      <c r="B62" s="247" t="s">
        <v>409</v>
      </c>
      <c r="C62" s="162"/>
      <c r="D62" s="1036">
        <f>'9.1.1. sz. mell. '!C62+'9.1.2. sz. mell.'!C62</f>
        <v>0</v>
      </c>
      <c r="E62" s="1036">
        <f>'9.1.1. sz. mell. '!C62+'9.1.2. sz. mell.'!C62</f>
        <v>0</v>
      </c>
      <c r="F62" s="1031">
        <f>'9.1.1. sz. mell. '!C62+'9.1.2. sz. mell.'!C62</f>
        <v>0</v>
      </c>
      <c r="G62" s="1032">
        <f t="shared" si="0"/>
        <v>0</v>
      </c>
      <c r="H62" s="1036">
        <f t="shared" si="1"/>
        <v>0</v>
      </c>
    </row>
    <row r="63" spans="1:8" s="65" customFormat="1" ht="12" customHeight="1" x14ac:dyDescent="0.2">
      <c r="A63" s="261" t="s">
        <v>208</v>
      </c>
      <c r="B63" s="247" t="s">
        <v>285</v>
      </c>
      <c r="C63" s="162"/>
      <c r="D63" s="1036">
        <f>'9.1.1. sz. mell. '!C63+'9.1.2. sz. mell.'!C63</f>
        <v>0</v>
      </c>
      <c r="E63" s="1036">
        <f>'9.1.1. sz. mell. '!C63+'9.1.2. sz. mell.'!C63</f>
        <v>0</v>
      </c>
      <c r="F63" s="1031">
        <f>'9.1.1. sz. mell. '!C63+'9.1.2. sz. mell.'!C63</f>
        <v>0</v>
      </c>
      <c r="G63" s="1032">
        <f t="shared" si="0"/>
        <v>0</v>
      </c>
      <c r="H63" s="1036">
        <f t="shared" si="1"/>
        <v>0</v>
      </c>
    </row>
    <row r="64" spans="1:8" s="65" customFormat="1" ht="12" customHeight="1" thickBot="1" x14ac:dyDescent="0.25">
      <c r="A64" s="262" t="s">
        <v>283</v>
      </c>
      <c r="B64" s="248" t="s">
        <v>286</v>
      </c>
      <c r="C64" s="162"/>
      <c r="D64" s="1036">
        <f>'9.1.1. sz. mell. '!C64+'9.1.2. sz. mell.'!C64</f>
        <v>0</v>
      </c>
      <c r="E64" s="1036">
        <f>'9.1.1. sz. mell. '!C64+'9.1.2. sz. mell.'!C64</f>
        <v>0</v>
      </c>
      <c r="F64" s="1033">
        <f>'9.1.1. sz. mell. '!C64+'9.1.2. sz. mell.'!C64</f>
        <v>0</v>
      </c>
      <c r="G64" s="1034">
        <f t="shared" si="0"/>
        <v>0</v>
      </c>
      <c r="H64" s="1036">
        <f t="shared" si="1"/>
        <v>0</v>
      </c>
    </row>
    <row r="65" spans="1:8" s="65" customFormat="1" ht="12" customHeight="1" thickBot="1" x14ac:dyDescent="0.25">
      <c r="A65" s="31" t="s">
        <v>53</v>
      </c>
      <c r="B65" s="20" t="s">
        <v>287</v>
      </c>
      <c r="C65" s="163">
        <f>+C8+C15+C22+C29+C37+C49+C55+C60</f>
        <v>2542069926</v>
      </c>
      <c r="D65" s="1036">
        <f>'9.1.1. sz. mell. '!C65+'9.1.2. sz. mell.'!C65</f>
        <v>2542069926</v>
      </c>
      <c r="E65" s="1036">
        <f>'9.1.1. sz. mell. '!C65+'9.1.2. sz. mell.'!C65</f>
        <v>2542069926</v>
      </c>
      <c r="F65" s="1028">
        <f>'9.1.1. sz. mell. '!C65+'9.1.2. sz. mell.'!C65</f>
        <v>2542069926</v>
      </c>
      <c r="G65" s="1028">
        <f t="shared" si="0"/>
        <v>0</v>
      </c>
      <c r="H65" s="1036">
        <f t="shared" si="1"/>
        <v>0</v>
      </c>
    </row>
    <row r="66" spans="1:8" s="65" customFormat="1" ht="12" customHeight="1" thickBot="1" x14ac:dyDescent="0.2">
      <c r="A66" s="263" t="s">
        <v>377</v>
      </c>
      <c r="B66" s="153" t="s">
        <v>289</v>
      </c>
      <c r="C66" s="158">
        <f>SUM(C67:C69)</f>
        <v>187500000</v>
      </c>
      <c r="D66" s="1036">
        <f>'9.1.1. sz. mell. '!C66+'9.1.2. sz. mell.'!C66</f>
        <v>187500000</v>
      </c>
      <c r="E66" s="1036">
        <f>'9.1.1. sz. mell. '!C66+'9.1.2. sz. mell.'!C66</f>
        <v>187500000</v>
      </c>
      <c r="F66" s="1028">
        <f>'9.1.1. sz. mell. '!C66+'9.1.2. sz. mell.'!C66</f>
        <v>187500000</v>
      </c>
      <c r="G66" s="1028">
        <f t="shared" si="0"/>
        <v>0</v>
      </c>
      <c r="H66" s="1036">
        <f t="shared" si="1"/>
        <v>0</v>
      </c>
    </row>
    <row r="67" spans="1:8" s="65" customFormat="1" ht="12" customHeight="1" x14ac:dyDescent="0.2">
      <c r="A67" s="260" t="s">
        <v>320</v>
      </c>
      <c r="B67" s="246" t="s">
        <v>290</v>
      </c>
      <c r="C67" s="162">
        <f>44100000+37900000+5500000</f>
        <v>87500000</v>
      </c>
      <c r="D67" s="1036">
        <f>'9.1.1. sz. mell. '!C67+'9.1.2. sz. mell.'!C67</f>
        <v>87500000</v>
      </c>
      <c r="E67" s="1036">
        <f>'9.1.1. sz. mell. '!C67+'9.1.2. sz. mell.'!C67</f>
        <v>87500000</v>
      </c>
      <c r="F67" s="1029">
        <f>'9.1.1. sz. mell. '!C67+'9.1.2. sz. mell.'!C67</f>
        <v>87500000</v>
      </c>
      <c r="G67" s="1030">
        <f t="shared" si="0"/>
        <v>0</v>
      </c>
      <c r="H67" s="1036">
        <f t="shared" si="1"/>
        <v>0</v>
      </c>
    </row>
    <row r="68" spans="1:8" s="65" customFormat="1" ht="12" customHeight="1" x14ac:dyDescent="0.2">
      <c r="A68" s="261" t="s">
        <v>329</v>
      </c>
      <c r="B68" s="247" t="s">
        <v>291</v>
      </c>
      <c r="C68" s="162">
        <v>100000000</v>
      </c>
      <c r="D68" s="1036">
        <f>'9.1.1. sz. mell. '!C68+'9.1.2. sz. mell.'!C68</f>
        <v>100000000</v>
      </c>
      <c r="E68" s="1036">
        <f>'9.1.1. sz. mell. '!C68+'9.1.2. sz. mell.'!C68</f>
        <v>100000000</v>
      </c>
      <c r="F68" s="1031">
        <f>'9.1.1. sz. mell. '!C68+'9.1.2. sz. mell.'!C68</f>
        <v>100000000</v>
      </c>
      <c r="G68" s="1032">
        <f t="shared" si="0"/>
        <v>0</v>
      </c>
      <c r="H68" s="1036">
        <f t="shared" si="1"/>
        <v>0</v>
      </c>
    </row>
    <row r="69" spans="1:8" s="65" customFormat="1" ht="12" customHeight="1" thickBot="1" x14ac:dyDescent="0.25">
      <c r="A69" s="262" t="s">
        <v>330</v>
      </c>
      <c r="B69" s="249" t="s">
        <v>292</v>
      </c>
      <c r="C69" s="162"/>
      <c r="D69" s="1036">
        <f>'9.1.1. sz. mell. '!C69+'9.1.2. sz. mell.'!C69</f>
        <v>0</v>
      </c>
      <c r="E69" s="1036">
        <f>'9.1.1. sz. mell. '!C69+'9.1.2. sz. mell.'!C69</f>
        <v>0</v>
      </c>
      <c r="F69" s="1033">
        <f>'9.1.1. sz. mell. '!C69+'9.1.2. sz. mell.'!C69</f>
        <v>0</v>
      </c>
      <c r="G69" s="1034">
        <f t="shared" si="0"/>
        <v>0</v>
      </c>
      <c r="H69" s="1036">
        <f t="shared" si="1"/>
        <v>0</v>
      </c>
    </row>
    <row r="70" spans="1:8" s="65" customFormat="1" ht="12" customHeight="1" thickBot="1" x14ac:dyDescent="0.2">
      <c r="A70" s="263" t="s">
        <v>293</v>
      </c>
      <c r="B70" s="153" t="s">
        <v>294</v>
      </c>
      <c r="C70" s="158">
        <f>SUM(C71:C74)</f>
        <v>0</v>
      </c>
      <c r="D70" s="1036">
        <f>'9.1.1. sz. mell. '!C70+'9.1.2. sz. mell.'!C70</f>
        <v>0</v>
      </c>
      <c r="E70" s="1036">
        <f>'9.1.1. sz. mell. '!C70+'9.1.2. sz. mell.'!C70</f>
        <v>0</v>
      </c>
      <c r="F70" s="1028">
        <f>'9.1.1. sz. mell. '!C70+'9.1.2. sz. mell.'!C70</f>
        <v>0</v>
      </c>
      <c r="G70" s="1028">
        <f t="shared" si="0"/>
        <v>0</v>
      </c>
      <c r="H70" s="1036">
        <f t="shared" si="1"/>
        <v>0</v>
      </c>
    </row>
    <row r="71" spans="1:8" s="65" customFormat="1" ht="12" customHeight="1" x14ac:dyDescent="0.2">
      <c r="A71" s="260" t="s">
        <v>165</v>
      </c>
      <c r="B71" s="246" t="s">
        <v>295</v>
      </c>
      <c r="C71" s="162"/>
      <c r="D71" s="1036">
        <f>'9.1.1. sz. mell. '!C71+'9.1.2. sz. mell.'!C71</f>
        <v>0</v>
      </c>
      <c r="E71" s="1036">
        <f>'9.1.1. sz. mell. '!C71+'9.1.2. sz. mell.'!C71</f>
        <v>0</v>
      </c>
      <c r="F71" s="1029">
        <f>'9.1.1. sz. mell. '!C71+'9.1.2. sz. mell.'!C71</f>
        <v>0</v>
      </c>
      <c r="G71" s="1030">
        <f t="shared" si="0"/>
        <v>0</v>
      </c>
      <c r="H71" s="1036">
        <f t="shared" si="1"/>
        <v>0</v>
      </c>
    </row>
    <row r="72" spans="1:8" s="65" customFormat="1" ht="12" customHeight="1" x14ac:dyDescent="0.2">
      <c r="A72" s="261" t="s">
        <v>166</v>
      </c>
      <c r="B72" s="247" t="s">
        <v>296</v>
      </c>
      <c r="C72" s="162"/>
      <c r="D72" s="1036">
        <f>'9.1.1. sz. mell. '!C72+'9.1.2. sz. mell.'!C72</f>
        <v>0</v>
      </c>
      <c r="E72" s="1036">
        <f>'9.1.1. sz. mell. '!C72+'9.1.2. sz. mell.'!C72</f>
        <v>0</v>
      </c>
      <c r="F72" s="1031">
        <f>'9.1.1. sz. mell. '!C72+'9.1.2. sz. mell.'!C72</f>
        <v>0</v>
      </c>
      <c r="G72" s="1032">
        <f t="shared" si="0"/>
        <v>0</v>
      </c>
      <c r="H72" s="1036">
        <f t="shared" si="1"/>
        <v>0</v>
      </c>
    </row>
    <row r="73" spans="1:8" s="65" customFormat="1" ht="12" customHeight="1" x14ac:dyDescent="0.2">
      <c r="A73" s="261" t="s">
        <v>321</v>
      </c>
      <c r="B73" s="247" t="s">
        <v>297</v>
      </c>
      <c r="C73" s="162"/>
      <c r="D73" s="1036">
        <f>'9.1.1. sz. mell. '!C73+'9.1.2. sz. mell.'!C73</f>
        <v>0</v>
      </c>
      <c r="E73" s="1036">
        <f>'9.1.1. sz. mell. '!C73+'9.1.2. sz. mell.'!C73</f>
        <v>0</v>
      </c>
      <c r="F73" s="1031">
        <f>'9.1.1. sz. mell. '!C73+'9.1.2. sz. mell.'!C73</f>
        <v>0</v>
      </c>
      <c r="G73" s="1032">
        <f t="shared" ref="G73:G136" si="2">C73-F73</f>
        <v>0</v>
      </c>
      <c r="H73" s="1036">
        <f t="shared" ref="H73:H136" si="3">C73-D73</f>
        <v>0</v>
      </c>
    </row>
    <row r="74" spans="1:8" s="65" customFormat="1" ht="12" customHeight="1" thickBot="1" x14ac:dyDescent="0.25">
      <c r="A74" s="262" t="s">
        <v>322</v>
      </c>
      <c r="B74" s="248" t="s">
        <v>298</v>
      </c>
      <c r="C74" s="162"/>
      <c r="D74" s="1036">
        <f>'9.1.1. sz. mell. '!C74+'9.1.2. sz. mell.'!C74</f>
        <v>0</v>
      </c>
      <c r="E74" s="1036">
        <f>'9.1.1. sz. mell. '!C74+'9.1.2. sz. mell.'!C74</f>
        <v>0</v>
      </c>
      <c r="F74" s="1033">
        <f>'9.1.1. sz. mell. '!C74+'9.1.2. sz. mell.'!C74</f>
        <v>0</v>
      </c>
      <c r="G74" s="1034">
        <f t="shared" si="2"/>
        <v>0</v>
      </c>
      <c r="H74" s="1036">
        <f t="shared" si="3"/>
        <v>0</v>
      </c>
    </row>
    <row r="75" spans="1:8" s="65" customFormat="1" ht="12" customHeight="1" thickBot="1" x14ac:dyDescent="0.2">
      <c r="A75" s="263" t="s">
        <v>299</v>
      </c>
      <c r="B75" s="153" t="s">
        <v>300</v>
      </c>
      <c r="C75" s="158">
        <f>SUM(C76:C77)</f>
        <v>289331423</v>
      </c>
      <c r="D75" s="1036">
        <f>'9.1.1. sz. mell. '!C75+'9.1.2. sz. mell.'!C75</f>
        <v>289331423</v>
      </c>
      <c r="E75" s="1036">
        <f>'9.1.1. sz. mell. '!C75+'9.1.2. sz. mell.'!C75</f>
        <v>289331423</v>
      </c>
      <c r="F75" s="1028">
        <f>'9.1.1. sz. mell. '!C75+'9.1.2. sz. mell.'!C75</f>
        <v>289331423</v>
      </c>
      <c r="G75" s="1028">
        <f t="shared" si="2"/>
        <v>0</v>
      </c>
      <c r="H75" s="1036">
        <f t="shared" si="3"/>
        <v>0</v>
      </c>
    </row>
    <row r="76" spans="1:8" s="65" customFormat="1" ht="12" customHeight="1" x14ac:dyDescent="0.2">
      <c r="A76" s="260" t="s">
        <v>323</v>
      </c>
      <c r="B76" s="246" t="s">
        <v>301</v>
      </c>
      <c r="C76" s="162">
        <v>289331423</v>
      </c>
      <c r="D76" s="1036">
        <f>'9.1.1. sz. mell. '!C76+'9.1.2. sz. mell.'!C76</f>
        <v>289331423</v>
      </c>
      <c r="E76" s="1036">
        <f>'9.1.1. sz. mell. '!C76+'9.1.2. sz. mell.'!C76</f>
        <v>289331423</v>
      </c>
      <c r="F76" s="1029">
        <f>'9.1.1. sz. mell. '!C76+'9.1.2. sz. mell.'!C76</f>
        <v>289331423</v>
      </c>
      <c r="G76" s="1030">
        <f t="shared" si="2"/>
        <v>0</v>
      </c>
      <c r="H76" s="1036">
        <f t="shared" si="3"/>
        <v>0</v>
      </c>
    </row>
    <row r="77" spans="1:8" s="65" customFormat="1" ht="12" customHeight="1" thickBot="1" x14ac:dyDescent="0.25">
      <c r="A77" s="262" t="s">
        <v>324</v>
      </c>
      <c r="B77" s="248" t="s">
        <v>302</v>
      </c>
      <c r="C77" s="162"/>
      <c r="D77" s="1036">
        <f>'9.1.1. sz. mell. '!C77+'9.1.2. sz. mell.'!C77</f>
        <v>0</v>
      </c>
      <c r="E77" s="1036">
        <f>'9.1.1. sz. mell. '!C77+'9.1.2. sz. mell.'!C77</f>
        <v>0</v>
      </c>
      <c r="F77" s="1033">
        <f>'9.1.1. sz. mell. '!C77+'9.1.2. sz. mell.'!C77</f>
        <v>0</v>
      </c>
      <c r="G77" s="1034">
        <f t="shared" si="2"/>
        <v>0</v>
      </c>
      <c r="H77" s="1036">
        <f t="shared" si="3"/>
        <v>0</v>
      </c>
    </row>
    <row r="78" spans="1:8" s="64" customFormat="1" ht="12" customHeight="1" thickBot="1" x14ac:dyDescent="0.2">
      <c r="A78" s="263" t="s">
        <v>303</v>
      </c>
      <c r="B78" s="153" t="s">
        <v>304</v>
      </c>
      <c r="C78" s="158">
        <f>SUM(C79:C81)</f>
        <v>0</v>
      </c>
      <c r="D78" s="1036">
        <f>'9.1.1. sz. mell. '!C78+'9.1.2. sz. mell.'!C78</f>
        <v>0</v>
      </c>
      <c r="E78" s="1036">
        <f>'9.1.1. sz. mell. '!C78+'9.1.2. sz. mell.'!C78</f>
        <v>0</v>
      </c>
      <c r="F78" s="1028">
        <f>'9.1.1. sz. mell. '!C78+'9.1.2. sz. mell.'!C78</f>
        <v>0</v>
      </c>
      <c r="G78" s="1028">
        <f t="shared" si="2"/>
        <v>0</v>
      </c>
      <c r="H78" s="1036">
        <f t="shared" si="3"/>
        <v>0</v>
      </c>
    </row>
    <row r="79" spans="1:8" s="65" customFormat="1" ht="12" customHeight="1" x14ac:dyDescent="0.2">
      <c r="A79" s="260" t="s">
        <v>325</v>
      </c>
      <c r="B79" s="246" t="s">
        <v>305</v>
      </c>
      <c r="C79" s="162"/>
      <c r="D79" s="1036">
        <f>'9.1.1. sz. mell. '!C79+'9.1.2. sz. mell.'!C79</f>
        <v>0</v>
      </c>
      <c r="E79" s="1036">
        <f>'9.1.1. sz. mell. '!C79+'9.1.2. sz. mell.'!C79</f>
        <v>0</v>
      </c>
      <c r="F79" s="1029">
        <f>'9.1.1. sz. mell. '!C79+'9.1.2. sz. mell.'!C79</f>
        <v>0</v>
      </c>
      <c r="G79" s="1030">
        <f t="shared" si="2"/>
        <v>0</v>
      </c>
      <c r="H79" s="1036">
        <f t="shared" si="3"/>
        <v>0</v>
      </c>
    </row>
    <row r="80" spans="1:8" s="65" customFormat="1" ht="12" customHeight="1" x14ac:dyDescent="0.2">
      <c r="A80" s="261" t="s">
        <v>326</v>
      </c>
      <c r="B80" s="247" t="s">
        <v>306</v>
      </c>
      <c r="C80" s="162"/>
      <c r="D80" s="1036">
        <f>'9.1.1. sz. mell. '!C80+'9.1.2. sz. mell.'!C80</f>
        <v>0</v>
      </c>
      <c r="E80" s="1036">
        <f>'9.1.1. sz. mell. '!C80+'9.1.2. sz. mell.'!C80</f>
        <v>0</v>
      </c>
      <c r="F80" s="1031">
        <f>'9.1.1. sz. mell. '!C80+'9.1.2. sz. mell.'!C80</f>
        <v>0</v>
      </c>
      <c r="G80" s="1032">
        <f t="shared" si="2"/>
        <v>0</v>
      </c>
      <c r="H80" s="1036">
        <f t="shared" si="3"/>
        <v>0</v>
      </c>
    </row>
    <row r="81" spans="1:8" s="65" customFormat="1" ht="12" customHeight="1" thickBot="1" x14ac:dyDescent="0.25">
      <c r="A81" s="262" t="s">
        <v>327</v>
      </c>
      <c r="B81" s="248" t="s">
        <v>307</v>
      </c>
      <c r="C81" s="162"/>
      <c r="D81" s="1036">
        <f>'9.1.1. sz. mell. '!C81+'9.1.2. sz. mell.'!C81</f>
        <v>0</v>
      </c>
      <c r="E81" s="1036">
        <f>'9.1.1. sz. mell. '!C81+'9.1.2. sz. mell.'!C81</f>
        <v>0</v>
      </c>
      <c r="F81" s="1033">
        <f>'9.1.1. sz. mell. '!C81+'9.1.2. sz. mell.'!C81</f>
        <v>0</v>
      </c>
      <c r="G81" s="1034">
        <f t="shared" si="2"/>
        <v>0</v>
      </c>
      <c r="H81" s="1036">
        <f t="shared" si="3"/>
        <v>0</v>
      </c>
    </row>
    <row r="82" spans="1:8" s="65" customFormat="1" ht="12" customHeight="1" thickBot="1" x14ac:dyDescent="0.2">
      <c r="A82" s="263" t="s">
        <v>308</v>
      </c>
      <c r="B82" s="153" t="s">
        <v>328</v>
      </c>
      <c r="C82" s="158">
        <f>SUM(C83:C86)</f>
        <v>0</v>
      </c>
      <c r="D82" s="1036">
        <f>'9.1.1. sz. mell. '!C82+'9.1.2. sz. mell.'!C82</f>
        <v>0</v>
      </c>
      <c r="E82" s="1036">
        <f>'9.1.1. sz. mell. '!C82+'9.1.2. sz. mell.'!C82</f>
        <v>0</v>
      </c>
      <c r="F82" s="1028">
        <f>'9.1.1. sz. mell. '!C82+'9.1.2. sz. mell.'!C82</f>
        <v>0</v>
      </c>
      <c r="G82" s="1028">
        <f t="shared" si="2"/>
        <v>0</v>
      </c>
      <c r="H82" s="1036">
        <f t="shared" si="3"/>
        <v>0</v>
      </c>
    </row>
    <row r="83" spans="1:8" s="65" customFormat="1" ht="12" customHeight="1" x14ac:dyDescent="0.2">
      <c r="A83" s="264" t="s">
        <v>309</v>
      </c>
      <c r="B83" s="246" t="s">
        <v>310</v>
      </c>
      <c r="C83" s="162"/>
      <c r="D83" s="1036">
        <f>'9.1.1. sz. mell. '!C83+'9.1.2. sz. mell.'!C83</f>
        <v>0</v>
      </c>
      <c r="E83" s="1036">
        <f>'9.1.1. sz. mell. '!C83+'9.1.2. sz. mell.'!C83</f>
        <v>0</v>
      </c>
      <c r="F83" s="1029">
        <f>'9.1.1. sz. mell. '!C83+'9.1.2. sz. mell.'!C83</f>
        <v>0</v>
      </c>
      <c r="G83" s="1030">
        <f t="shared" si="2"/>
        <v>0</v>
      </c>
      <c r="H83" s="1036">
        <f t="shared" si="3"/>
        <v>0</v>
      </c>
    </row>
    <row r="84" spans="1:8" s="65" customFormat="1" ht="12" customHeight="1" x14ac:dyDescent="0.2">
      <c r="A84" s="265" t="s">
        <v>311</v>
      </c>
      <c r="B84" s="247" t="s">
        <v>312</v>
      </c>
      <c r="C84" s="162"/>
      <c r="D84" s="1036">
        <f>'9.1.1. sz. mell. '!C84+'9.1.2. sz. mell.'!C84</f>
        <v>0</v>
      </c>
      <c r="E84" s="1036">
        <f>'9.1.1. sz. mell. '!C84+'9.1.2. sz. mell.'!C84</f>
        <v>0</v>
      </c>
      <c r="F84" s="1031">
        <f>'9.1.1. sz. mell. '!C84+'9.1.2. sz. mell.'!C84</f>
        <v>0</v>
      </c>
      <c r="G84" s="1032">
        <f t="shared" si="2"/>
        <v>0</v>
      </c>
      <c r="H84" s="1036">
        <f t="shared" si="3"/>
        <v>0</v>
      </c>
    </row>
    <row r="85" spans="1:8" s="65" customFormat="1" ht="12" customHeight="1" x14ac:dyDescent="0.2">
      <c r="A85" s="265" t="s">
        <v>313</v>
      </c>
      <c r="B85" s="247" t="s">
        <v>314</v>
      </c>
      <c r="C85" s="162"/>
      <c r="D85" s="1036">
        <f>'9.1.1. sz. mell. '!C85+'9.1.2. sz. mell.'!C85</f>
        <v>0</v>
      </c>
      <c r="E85" s="1036">
        <f>'9.1.1. sz. mell. '!C85+'9.1.2. sz. mell.'!C85</f>
        <v>0</v>
      </c>
      <c r="F85" s="1031">
        <f>'9.1.1. sz. mell. '!C85+'9.1.2. sz. mell.'!C85</f>
        <v>0</v>
      </c>
      <c r="G85" s="1032">
        <f t="shared" si="2"/>
        <v>0</v>
      </c>
      <c r="H85" s="1036">
        <f t="shared" si="3"/>
        <v>0</v>
      </c>
    </row>
    <row r="86" spans="1:8" s="64" customFormat="1" ht="12" customHeight="1" thickBot="1" x14ac:dyDescent="0.25">
      <c r="A86" s="266" t="s">
        <v>315</v>
      </c>
      <c r="B86" s="248" t="s">
        <v>316</v>
      </c>
      <c r="C86" s="162"/>
      <c r="D86" s="1036">
        <f>'9.1.1. sz. mell. '!C86+'9.1.2. sz. mell.'!C86</f>
        <v>0</v>
      </c>
      <c r="E86" s="1036">
        <f>'9.1.1. sz. mell. '!C86+'9.1.2. sz. mell.'!C86</f>
        <v>0</v>
      </c>
      <c r="F86" s="1033">
        <f>'9.1.1. sz. mell. '!C86+'9.1.2. sz. mell.'!C86</f>
        <v>0</v>
      </c>
      <c r="G86" s="1034">
        <f t="shared" si="2"/>
        <v>0</v>
      </c>
      <c r="H86" s="1036">
        <f t="shared" si="3"/>
        <v>0</v>
      </c>
    </row>
    <row r="87" spans="1:8" s="64" customFormat="1" ht="12" customHeight="1" thickBot="1" x14ac:dyDescent="0.2">
      <c r="A87" s="263" t="s">
        <v>317</v>
      </c>
      <c r="B87" s="153" t="s">
        <v>537</v>
      </c>
      <c r="C87" s="285"/>
      <c r="D87" s="1036">
        <f>'9.1.1. sz. mell. '!C87+'9.1.2. sz. mell.'!C87</f>
        <v>0</v>
      </c>
      <c r="E87" s="1036">
        <f>'9.1.1. sz. mell. '!C87+'9.1.2. sz. mell.'!C87</f>
        <v>0</v>
      </c>
      <c r="F87" s="1028">
        <f>'9.1.1. sz. mell. '!C87+'9.1.2. sz. mell.'!C87</f>
        <v>0</v>
      </c>
      <c r="G87" s="1028">
        <f t="shared" si="2"/>
        <v>0</v>
      </c>
      <c r="H87" s="1036">
        <f t="shared" si="3"/>
        <v>0</v>
      </c>
    </row>
    <row r="88" spans="1:8" s="64" customFormat="1" ht="12" customHeight="1" thickBot="1" x14ac:dyDescent="0.2">
      <c r="A88" s="263" t="s">
        <v>590</v>
      </c>
      <c r="B88" s="153" t="s">
        <v>318</v>
      </c>
      <c r="C88" s="285"/>
      <c r="D88" s="1036">
        <f>'9.1.1. sz. mell. '!C88+'9.1.2. sz. mell.'!C88</f>
        <v>0</v>
      </c>
      <c r="E88" s="1036">
        <f>'9.1.1. sz. mell. '!C88+'9.1.2. sz. mell.'!C88</f>
        <v>0</v>
      </c>
      <c r="F88" s="1028">
        <f>'9.1.1. sz. mell. '!C88+'9.1.2. sz. mell.'!C88</f>
        <v>0</v>
      </c>
      <c r="G88" s="1028">
        <f t="shared" si="2"/>
        <v>0</v>
      </c>
      <c r="H88" s="1036">
        <f t="shared" si="3"/>
        <v>0</v>
      </c>
    </row>
    <row r="89" spans="1:8" s="64" customFormat="1" ht="12" customHeight="1" thickBot="1" x14ac:dyDescent="0.2">
      <c r="A89" s="263" t="s">
        <v>591</v>
      </c>
      <c r="B89" s="253" t="s">
        <v>538</v>
      </c>
      <c r="C89" s="163">
        <f>+C66+C70+C75+C78+C82+C88+C87</f>
        <v>476831423</v>
      </c>
      <c r="D89" s="1036">
        <f>'9.1.1. sz. mell. '!C89+'9.1.2. sz. mell.'!C89</f>
        <v>476831423</v>
      </c>
      <c r="E89" s="1036">
        <f>'9.1.1. sz. mell. '!C89+'9.1.2. sz. mell.'!C89</f>
        <v>476831423</v>
      </c>
      <c r="F89" s="1028">
        <f>'9.1.1. sz. mell. '!C89+'9.1.2. sz. mell.'!C89</f>
        <v>476831423</v>
      </c>
      <c r="G89" s="1028">
        <f t="shared" si="2"/>
        <v>0</v>
      </c>
      <c r="H89" s="1036">
        <f t="shared" si="3"/>
        <v>0</v>
      </c>
    </row>
    <row r="90" spans="1:8" s="64" customFormat="1" ht="12" customHeight="1" thickBot="1" x14ac:dyDescent="0.2">
      <c r="A90" s="267" t="s">
        <v>592</v>
      </c>
      <c r="B90" s="254" t="s">
        <v>593</v>
      </c>
      <c r="C90" s="163">
        <f>+C65+C89</f>
        <v>3018901349</v>
      </c>
      <c r="D90" s="1036">
        <f>'9.1.1. sz. mell. '!C90+'9.1.2. sz. mell.'!C90</f>
        <v>3018901349</v>
      </c>
      <c r="E90" s="1036">
        <f>'9.1.1. sz. mell. '!C90+'9.1.2. sz. mell.'!C90</f>
        <v>3018901349</v>
      </c>
      <c r="F90" s="1028">
        <f>'9.1.1. sz. mell. '!C90+'9.1.2. sz. mell.'!C90</f>
        <v>3018901349</v>
      </c>
      <c r="G90" s="1028">
        <f t="shared" si="2"/>
        <v>0</v>
      </c>
      <c r="H90" s="1036">
        <f t="shared" si="3"/>
        <v>0</v>
      </c>
    </row>
    <row r="91" spans="1:8" s="65" customFormat="1" ht="15" customHeight="1" thickBot="1" x14ac:dyDescent="0.25">
      <c r="A91" s="132"/>
      <c r="B91" s="133"/>
      <c r="C91" s="218"/>
      <c r="D91" s="1036">
        <f>'9.1.1. sz. mell. '!C91+'9.1.2. sz. mell.'!C91</f>
        <v>0</v>
      </c>
      <c r="E91" s="1036">
        <f>'9.1.1. sz. mell. '!C91+'9.1.2. sz. mell.'!C91</f>
        <v>0</v>
      </c>
      <c r="F91" s="1026"/>
      <c r="G91" s="1026"/>
      <c r="H91" s="1036">
        <f t="shared" si="3"/>
        <v>0</v>
      </c>
    </row>
    <row r="92" spans="1:8" s="48" customFormat="1" ht="16.5" customHeight="1" thickBot="1" x14ac:dyDescent="0.25">
      <c r="A92" s="136"/>
      <c r="B92" s="137" t="s">
        <v>85</v>
      </c>
      <c r="C92" s="220"/>
      <c r="D92" s="1036">
        <f>'9.1.1. sz. mell. '!C92+'9.1.2. sz. mell.'!C92</f>
        <v>0</v>
      </c>
      <c r="E92" s="1036">
        <f>'9.1.1. sz. mell. '!C92+'9.1.2. sz. mell.'!C92</f>
        <v>0</v>
      </c>
      <c r="F92" s="1026"/>
      <c r="G92" s="1026"/>
      <c r="H92" s="1036">
        <f t="shared" si="3"/>
        <v>0</v>
      </c>
    </row>
    <row r="93" spans="1:8" s="66" customFormat="1" ht="12" customHeight="1" thickBot="1" x14ac:dyDescent="0.25">
      <c r="A93" s="238" t="s">
        <v>45</v>
      </c>
      <c r="B93" s="25" t="s">
        <v>604</v>
      </c>
      <c r="C93" s="157">
        <f>+C94+C95+C96+C97+C98+C111</f>
        <v>864159035</v>
      </c>
      <c r="D93" s="1036">
        <f>'9.1.1. sz. mell. '!C93+'9.1.2. sz. mell.'!C93</f>
        <v>864159035</v>
      </c>
      <c r="E93" s="1036">
        <f>'9.1.1. sz. mell. '!C93+'9.1.2. sz. mell.'!C93</f>
        <v>864159035</v>
      </c>
      <c r="F93" s="1028">
        <f>'9.1.1. sz. mell. '!C93+'9.1.2. sz. mell.'!C93</f>
        <v>864159035</v>
      </c>
      <c r="G93" s="1028">
        <f t="shared" si="2"/>
        <v>0</v>
      </c>
      <c r="H93" s="1036">
        <f t="shared" si="3"/>
        <v>0</v>
      </c>
    </row>
    <row r="94" spans="1:8" ht="12" customHeight="1" x14ac:dyDescent="0.2">
      <c r="A94" s="268" t="s">
        <v>121</v>
      </c>
      <c r="B94" s="9" t="s">
        <v>76</v>
      </c>
      <c r="C94" s="891">
        <f>25364000+485000+6010000+3749000+165142000+48000+105000+8381882+232903371-282000+589000+24000+281000+326126+85501355+54000-231000+76000+2550000-132000-1343902+2037000+481496+3375000+4000-279139483-198000-388424+2921000+1577323+15800+15000</f>
        <v>260301544</v>
      </c>
      <c r="D94" s="1036">
        <f>'9.1.1. sz. mell. '!C94+'9.1.2. sz. mell.'!C94</f>
        <v>260301544</v>
      </c>
      <c r="E94" s="1036">
        <f>'9.1.1. sz. mell. '!C94+'9.1.2. sz. mell.'!C94</f>
        <v>260301544</v>
      </c>
      <c r="F94" s="1029">
        <f>'9.1.1. sz. mell. '!C94+'9.1.2. sz. mell.'!C94</f>
        <v>260301544</v>
      </c>
      <c r="G94" s="1030">
        <f t="shared" si="2"/>
        <v>0</v>
      </c>
      <c r="H94" s="1036">
        <f t="shared" si="3"/>
        <v>0</v>
      </c>
    </row>
    <row r="95" spans="1:8" ht="12" customHeight="1" x14ac:dyDescent="0.2">
      <c r="A95" s="261" t="s">
        <v>122</v>
      </c>
      <c r="B95" s="7" t="s">
        <v>187</v>
      </c>
      <c r="C95" s="889">
        <f>5239000+143000+1233000+14000+1652000+19299000+10000+23000+922005+25618911-63900+117000+10800+31000+35874+9405149+12000-45738+37984+561000-26136-235888+448140+210221+911250-31590193-39204+388424+578359+312310+6910+2970</f>
        <v>35222248</v>
      </c>
      <c r="D95" s="1036">
        <f>'9.1.1. sz. mell. '!C95+'9.1.2. sz. mell.'!C95</f>
        <v>35222248</v>
      </c>
      <c r="E95" s="1036">
        <f>'9.1.1. sz. mell. '!C95+'9.1.2. sz. mell.'!C95</f>
        <v>35222248</v>
      </c>
      <c r="F95" s="1031">
        <f>'9.1.1. sz. mell. '!C95+'9.1.2. sz. mell.'!C95</f>
        <v>35222248</v>
      </c>
      <c r="G95" s="1032">
        <f t="shared" si="2"/>
        <v>0</v>
      </c>
      <c r="H95" s="1036">
        <f t="shared" si="3"/>
        <v>0</v>
      </c>
    </row>
    <row r="96" spans="1:8" ht="12" customHeight="1" x14ac:dyDescent="0.2">
      <c r="A96" s="261" t="s">
        <v>123</v>
      </c>
      <c r="B96" s="7" t="s">
        <v>157</v>
      </c>
      <c r="C96" s="847">
        <f>11475000+835000+4801000+2722822+944166+8715000+1817000+17736000+735000+300000+8485000+34925000+628800+40773000+3429000+11212000+576000+3351000+1682000+16980000+46750042+1200000+4573000+1350000+376000+36794904+295900+401000+20000+812000+400000+411000+1982000+1600000+270000+26600000+3939600-8488680+91440+869950+918292+40808090+140000+40446+7585000+600000+706000+361225+6840000+918292+137360+80000+570939+433000+46000+8760131-2866987-800001+1246500+68374+300000+143504+214000-4705000+138750+254000+381000+2749550+394000+326000-19000000+454000+2267725-4000-558800+1524000+1905000-2694940-31916082+1924793+5080000+1565437+1430020+4266+127000+521001+1260524+3189+151130+7533000</f>
        <v>330736672</v>
      </c>
      <c r="D96" s="1036">
        <f>'9.1.1. sz. mell. '!C96+'9.1.2. sz. mell.'!C96</f>
        <v>330736672</v>
      </c>
      <c r="E96" s="1036">
        <f>'9.1.1. sz. mell. '!C96+'9.1.2. sz. mell.'!C96</f>
        <v>330736672</v>
      </c>
      <c r="F96" s="1031">
        <f>'9.1.1. sz. mell. '!C96+'9.1.2. sz. mell.'!C96</f>
        <v>330736672</v>
      </c>
      <c r="G96" s="1032">
        <f t="shared" si="2"/>
        <v>0</v>
      </c>
      <c r="H96" s="1036">
        <f t="shared" si="3"/>
        <v>0</v>
      </c>
    </row>
    <row r="97" spans="1:8" ht="12" customHeight="1" x14ac:dyDescent="0.2">
      <c r="A97" s="261" t="s">
        <v>124</v>
      </c>
      <c r="B97" s="10" t="s">
        <v>188</v>
      </c>
      <c r="C97" s="847">
        <f>70980000+5000-6906260-5080000-4000000</f>
        <v>54998740</v>
      </c>
      <c r="D97" s="1036">
        <f>'9.1.1. sz. mell. '!C97+'9.1.2. sz. mell.'!C97</f>
        <v>54998740</v>
      </c>
      <c r="E97" s="1036">
        <f>'9.1.1. sz. mell. '!C97+'9.1.2. sz. mell.'!C97</f>
        <v>54998740</v>
      </c>
      <c r="F97" s="1031">
        <f>'9.1.1. sz. mell. '!C97+'9.1.2. sz. mell.'!C97</f>
        <v>54998740</v>
      </c>
      <c r="G97" s="1032">
        <f t="shared" si="2"/>
        <v>0</v>
      </c>
      <c r="H97" s="1036">
        <f t="shared" si="3"/>
        <v>0</v>
      </c>
    </row>
    <row r="98" spans="1:8" ht="12" customHeight="1" x14ac:dyDescent="0.2">
      <c r="A98" s="261" t="s">
        <v>135</v>
      </c>
      <c r="B98" s="18" t="s">
        <v>189</v>
      </c>
      <c r="C98" s="235">
        <f>SUM(C99:C110)</f>
        <v>85130011</v>
      </c>
      <c r="D98" s="1036">
        <f>'9.1.1. sz. mell. '!C98+'9.1.2. sz. mell.'!C98</f>
        <v>85130011</v>
      </c>
      <c r="E98" s="1036">
        <f>'9.1.1. sz. mell. '!C98+'9.1.2. sz. mell.'!C98</f>
        <v>85130011</v>
      </c>
      <c r="F98" s="1031">
        <f>'9.1.1. sz. mell. '!C98+'9.1.2. sz. mell.'!C98</f>
        <v>85130011</v>
      </c>
      <c r="G98" s="1032">
        <f t="shared" si="2"/>
        <v>0</v>
      </c>
      <c r="H98" s="1036">
        <f t="shared" si="3"/>
        <v>0</v>
      </c>
    </row>
    <row r="99" spans="1:8" ht="12" customHeight="1" x14ac:dyDescent="0.2">
      <c r="A99" s="261" t="s">
        <v>125</v>
      </c>
      <c r="B99" s="7" t="s">
        <v>594</v>
      </c>
      <c r="C99" s="235">
        <f>1500+6098534+1143510+114463+2792500+6504</f>
        <v>10157011</v>
      </c>
      <c r="D99" s="1036">
        <f>'9.1.1. sz. mell. '!C99+'9.1.2. sz. mell.'!C99</f>
        <v>10157011</v>
      </c>
      <c r="E99" s="1036">
        <f>'9.1.1. sz. mell. '!C99+'9.1.2. sz. mell.'!C99</f>
        <v>10157011</v>
      </c>
      <c r="F99" s="1031">
        <f>'9.1.1. sz. mell. '!C99+'9.1.2. sz. mell.'!C99</f>
        <v>10157011</v>
      </c>
      <c r="G99" s="1032">
        <f t="shared" si="2"/>
        <v>0</v>
      </c>
      <c r="H99" s="1036">
        <f t="shared" si="3"/>
        <v>0</v>
      </c>
    </row>
    <row r="100" spans="1:8" ht="12" customHeight="1" x14ac:dyDescent="0.2">
      <c r="A100" s="261" t="s">
        <v>126</v>
      </c>
      <c r="B100" s="88" t="s">
        <v>542</v>
      </c>
      <c r="C100" s="235"/>
      <c r="D100" s="1036">
        <f>'9.1.1. sz. mell. '!C100+'9.1.2. sz. mell.'!C100</f>
        <v>0</v>
      </c>
      <c r="E100" s="1036">
        <f>'9.1.1. sz. mell. '!C100+'9.1.2. sz. mell.'!C100</f>
        <v>0</v>
      </c>
      <c r="F100" s="1031">
        <f>'9.1.1. sz. mell. '!C100+'9.1.2. sz. mell.'!C100</f>
        <v>0</v>
      </c>
      <c r="G100" s="1032">
        <f t="shared" si="2"/>
        <v>0</v>
      </c>
      <c r="H100" s="1036">
        <f t="shared" si="3"/>
        <v>0</v>
      </c>
    </row>
    <row r="101" spans="1:8" ht="12" customHeight="1" x14ac:dyDescent="0.2">
      <c r="A101" s="261" t="s">
        <v>136</v>
      </c>
      <c r="B101" s="88" t="s">
        <v>543</v>
      </c>
      <c r="C101" s="235"/>
      <c r="D101" s="1036">
        <f>'9.1.1. sz. mell. '!C101+'9.1.2. sz. mell.'!C101</f>
        <v>0</v>
      </c>
      <c r="E101" s="1036">
        <f>'9.1.1. sz. mell. '!C101+'9.1.2. sz. mell.'!C101</f>
        <v>0</v>
      </c>
      <c r="F101" s="1031">
        <f>'9.1.1. sz. mell. '!C101+'9.1.2. sz. mell.'!C101</f>
        <v>0</v>
      </c>
      <c r="G101" s="1032">
        <f t="shared" si="2"/>
        <v>0</v>
      </c>
      <c r="H101" s="1036">
        <f t="shared" si="3"/>
        <v>0</v>
      </c>
    </row>
    <row r="102" spans="1:8" ht="12" customHeight="1" x14ac:dyDescent="0.2">
      <c r="A102" s="261" t="s">
        <v>137</v>
      </c>
      <c r="B102" s="88" t="s">
        <v>334</v>
      </c>
      <c r="C102" s="235"/>
      <c r="D102" s="1036">
        <f>'9.1.1. sz. mell. '!C102+'9.1.2. sz. mell.'!C102</f>
        <v>0</v>
      </c>
      <c r="E102" s="1036">
        <f>'9.1.1. sz. mell. '!C102+'9.1.2. sz. mell.'!C102</f>
        <v>0</v>
      </c>
      <c r="F102" s="1031">
        <f>'9.1.1. sz. mell. '!C102+'9.1.2. sz. mell.'!C102</f>
        <v>0</v>
      </c>
      <c r="G102" s="1032">
        <f t="shared" si="2"/>
        <v>0</v>
      </c>
      <c r="H102" s="1036">
        <f t="shared" si="3"/>
        <v>0</v>
      </c>
    </row>
    <row r="103" spans="1:8" ht="12" customHeight="1" x14ac:dyDescent="0.2">
      <c r="A103" s="261" t="s">
        <v>138</v>
      </c>
      <c r="B103" s="89" t="s">
        <v>335</v>
      </c>
      <c r="C103" s="235"/>
      <c r="D103" s="1036">
        <f>'9.1.1. sz. mell. '!C103+'9.1.2. sz. mell.'!C103</f>
        <v>0</v>
      </c>
      <c r="E103" s="1036">
        <f>'9.1.1. sz. mell. '!C103+'9.1.2. sz. mell.'!C103</f>
        <v>0</v>
      </c>
      <c r="F103" s="1031">
        <f>'9.1.1. sz. mell. '!C103+'9.1.2. sz. mell.'!C103</f>
        <v>0</v>
      </c>
      <c r="G103" s="1032">
        <f t="shared" si="2"/>
        <v>0</v>
      </c>
      <c r="H103" s="1036">
        <f t="shared" si="3"/>
        <v>0</v>
      </c>
    </row>
    <row r="104" spans="1:8" ht="12" customHeight="1" x14ac:dyDescent="0.2">
      <c r="A104" s="261" t="s">
        <v>139</v>
      </c>
      <c r="B104" s="89" t="s">
        <v>336</v>
      </c>
      <c r="C104" s="235"/>
      <c r="D104" s="1036">
        <f>'9.1.1. sz. mell. '!C104+'9.1.2. sz. mell.'!C104</f>
        <v>0</v>
      </c>
      <c r="E104" s="1036">
        <f>'9.1.1. sz. mell. '!C104+'9.1.2. sz. mell.'!C104</f>
        <v>0</v>
      </c>
      <c r="F104" s="1031">
        <f>'9.1.1. sz. mell. '!C104+'9.1.2. sz. mell.'!C104</f>
        <v>0</v>
      </c>
      <c r="G104" s="1032">
        <f t="shared" si="2"/>
        <v>0</v>
      </c>
      <c r="H104" s="1036">
        <f t="shared" si="3"/>
        <v>0</v>
      </c>
    </row>
    <row r="105" spans="1:8" ht="12" customHeight="1" x14ac:dyDescent="0.2">
      <c r="A105" s="261" t="s">
        <v>141</v>
      </c>
      <c r="B105" s="88" t="s">
        <v>337</v>
      </c>
      <c r="C105" s="235">
        <f>60754-60754</f>
        <v>0</v>
      </c>
      <c r="D105" s="1036">
        <f>'9.1.1. sz. mell. '!C105+'9.1.2. sz. mell.'!C105</f>
        <v>0</v>
      </c>
      <c r="E105" s="1036">
        <f>'9.1.1. sz. mell. '!C105+'9.1.2. sz. mell.'!C105</f>
        <v>0</v>
      </c>
      <c r="F105" s="1031">
        <f>'9.1.1. sz. mell. '!C105+'9.1.2. sz. mell.'!C105</f>
        <v>0</v>
      </c>
      <c r="G105" s="1032">
        <f t="shared" si="2"/>
        <v>0</v>
      </c>
      <c r="H105" s="1036">
        <f t="shared" si="3"/>
        <v>0</v>
      </c>
    </row>
    <row r="106" spans="1:8" ht="12" customHeight="1" x14ac:dyDescent="0.2">
      <c r="A106" s="261" t="s">
        <v>190</v>
      </c>
      <c r="B106" s="88" t="s">
        <v>338</v>
      </c>
      <c r="C106" s="235"/>
      <c r="D106" s="1036">
        <f>'9.1.1. sz. mell. '!C106+'9.1.2. sz. mell.'!C106</f>
        <v>0</v>
      </c>
      <c r="E106" s="1036">
        <f>'9.1.1. sz. mell. '!C106+'9.1.2. sz. mell.'!C106</f>
        <v>0</v>
      </c>
      <c r="F106" s="1031">
        <f>'9.1.1. sz. mell. '!C106+'9.1.2. sz. mell.'!C106</f>
        <v>0</v>
      </c>
      <c r="G106" s="1032">
        <f t="shared" si="2"/>
        <v>0</v>
      </c>
      <c r="H106" s="1036">
        <f t="shared" si="3"/>
        <v>0</v>
      </c>
    </row>
    <row r="107" spans="1:8" ht="12" customHeight="1" x14ac:dyDescent="0.2">
      <c r="A107" s="261" t="s">
        <v>332</v>
      </c>
      <c r="B107" s="89" t="s">
        <v>339</v>
      </c>
      <c r="C107" s="235"/>
      <c r="D107" s="1036">
        <f>'9.1.1. sz. mell. '!C107+'9.1.2. sz. mell.'!C107</f>
        <v>0</v>
      </c>
      <c r="E107" s="1036">
        <f>'9.1.1. sz. mell. '!C107+'9.1.2. sz. mell.'!C107</f>
        <v>0</v>
      </c>
      <c r="F107" s="1031">
        <f>'9.1.1. sz. mell. '!C107+'9.1.2. sz. mell.'!C107</f>
        <v>0</v>
      </c>
      <c r="G107" s="1032">
        <f t="shared" si="2"/>
        <v>0</v>
      </c>
      <c r="H107" s="1036">
        <f t="shared" si="3"/>
        <v>0</v>
      </c>
    </row>
    <row r="108" spans="1:8" ht="12" customHeight="1" x14ac:dyDescent="0.2">
      <c r="A108" s="269" t="s">
        <v>333</v>
      </c>
      <c r="B108" s="90" t="s">
        <v>340</v>
      </c>
      <c r="C108" s="235"/>
      <c r="D108" s="1036">
        <f>'9.1.1. sz. mell. '!C108+'9.1.2. sz. mell.'!C108</f>
        <v>0</v>
      </c>
      <c r="E108" s="1036">
        <f>'9.1.1. sz. mell. '!C108+'9.1.2. sz. mell.'!C108</f>
        <v>0</v>
      </c>
      <c r="F108" s="1031">
        <f>'9.1.1. sz. mell. '!C108+'9.1.2. sz. mell.'!C108</f>
        <v>0</v>
      </c>
      <c r="G108" s="1032">
        <f t="shared" si="2"/>
        <v>0</v>
      </c>
      <c r="H108" s="1036">
        <f t="shared" si="3"/>
        <v>0</v>
      </c>
    </row>
    <row r="109" spans="1:8" ht="12" customHeight="1" x14ac:dyDescent="0.2">
      <c r="A109" s="261" t="s">
        <v>544</v>
      </c>
      <c r="B109" s="90" t="s">
        <v>341</v>
      </c>
      <c r="C109" s="235"/>
      <c r="D109" s="1036">
        <f>'9.1.1. sz. mell. '!C109+'9.1.2. sz. mell.'!C109</f>
        <v>0</v>
      </c>
      <c r="E109" s="1036">
        <f>'9.1.1. sz. mell. '!C109+'9.1.2. sz. mell.'!C109</f>
        <v>0</v>
      </c>
      <c r="F109" s="1031">
        <f>'9.1.1. sz. mell. '!C109+'9.1.2. sz. mell.'!C109</f>
        <v>0</v>
      </c>
      <c r="G109" s="1032">
        <f t="shared" si="2"/>
        <v>0</v>
      </c>
      <c r="H109" s="1036">
        <f t="shared" si="3"/>
        <v>0</v>
      </c>
    </row>
    <row r="110" spans="1:8" ht="12" customHeight="1" x14ac:dyDescent="0.2">
      <c r="A110" s="261" t="s">
        <v>545</v>
      </c>
      <c r="B110" s="89" t="s">
        <v>342</v>
      </c>
      <c r="C110" s="889">
        <f>536000+11389000+8562000+16678000+3500000+6600000+2000000+163000+4568000+4000000+7351000+2975000+250000+3000000+60000+80000+3261000+3000000-3000000</f>
        <v>74973000</v>
      </c>
      <c r="D110" s="1036">
        <f>'9.1.1. sz. mell. '!C110+'9.1.2. sz. mell.'!C110</f>
        <v>74973000</v>
      </c>
      <c r="E110" s="1036">
        <f>'9.1.1. sz. mell. '!C110+'9.1.2. sz. mell.'!C110</f>
        <v>74973000</v>
      </c>
      <c r="F110" s="1031">
        <f>'9.1.1. sz. mell. '!C110+'9.1.2. sz. mell.'!C110</f>
        <v>74973000</v>
      </c>
      <c r="G110" s="1032">
        <f t="shared" si="2"/>
        <v>0</v>
      </c>
      <c r="H110" s="1036">
        <f t="shared" si="3"/>
        <v>0</v>
      </c>
    </row>
    <row r="111" spans="1:8" ht="12" customHeight="1" x14ac:dyDescent="0.2">
      <c r="A111" s="261" t="s">
        <v>546</v>
      </c>
      <c r="B111" s="10" t="s">
        <v>77</v>
      </c>
      <c r="C111" s="162">
        <f>C112+C113</f>
        <v>97769820</v>
      </c>
      <c r="D111" s="1036">
        <f>'9.1.1. sz. mell. '!C111+'9.1.2. sz. mell.'!C111</f>
        <v>97769820</v>
      </c>
      <c r="E111" s="1036">
        <f>'9.1.1. sz. mell. '!C111+'9.1.2. sz. mell.'!C111</f>
        <v>97769820</v>
      </c>
      <c r="F111" s="1031">
        <f>'9.1.1. sz. mell. '!C111+'9.1.2. sz. mell.'!C111</f>
        <v>97769820</v>
      </c>
      <c r="G111" s="1032">
        <f t="shared" si="2"/>
        <v>0</v>
      </c>
      <c r="H111" s="1036">
        <f t="shared" si="3"/>
        <v>0</v>
      </c>
    </row>
    <row r="112" spans="1:8" ht="12" customHeight="1" x14ac:dyDescent="0.2">
      <c r="A112" s="262" t="s">
        <v>547</v>
      </c>
      <c r="B112" s="7" t="s">
        <v>595</v>
      </c>
      <c r="C112" s="847">
        <f>20000000-9172313+8719388-4010722-1042502-1846399+5485909+1656508+8185627+3000000</f>
        <v>30975496</v>
      </c>
      <c r="D112" s="1036">
        <f>'9.1.1. sz. mell. '!C112+'9.1.2. sz. mell.'!C112</f>
        <v>30975496</v>
      </c>
      <c r="E112" s="1036">
        <f>'9.1.1. sz. mell. '!C112+'9.1.2. sz. mell.'!C112</f>
        <v>30975496</v>
      </c>
      <c r="F112" s="1031">
        <f>'9.1.1. sz. mell. '!C112+'9.1.2. sz. mell.'!C112</f>
        <v>30975496</v>
      </c>
      <c r="G112" s="1032">
        <f t="shared" si="2"/>
        <v>0</v>
      </c>
      <c r="H112" s="1036">
        <f t="shared" si="3"/>
        <v>0</v>
      </c>
    </row>
    <row r="113" spans="1:8" ht="12" customHeight="1" thickBot="1" x14ac:dyDescent="0.25">
      <c r="A113" s="270" t="s">
        <v>549</v>
      </c>
      <c r="B113" s="91" t="s">
        <v>596</v>
      </c>
      <c r="C113" s="892">
        <f>110613300+500000-8373330-1600000-8539600-6323156-7948000-7343244+31158286-32066515+411581-3261000-433998</f>
        <v>66794324</v>
      </c>
      <c r="D113" s="1036">
        <f>'9.1.1. sz. mell. '!C113+'9.1.2. sz. mell.'!C113</f>
        <v>66794324</v>
      </c>
      <c r="E113" s="1036">
        <f>'9.1.1. sz. mell. '!C113+'9.1.2. sz. mell.'!C113</f>
        <v>66794324</v>
      </c>
      <c r="F113" s="1033">
        <f>'9.1.1. sz. mell. '!C113+'9.1.2. sz. mell.'!C113</f>
        <v>66794324</v>
      </c>
      <c r="G113" s="1034">
        <f t="shared" si="2"/>
        <v>0</v>
      </c>
      <c r="H113" s="1036">
        <f t="shared" si="3"/>
        <v>0</v>
      </c>
    </row>
    <row r="114" spans="1:8" ht="12" customHeight="1" thickBot="1" x14ac:dyDescent="0.25">
      <c r="A114" s="31" t="s">
        <v>46</v>
      </c>
      <c r="B114" s="24" t="s">
        <v>343</v>
      </c>
      <c r="C114" s="158">
        <f>+C115+C117+C119</f>
        <v>728683429</v>
      </c>
      <c r="D114" s="1036">
        <f>'9.1.1. sz. mell. '!C114+'9.1.2. sz. mell.'!C114</f>
        <v>728683429</v>
      </c>
      <c r="E114" s="1036">
        <f>'9.1.1. sz. mell. '!C114+'9.1.2. sz. mell.'!C114</f>
        <v>728683429</v>
      </c>
      <c r="F114" s="1028">
        <f>'9.1.1. sz. mell. '!C114+'9.1.2. sz. mell.'!C114</f>
        <v>728683429</v>
      </c>
      <c r="G114" s="1028">
        <f t="shared" si="2"/>
        <v>0</v>
      </c>
      <c r="H114" s="1036">
        <f t="shared" si="3"/>
        <v>0</v>
      </c>
    </row>
    <row r="115" spans="1:8" ht="12" customHeight="1" x14ac:dyDescent="0.2">
      <c r="A115" s="260" t="s">
        <v>127</v>
      </c>
      <c r="B115" s="7" t="s">
        <v>207</v>
      </c>
      <c r="C115" s="890">
        <f>6621000+2963001+787402+10624171+3081125+300001+529000+1654000+447000+2237000+90200+6604000+301000+204000+15179276+979170-1000000-300001+2160000+4226991+71809476+15956160+214128350+180000-2768918+2707800+370002+349250-127000-254000+5001260+2694940-979170-14894286-2921000-1889633+2959448+359410+360045-6245860</f>
        <v>344484610</v>
      </c>
      <c r="D115" s="1036">
        <f>'9.1.1. sz. mell. '!C115+'9.1.2. sz. mell.'!C115</f>
        <v>344484610</v>
      </c>
      <c r="E115" s="1036">
        <f>'9.1.1. sz. mell. '!C115+'9.1.2. sz. mell.'!C115</f>
        <v>344484610</v>
      </c>
      <c r="F115" s="1029">
        <f>'9.1.1. sz. mell. '!C115+'9.1.2. sz. mell.'!C115</f>
        <v>344484610</v>
      </c>
      <c r="G115" s="1030">
        <f t="shared" si="2"/>
        <v>0</v>
      </c>
      <c r="H115" s="1036">
        <f t="shared" si="3"/>
        <v>0</v>
      </c>
    </row>
    <row r="116" spans="1:8" ht="12" customHeight="1" x14ac:dyDescent="0.2">
      <c r="A116" s="260" t="s">
        <v>128</v>
      </c>
      <c r="B116" s="11" t="s">
        <v>347</v>
      </c>
      <c r="C116" s="890">
        <f>14492698-1000000+71809476+15956160+214128350+2959448</f>
        <v>318346132</v>
      </c>
      <c r="D116" s="1036">
        <f>'9.1.1. sz. mell. '!C116+'9.1.2. sz. mell.'!C116</f>
        <v>318346132</v>
      </c>
      <c r="E116" s="1036">
        <f>'9.1.1. sz. mell. '!C116+'9.1.2. sz. mell.'!C116</f>
        <v>318346132</v>
      </c>
      <c r="F116" s="1031">
        <f>'9.1.1. sz. mell. '!C116+'9.1.2. sz. mell.'!C116</f>
        <v>318346132</v>
      </c>
      <c r="G116" s="1032">
        <f t="shared" si="2"/>
        <v>0</v>
      </c>
      <c r="H116" s="1036">
        <f t="shared" si="3"/>
        <v>0</v>
      </c>
    </row>
    <row r="117" spans="1:8" ht="12" customHeight="1" x14ac:dyDescent="0.2">
      <c r="A117" s="260" t="s">
        <v>129</v>
      </c>
      <c r="B117" s="11" t="s">
        <v>191</v>
      </c>
      <c r="C117" s="162">
        <f>53340000+21000000+1513000+2996000+809000+7509510+1000000+300001+18459450+2866987+18700651+5566352+3795044+5929+189429682-203244-1286510+558800+9053657+200000+80010</f>
        <v>335694319</v>
      </c>
      <c r="D117" s="1036">
        <f>'9.1.1. sz. mell. '!C117+'9.1.2. sz. mell.'!C117</f>
        <v>335694319</v>
      </c>
      <c r="E117" s="1036">
        <f>'9.1.1. sz. mell. '!C117+'9.1.2. sz. mell.'!C117</f>
        <v>335694319</v>
      </c>
      <c r="F117" s="1031">
        <f>'9.1.1. sz. mell. '!C117+'9.1.2. sz. mell.'!C117</f>
        <v>335694319</v>
      </c>
      <c r="G117" s="1032">
        <f t="shared" si="2"/>
        <v>0</v>
      </c>
      <c r="H117" s="1036">
        <f t="shared" si="3"/>
        <v>0</v>
      </c>
    </row>
    <row r="118" spans="1:8" ht="12" customHeight="1" x14ac:dyDescent="0.2">
      <c r="A118" s="260" t="s">
        <v>130</v>
      </c>
      <c r="B118" s="11" t="s">
        <v>348</v>
      </c>
      <c r="C118" s="324">
        <f>53340000+1000000+3795044+189429682-203244</f>
        <v>247361482</v>
      </c>
      <c r="D118" s="1036">
        <f>'9.1.1. sz. mell. '!C118+'9.1.2. sz. mell.'!C118</f>
        <v>247361482</v>
      </c>
      <c r="E118" s="1036">
        <f>'9.1.1. sz. mell. '!C118+'9.1.2. sz. mell.'!C118</f>
        <v>247361482</v>
      </c>
      <c r="F118" s="1031">
        <f>'9.1.1. sz. mell. '!C118+'9.1.2. sz. mell.'!C118</f>
        <v>247361482</v>
      </c>
      <c r="G118" s="1032">
        <f t="shared" si="2"/>
        <v>0</v>
      </c>
      <c r="H118" s="1036">
        <f t="shared" si="3"/>
        <v>0</v>
      </c>
    </row>
    <row r="119" spans="1:8" ht="12" customHeight="1" x14ac:dyDescent="0.2">
      <c r="A119" s="260" t="s">
        <v>131</v>
      </c>
      <c r="B119" s="155" t="s">
        <v>209</v>
      </c>
      <c r="C119" s="324">
        <f>SUM(C120:C127)</f>
        <v>48504500</v>
      </c>
      <c r="D119" s="1036">
        <f>'9.1.1. sz. mell. '!C119+'9.1.2. sz. mell.'!C119</f>
        <v>48504500</v>
      </c>
      <c r="E119" s="1036">
        <f>'9.1.1. sz. mell. '!C119+'9.1.2. sz. mell.'!C119</f>
        <v>48504500</v>
      </c>
      <c r="F119" s="1031">
        <f>'9.1.1. sz. mell. '!C119+'9.1.2. sz. mell.'!C119</f>
        <v>48504500</v>
      </c>
      <c r="G119" s="1032">
        <f t="shared" si="2"/>
        <v>0</v>
      </c>
      <c r="H119" s="1036">
        <f t="shared" si="3"/>
        <v>0</v>
      </c>
    </row>
    <row r="120" spans="1:8" ht="12" customHeight="1" x14ac:dyDescent="0.2">
      <c r="A120" s="260" t="s">
        <v>140</v>
      </c>
      <c r="B120" s="154" t="s">
        <v>410</v>
      </c>
      <c r="C120" s="324"/>
      <c r="D120" s="1036">
        <f>'9.1.1. sz. mell. '!C120+'9.1.2. sz. mell.'!C120</f>
        <v>0</v>
      </c>
      <c r="E120" s="1036">
        <f>'9.1.1. sz. mell. '!C120+'9.1.2. sz. mell.'!C120</f>
        <v>0</v>
      </c>
      <c r="F120" s="1031">
        <f>'9.1.1. sz. mell. '!C120+'9.1.2. sz. mell.'!C120</f>
        <v>0</v>
      </c>
      <c r="G120" s="1032">
        <f t="shared" si="2"/>
        <v>0</v>
      </c>
      <c r="H120" s="1036">
        <f t="shared" si="3"/>
        <v>0</v>
      </c>
    </row>
    <row r="121" spans="1:8" ht="12" customHeight="1" x14ac:dyDescent="0.2">
      <c r="A121" s="260" t="s">
        <v>142</v>
      </c>
      <c r="B121" s="242" t="s">
        <v>353</v>
      </c>
      <c r="C121" s="324"/>
      <c r="D121" s="1036">
        <f>'9.1.1. sz. mell. '!C121+'9.1.2. sz. mell.'!C121</f>
        <v>0</v>
      </c>
      <c r="E121" s="1036">
        <f>'9.1.1. sz. mell. '!C121+'9.1.2. sz. mell.'!C121</f>
        <v>0</v>
      </c>
      <c r="F121" s="1031">
        <f>'9.1.1. sz. mell. '!C121+'9.1.2. sz. mell.'!C121</f>
        <v>0</v>
      </c>
      <c r="G121" s="1032">
        <f t="shared" si="2"/>
        <v>0</v>
      </c>
      <c r="H121" s="1036">
        <f t="shared" si="3"/>
        <v>0</v>
      </c>
    </row>
    <row r="122" spans="1:8" ht="12" customHeight="1" x14ac:dyDescent="0.2">
      <c r="A122" s="260" t="s">
        <v>192</v>
      </c>
      <c r="B122" s="89" t="s">
        <v>336</v>
      </c>
      <c r="C122" s="324"/>
      <c r="D122" s="1036">
        <f>'9.1.1. sz. mell. '!C122+'9.1.2. sz. mell.'!C122</f>
        <v>0</v>
      </c>
      <c r="E122" s="1036">
        <f>'9.1.1. sz. mell. '!C122+'9.1.2. sz. mell.'!C122</f>
        <v>0</v>
      </c>
      <c r="F122" s="1031">
        <f>'9.1.1. sz. mell. '!C122+'9.1.2. sz. mell.'!C122</f>
        <v>0</v>
      </c>
      <c r="G122" s="1032">
        <f t="shared" si="2"/>
        <v>0</v>
      </c>
      <c r="H122" s="1036">
        <f t="shared" si="3"/>
        <v>0</v>
      </c>
    </row>
    <row r="123" spans="1:8" ht="12" customHeight="1" x14ac:dyDescent="0.2">
      <c r="A123" s="260" t="s">
        <v>193</v>
      </c>
      <c r="B123" s="89" t="s">
        <v>352</v>
      </c>
      <c r="C123" s="324"/>
      <c r="D123" s="1036">
        <f>'9.1.1. sz. mell. '!C123+'9.1.2. sz. mell.'!C123</f>
        <v>0</v>
      </c>
      <c r="E123" s="1036">
        <f>'9.1.1. sz. mell. '!C123+'9.1.2. sz. mell.'!C123</f>
        <v>0</v>
      </c>
      <c r="F123" s="1031">
        <f>'9.1.1. sz. mell. '!C123+'9.1.2. sz. mell.'!C123</f>
        <v>0</v>
      </c>
      <c r="G123" s="1032">
        <f t="shared" si="2"/>
        <v>0</v>
      </c>
      <c r="H123" s="1036">
        <f t="shared" si="3"/>
        <v>0</v>
      </c>
    </row>
    <row r="124" spans="1:8" ht="12" customHeight="1" x14ac:dyDescent="0.2">
      <c r="A124" s="260" t="s">
        <v>194</v>
      </c>
      <c r="B124" s="89" t="s">
        <v>351</v>
      </c>
      <c r="C124" s="324"/>
      <c r="D124" s="1036">
        <f>'9.1.1. sz. mell. '!C124+'9.1.2. sz. mell.'!C124</f>
        <v>0</v>
      </c>
      <c r="E124" s="1036">
        <f>'9.1.1. sz. mell. '!C124+'9.1.2. sz. mell.'!C124</f>
        <v>0</v>
      </c>
      <c r="F124" s="1031">
        <f>'9.1.1. sz. mell. '!C124+'9.1.2. sz. mell.'!C124</f>
        <v>0</v>
      </c>
      <c r="G124" s="1032">
        <f t="shared" si="2"/>
        <v>0</v>
      </c>
      <c r="H124" s="1036">
        <f t="shared" si="3"/>
        <v>0</v>
      </c>
    </row>
    <row r="125" spans="1:8" ht="12" customHeight="1" x14ac:dyDescent="0.2">
      <c r="A125" s="260" t="s">
        <v>344</v>
      </c>
      <c r="B125" s="89" t="s">
        <v>339</v>
      </c>
      <c r="C125" s="324">
        <v>5000</v>
      </c>
      <c r="D125" s="1036">
        <f>'9.1.1. sz. mell. '!C125+'9.1.2. sz. mell.'!C125</f>
        <v>5000</v>
      </c>
      <c r="E125" s="1036">
        <f>'9.1.1. sz. mell. '!C125+'9.1.2. sz. mell.'!C125</f>
        <v>5000</v>
      </c>
      <c r="F125" s="1031">
        <f>'9.1.1. sz. mell. '!C125+'9.1.2. sz. mell.'!C125</f>
        <v>5000</v>
      </c>
      <c r="G125" s="1032">
        <f t="shared" si="2"/>
        <v>0</v>
      </c>
      <c r="H125" s="1036">
        <f t="shared" si="3"/>
        <v>0</v>
      </c>
    </row>
    <row r="126" spans="1:8" ht="12" customHeight="1" x14ac:dyDescent="0.2">
      <c r="A126" s="260" t="s">
        <v>345</v>
      </c>
      <c r="B126" s="89" t="s">
        <v>350</v>
      </c>
      <c r="C126" s="324"/>
      <c r="D126" s="1036">
        <f>'9.1.1. sz. mell. '!C126+'9.1.2. sz. mell.'!C126</f>
        <v>0</v>
      </c>
      <c r="E126" s="1036">
        <f>'9.1.1. sz. mell. '!C126+'9.1.2. sz. mell.'!C126</f>
        <v>0</v>
      </c>
      <c r="F126" s="1031">
        <f>'9.1.1. sz. mell. '!C126+'9.1.2. sz. mell.'!C126</f>
        <v>0</v>
      </c>
      <c r="G126" s="1032">
        <f t="shared" si="2"/>
        <v>0</v>
      </c>
      <c r="H126" s="1036">
        <f t="shared" si="3"/>
        <v>0</v>
      </c>
    </row>
    <row r="127" spans="1:8" ht="12" customHeight="1" thickBot="1" x14ac:dyDescent="0.25">
      <c r="A127" s="269" t="s">
        <v>346</v>
      </c>
      <c r="B127" s="89" t="s">
        <v>349</v>
      </c>
      <c r="C127" s="893">
        <f>42072000+2400000+1348000+600000+1079500+1000000</f>
        <v>48499500</v>
      </c>
      <c r="D127" s="1036">
        <f>'9.1.1. sz. mell. '!C127+'9.1.2. sz. mell.'!C127</f>
        <v>48499500</v>
      </c>
      <c r="E127" s="1036">
        <f>'9.1.1. sz. mell. '!C127+'9.1.2. sz. mell.'!C127</f>
        <v>48499500</v>
      </c>
      <c r="F127" s="1033">
        <f>'9.1.1. sz. mell. '!C127+'9.1.2. sz. mell.'!C127</f>
        <v>48499500</v>
      </c>
      <c r="G127" s="1034">
        <f t="shared" si="2"/>
        <v>0</v>
      </c>
      <c r="H127" s="1036">
        <f t="shared" si="3"/>
        <v>0</v>
      </c>
    </row>
    <row r="128" spans="1:8" ht="12" customHeight="1" thickBot="1" x14ac:dyDescent="0.25">
      <c r="A128" s="31" t="s">
        <v>47</v>
      </c>
      <c r="B128" s="84" t="s">
        <v>551</v>
      </c>
      <c r="C128" s="158">
        <f>+C93+C114</f>
        <v>1592842464</v>
      </c>
      <c r="D128" s="1036">
        <f>'9.1.1. sz. mell. '!C128+'9.1.2. sz. mell.'!C128</f>
        <v>1592842464</v>
      </c>
      <c r="E128" s="1036">
        <f>'9.1.1. sz. mell. '!C128+'9.1.2. sz. mell.'!C128</f>
        <v>1592842464</v>
      </c>
      <c r="F128" s="1028">
        <f>'9.1.1. sz. mell. '!C128+'9.1.2. sz. mell.'!C128</f>
        <v>1592842464</v>
      </c>
      <c r="G128" s="1028">
        <f t="shared" si="2"/>
        <v>0</v>
      </c>
      <c r="H128" s="1036">
        <f t="shared" si="3"/>
        <v>0</v>
      </c>
    </row>
    <row r="129" spans="1:11" ht="12" customHeight="1" thickBot="1" x14ac:dyDescent="0.25">
      <c r="A129" s="31" t="s">
        <v>48</v>
      </c>
      <c r="B129" s="84" t="s">
        <v>552</v>
      </c>
      <c r="C129" s="158">
        <f>+C130+C131+C132</f>
        <v>103161000</v>
      </c>
      <c r="D129" s="1036">
        <f>'9.1.1. sz. mell. '!C129+'9.1.2. sz. mell.'!C129</f>
        <v>103161000</v>
      </c>
      <c r="E129" s="1036">
        <f>'9.1.1. sz. mell. '!C129+'9.1.2. sz. mell.'!C129</f>
        <v>103161000</v>
      </c>
      <c r="F129" s="1028">
        <f>'9.1.1. sz. mell. '!C129+'9.1.2. sz. mell.'!C129</f>
        <v>103161000</v>
      </c>
      <c r="G129" s="1028">
        <f t="shared" si="2"/>
        <v>0</v>
      </c>
      <c r="H129" s="1036">
        <f t="shared" si="3"/>
        <v>0</v>
      </c>
    </row>
    <row r="130" spans="1:11" s="66" customFormat="1" ht="12" customHeight="1" x14ac:dyDescent="0.2">
      <c r="A130" s="260" t="s">
        <v>244</v>
      </c>
      <c r="B130" s="8" t="s">
        <v>597</v>
      </c>
      <c r="C130" s="324">
        <v>3161000</v>
      </c>
      <c r="D130" s="1036">
        <f>'9.1.1. sz. mell. '!C130+'9.1.2. sz. mell.'!C130</f>
        <v>3161000</v>
      </c>
      <c r="E130" s="1036">
        <f>'9.1.1. sz. mell. '!C130+'9.1.2. sz. mell.'!C130</f>
        <v>3161000</v>
      </c>
      <c r="F130" s="1029">
        <f>'9.1.1. sz. mell. '!C130+'9.1.2. sz. mell.'!C130</f>
        <v>3161000</v>
      </c>
      <c r="G130" s="1030">
        <f t="shared" si="2"/>
        <v>0</v>
      </c>
      <c r="H130" s="1036">
        <f t="shared" si="3"/>
        <v>0</v>
      </c>
    </row>
    <row r="131" spans="1:11" ht="12" customHeight="1" x14ac:dyDescent="0.2">
      <c r="A131" s="260" t="s">
        <v>247</v>
      </c>
      <c r="B131" s="8" t="s">
        <v>554</v>
      </c>
      <c r="C131" s="145">
        <v>100000000</v>
      </c>
      <c r="D131" s="1036">
        <f>'9.1.1. sz. mell. '!C131+'9.1.2. sz. mell.'!C131</f>
        <v>100000000</v>
      </c>
      <c r="E131" s="1036">
        <f>'9.1.1. sz. mell. '!C131+'9.1.2. sz. mell.'!C131</f>
        <v>100000000</v>
      </c>
      <c r="F131" s="1031">
        <f>'9.1.1. sz. mell. '!C131+'9.1.2. sz. mell.'!C131</f>
        <v>100000000</v>
      </c>
      <c r="G131" s="1032">
        <f t="shared" si="2"/>
        <v>0</v>
      </c>
      <c r="H131" s="1036">
        <f t="shared" si="3"/>
        <v>0</v>
      </c>
    </row>
    <row r="132" spans="1:11" ht="12" customHeight="1" thickBot="1" x14ac:dyDescent="0.25">
      <c r="A132" s="269" t="s">
        <v>248</v>
      </c>
      <c r="B132" s="6" t="s">
        <v>598</v>
      </c>
      <c r="C132" s="145"/>
      <c r="D132" s="1036">
        <f>'9.1.1. sz. mell. '!C132+'9.1.2. sz. mell.'!C132</f>
        <v>0</v>
      </c>
      <c r="E132" s="1036">
        <f>'9.1.1. sz. mell. '!C132+'9.1.2. sz. mell.'!C132</f>
        <v>0</v>
      </c>
      <c r="F132" s="1033">
        <f>'9.1.1. sz. mell. '!C132+'9.1.2. sz. mell.'!C132</f>
        <v>0</v>
      </c>
      <c r="G132" s="1034">
        <f t="shared" si="2"/>
        <v>0</v>
      </c>
      <c r="H132" s="1036">
        <f t="shared" si="3"/>
        <v>0</v>
      </c>
    </row>
    <row r="133" spans="1:11" ht="12" customHeight="1" thickBot="1" x14ac:dyDescent="0.25">
      <c r="A133" s="31" t="s">
        <v>49</v>
      </c>
      <c r="B133" s="84" t="s">
        <v>556</v>
      </c>
      <c r="C133" s="158">
        <f>+C134+C135+C136+C137+C138+C139</f>
        <v>0</v>
      </c>
      <c r="D133" s="1036">
        <f>'9.1.1. sz. mell. '!C133+'9.1.2. sz. mell.'!C133</f>
        <v>0</v>
      </c>
      <c r="E133" s="1036">
        <f>'9.1.1. sz. mell. '!C133+'9.1.2. sz. mell.'!C133</f>
        <v>0</v>
      </c>
      <c r="F133" s="1028">
        <f>'9.1.1. sz. mell. '!C133+'9.1.2. sz. mell.'!C133</f>
        <v>0</v>
      </c>
      <c r="G133" s="1028">
        <f t="shared" si="2"/>
        <v>0</v>
      </c>
      <c r="H133" s="1036">
        <f t="shared" si="3"/>
        <v>0</v>
      </c>
    </row>
    <row r="134" spans="1:11" ht="12" customHeight="1" x14ac:dyDescent="0.2">
      <c r="A134" s="260" t="s">
        <v>114</v>
      </c>
      <c r="B134" s="8" t="s">
        <v>557</v>
      </c>
      <c r="C134" s="145"/>
      <c r="D134" s="1036">
        <f>'9.1.1. sz. mell. '!C134+'9.1.2. sz. mell.'!C134</f>
        <v>0</v>
      </c>
      <c r="E134" s="1036">
        <f>'9.1.1. sz. mell. '!C134+'9.1.2. sz. mell.'!C134</f>
        <v>0</v>
      </c>
      <c r="F134" s="1029">
        <f>'9.1.1. sz. mell. '!C134+'9.1.2. sz. mell.'!C134</f>
        <v>0</v>
      </c>
      <c r="G134" s="1030">
        <f t="shared" si="2"/>
        <v>0</v>
      </c>
      <c r="H134" s="1036">
        <f t="shared" si="3"/>
        <v>0</v>
      </c>
    </row>
    <row r="135" spans="1:11" ht="12" customHeight="1" x14ac:dyDescent="0.2">
      <c r="A135" s="260" t="s">
        <v>115</v>
      </c>
      <c r="B135" s="8" t="s">
        <v>558</v>
      </c>
      <c r="C135" s="145"/>
      <c r="D135" s="1036">
        <f>'9.1.1. sz. mell. '!C135+'9.1.2. sz. mell.'!C135</f>
        <v>0</v>
      </c>
      <c r="E135" s="1036">
        <f>'9.1.1. sz. mell. '!C135+'9.1.2. sz. mell.'!C135</f>
        <v>0</v>
      </c>
      <c r="F135" s="1031">
        <f>'9.1.1. sz. mell. '!C135+'9.1.2. sz. mell.'!C135</f>
        <v>0</v>
      </c>
      <c r="G135" s="1032">
        <f t="shared" si="2"/>
        <v>0</v>
      </c>
      <c r="H135" s="1036">
        <f t="shared" si="3"/>
        <v>0</v>
      </c>
    </row>
    <row r="136" spans="1:11" ht="12" customHeight="1" x14ac:dyDescent="0.2">
      <c r="A136" s="260" t="s">
        <v>116</v>
      </c>
      <c r="B136" s="8" t="s">
        <v>559</v>
      </c>
      <c r="C136" s="145"/>
      <c r="D136" s="1036">
        <f>'9.1.1. sz. mell. '!C136+'9.1.2. sz. mell.'!C136</f>
        <v>0</v>
      </c>
      <c r="E136" s="1036">
        <f>'9.1.1. sz. mell. '!C136+'9.1.2. sz. mell.'!C136</f>
        <v>0</v>
      </c>
      <c r="F136" s="1031">
        <f>'9.1.1. sz. mell. '!C136+'9.1.2. sz. mell.'!C136</f>
        <v>0</v>
      </c>
      <c r="G136" s="1032">
        <f t="shared" si="2"/>
        <v>0</v>
      </c>
      <c r="H136" s="1036">
        <f t="shared" si="3"/>
        <v>0</v>
      </c>
    </row>
    <row r="137" spans="1:11" ht="12" customHeight="1" x14ac:dyDescent="0.2">
      <c r="A137" s="260" t="s">
        <v>179</v>
      </c>
      <c r="B137" s="8" t="s">
        <v>599</v>
      </c>
      <c r="C137" s="145"/>
      <c r="D137" s="1036">
        <f>'9.1.1. sz. mell. '!C137+'9.1.2. sz. mell.'!C137</f>
        <v>0</v>
      </c>
      <c r="E137" s="1036">
        <f>'9.1.1. sz. mell. '!C137+'9.1.2. sz. mell.'!C137</f>
        <v>0</v>
      </c>
      <c r="F137" s="1031">
        <f>'9.1.1. sz. mell. '!C137+'9.1.2. sz. mell.'!C137</f>
        <v>0</v>
      </c>
      <c r="G137" s="1032">
        <f t="shared" ref="G137:G155" si="4">C137-F137</f>
        <v>0</v>
      </c>
      <c r="H137" s="1036">
        <f t="shared" ref="H137:H158" si="5">C137-D137</f>
        <v>0</v>
      </c>
    </row>
    <row r="138" spans="1:11" ht="12" customHeight="1" x14ac:dyDescent="0.2">
      <c r="A138" s="260" t="s">
        <v>180</v>
      </c>
      <c r="B138" s="8" t="s">
        <v>561</v>
      </c>
      <c r="C138" s="145"/>
      <c r="D138" s="1036">
        <f>'9.1.1. sz. mell. '!C138+'9.1.2. sz. mell.'!C138</f>
        <v>0</v>
      </c>
      <c r="E138" s="1036">
        <f>'9.1.1. sz. mell. '!C138+'9.1.2. sz. mell.'!C138</f>
        <v>0</v>
      </c>
      <c r="F138" s="1031">
        <f>'9.1.1. sz. mell. '!C138+'9.1.2. sz. mell.'!C138</f>
        <v>0</v>
      </c>
      <c r="G138" s="1032">
        <f t="shared" si="4"/>
        <v>0</v>
      </c>
      <c r="H138" s="1036">
        <f t="shared" si="5"/>
        <v>0</v>
      </c>
    </row>
    <row r="139" spans="1:11" s="66" customFormat="1" ht="12" customHeight="1" thickBot="1" x14ac:dyDescent="0.25">
      <c r="A139" s="269" t="s">
        <v>181</v>
      </c>
      <c r="B139" s="6" t="s">
        <v>562</v>
      </c>
      <c r="C139" s="145"/>
      <c r="D139" s="1036">
        <f>'9.1.1. sz. mell. '!C139+'9.1.2. sz. mell.'!C139</f>
        <v>0</v>
      </c>
      <c r="E139" s="1036">
        <f>'9.1.1. sz. mell. '!C139+'9.1.2. sz. mell.'!C139</f>
        <v>0</v>
      </c>
      <c r="F139" s="1033">
        <f>'9.1.1. sz. mell. '!C139+'9.1.2. sz. mell.'!C139</f>
        <v>0</v>
      </c>
      <c r="G139" s="1034">
        <f t="shared" si="4"/>
        <v>0</v>
      </c>
      <c r="H139" s="1036">
        <f t="shared" si="5"/>
        <v>0</v>
      </c>
    </row>
    <row r="140" spans="1:11" ht="12" customHeight="1" thickBot="1" x14ac:dyDescent="0.25">
      <c r="A140" s="31" t="s">
        <v>50</v>
      </c>
      <c r="B140" s="84" t="s">
        <v>600</v>
      </c>
      <c r="C140" s="163">
        <f>+C141+C142+C144+C145+C143</f>
        <v>35164932</v>
      </c>
      <c r="D140" s="1036">
        <f>'9.1.1. sz. mell. '!C140+'9.1.2. sz. mell.'!C140</f>
        <v>35164932</v>
      </c>
      <c r="E140" s="1036">
        <f>'9.1.1. sz. mell. '!C140+'9.1.2. sz. mell.'!C140</f>
        <v>35164932</v>
      </c>
      <c r="F140" s="1028">
        <f>'9.1.1. sz. mell. '!C140+'9.1.2. sz. mell.'!C140</f>
        <v>35164932</v>
      </c>
      <c r="G140" s="1028">
        <f t="shared" si="4"/>
        <v>0</v>
      </c>
      <c r="H140" s="1036">
        <f t="shared" si="5"/>
        <v>0</v>
      </c>
      <c r="K140" s="144"/>
    </row>
    <row r="141" spans="1:11" x14ac:dyDescent="0.2">
      <c r="A141" s="260" t="s">
        <v>117</v>
      </c>
      <c r="B141" s="8" t="s">
        <v>354</v>
      </c>
      <c r="C141" s="145"/>
      <c r="D141" s="1036">
        <f>'9.1.1. sz. mell. '!C141+'9.1.2. sz. mell.'!C141</f>
        <v>0</v>
      </c>
      <c r="E141" s="1036">
        <f>'9.1.1. sz. mell. '!C141+'9.1.2. sz. mell.'!C141</f>
        <v>0</v>
      </c>
      <c r="F141" s="1029">
        <f>'9.1.1. sz. mell. '!C141+'9.1.2. sz. mell.'!C141</f>
        <v>0</v>
      </c>
      <c r="G141" s="1030">
        <f t="shared" si="4"/>
        <v>0</v>
      </c>
      <c r="H141" s="1036">
        <f t="shared" si="5"/>
        <v>0</v>
      </c>
    </row>
    <row r="142" spans="1:11" ht="12" customHeight="1" x14ac:dyDescent="0.2">
      <c r="A142" s="260" t="s">
        <v>118</v>
      </c>
      <c r="B142" s="8" t="s">
        <v>355</v>
      </c>
      <c r="C142" s="145">
        <f>35164932</f>
        <v>35164932</v>
      </c>
      <c r="D142" s="1036">
        <f>'9.1.1. sz. mell. '!C142+'9.1.2. sz. mell.'!C142</f>
        <v>35164932</v>
      </c>
      <c r="E142" s="1036">
        <f>'9.1.1. sz. mell. '!C142+'9.1.2. sz. mell.'!C142</f>
        <v>35164932</v>
      </c>
      <c r="F142" s="1031">
        <f>'9.1.1. sz. mell. '!C142+'9.1.2. sz. mell.'!C142</f>
        <v>35164932</v>
      </c>
      <c r="G142" s="1032">
        <f t="shared" si="4"/>
        <v>0</v>
      </c>
      <c r="H142" s="1036">
        <f t="shared" si="5"/>
        <v>0</v>
      </c>
    </row>
    <row r="143" spans="1:11" ht="12" customHeight="1" x14ac:dyDescent="0.2">
      <c r="A143" s="260" t="s">
        <v>268</v>
      </c>
      <c r="B143" s="8" t="s">
        <v>601</v>
      </c>
      <c r="C143" s="145"/>
      <c r="D143" s="1036">
        <f>'9.1.1. sz. mell. '!C143+'9.1.2. sz. mell.'!C143</f>
        <v>0</v>
      </c>
      <c r="E143" s="1036">
        <f>'9.1.1. sz. mell. '!C143+'9.1.2. sz. mell.'!C143</f>
        <v>0</v>
      </c>
      <c r="F143" s="1031">
        <f>'9.1.1. sz. mell. '!C143+'9.1.2. sz. mell.'!C143</f>
        <v>0</v>
      </c>
      <c r="G143" s="1032">
        <f t="shared" si="4"/>
        <v>0</v>
      </c>
      <c r="H143" s="1036">
        <f t="shared" si="5"/>
        <v>0</v>
      </c>
    </row>
    <row r="144" spans="1:11" s="66" customFormat="1" ht="12" customHeight="1" x14ac:dyDescent="0.2">
      <c r="A144" s="260" t="s">
        <v>269</v>
      </c>
      <c r="B144" s="8" t="s">
        <v>564</v>
      </c>
      <c r="C144" s="145"/>
      <c r="D144" s="1036">
        <f>'9.1.1. sz. mell. '!C144+'9.1.2. sz. mell.'!C144</f>
        <v>0</v>
      </c>
      <c r="E144" s="1036">
        <f>'9.1.1. sz. mell. '!C144+'9.1.2. sz. mell.'!C144</f>
        <v>0</v>
      </c>
      <c r="F144" s="1031">
        <f>'9.1.1. sz. mell. '!C144+'9.1.2. sz. mell.'!C144</f>
        <v>0</v>
      </c>
      <c r="G144" s="1032">
        <f t="shared" si="4"/>
        <v>0</v>
      </c>
      <c r="H144" s="1036">
        <f t="shared" si="5"/>
        <v>0</v>
      </c>
    </row>
    <row r="145" spans="1:8" s="66" customFormat="1" ht="12" customHeight="1" thickBot="1" x14ac:dyDescent="0.25">
      <c r="A145" s="269" t="s">
        <v>270</v>
      </c>
      <c r="B145" s="6" t="s">
        <v>373</v>
      </c>
      <c r="C145" s="145"/>
      <c r="D145" s="1036">
        <f>'9.1.1. sz. mell. '!C145+'9.1.2. sz. mell.'!C145</f>
        <v>0</v>
      </c>
      <c r="E145" s="1036">
        <f>'9.1.1. sz. mell. '!C145+'9.1.2. sz. mell.'!C145</f>
        <v>0</v>
      </c>
      <c r="F145" s="1033">
        <f>'9.1.1. sz. mell. '!C145+'9.1.2. sz. mell.'!C145</f>
        <v>0</v>
      </c>
      <c r="G145" s="1034">
        <f t="shared" si="4"/>
        <v>0</v>
      </c>
      <c r="H145" s="1036">
        <f t="shared" si="5"/>
        <v>0</v>
      </c>
    </row>
    <row r="146" spans="1:8" s="66" customFormat="1" ht="12" customHeight="1" thickBot="1" x14ac:dyDescent="0.25">
      <c r="A146" s="31" t="s">
        <v>51</v>
      </c>
      <c r="B146" s="84" t="s">
        <v>565</v>
      </c>
      <c r="C146" s="166">
        <f>+C147+C148+C149+C150+C151</f>
        <v>0</v>
      </c>
      <c r="D146" s="1036">
        <f>'9.1.1. sz. mell. '!C146+'9.1.2. sz. mell.'!C146</f>
        <v>0</v>
      </c>
      <c r="E146" s="1036">
        <f>'9.1.1. sz. mell. '!C146+'9.1.2. sz. mell.'!C146</f>
        <v>0</v>
      </c>
      <c r="F146" s="1028">
        <f>'9.1.1. sz. mell. '!C146+'9.1.2. sz. mell.'!C146</f>
        <v>0</v>
      </c>
      <c r="G146" s="1028">
        <f t="shared" si="4"/>
        <v>0</v>
      </c>
      <c r="H146" s="1036">
        <f t="shared" si="5"/>
        <v>0</v>
      </c>
    </row>
    <row r="147" spans="1:8" s="66" customFormat="1" ht="12" customHeight="1" x14ac:dyDescent="0.2">
      <c r="A147" s="260" t="s">
        <v>119</v>
      </c>
      <c r="B147" s="8" t="s">
        <v>566</v>
      </c>
      <c r="C147" s="145"/>
      <c r="D147" s="1036">
        <f>'9.1.1. sz. mell. '!C147+'9.1.2. sz. mell.'!C147</f>
        <v>0</v>
      </c>
      <c r="E147" s="1036">
        <f>'9.1.1. sz. mell. '!C147+'9.1.2. sz. mell.'!C147</f>
        <v>0</v>
      </c>
      <c r="F147" s="1029">
        <f>'9.1.1. sz. mell. '!C147+'9.1.2. sz. mell.'!C147</f>
        <v>0</v>
      </c>
      <c r="G147" s="1030">
        <f t="shared" si="4"/>
        <v>0</v>
      </c>
      <c r="H147" s="1036">
        <f t="shared" si="5"/>
        <v>0</v>
      </c>
    </row>
    <row r="148" spans="1:8" s="66" customFormat="1" ht="12" customHeight="1" x14ac:dyDescent="0.2">
      <c r="A148" s="260" t="s">
        <v>120</v>
      </c>
      <c r="B148" s="8" t="s">
        <v>567</v>
      </c>
      <c r="C148" s="145"/>
      <c r="D148" s="1036">
        <f>'9.1.1. sz. mell. '!C148+'9.1.2. sz. mell.'!C148</f>
        <v>0</v>
      </c>
      <c r="E148" s="1036">
        <f>'9.1.1. sz. mell. '!C148+'9.1.2. sz. mell.'!C148</f>
        <v>0</v>
      </c>
      <c r="F148" s="1031">
        <f>'9.1.1. sz. mell. '!C148+'9.1.2. sz. mell.'!C148</f>
        <v>0</v>
      </c>
      <c r="G148" s="1032">
        <f t="shared" si="4"/>
        <v>0</v>
      </c>
      <c r="H148" s="1036">
        <f t="shared" si="5"/>
        <v>0</v>
      </c>
    </row>
    <row r="149" spans="1:8" s="66" customFormat="1" ht="12" customHeight="1" x14ac:dyDescent="0.2">
      <c r="A149" s="260" t="s">
        <v>280</v>
      </c>
      <c r="B149" s="8" t="s">
        <v>568</v>
      </c>
      <c r="C149" s="145"/>
      <c r="D149" s="1036">
        <f>'9.1.1. sz. mell. '!C149+'9.1.2. sz. mell.'!C149</f>
        <v>0</v>
      </c>
      <c r="E149" s="1036">
        <f>'9.1.1. sz. mell. '!C149+'9.1.2. sz. mell.'!C149</f>
        <v>0</v>
      </c>
      <c r="F149" s="1031">
        <f>'9.1.1. sz. mell. '!C149+'9.1.2. sz. mell.'!C149</f>
        <v>0</v>
      </c>
      <c r="G149" s="1032">
        <f t="shared" si="4"/>
        <v>0</v>
      </c>
      <c r="H149" s="1036">
        <f t="shared" si="5"/>
        <v>0</v>
      </c>
    </row>
    <row r="150" spans="1:8" s="66" customFormat="1" ht="12" customHeight="1" x14ac:dyDescent="0.2">
      <c r="A150" s="260" t="s">
        <v>281</v>
      </c>
      <c r="B150" s="8" t="s">
        <v>602</v>
      </c>
      <c r="C150" s="145"/>
      <c r="D150" s="1036">
        <f>'9.1.1. sz. mell. '!C150+'9.1.2. sz. mell.'!C150</f>
        <v>0</v>
      </c>
      <c r="E150" s="1036">
        <f>'9.1.1. sz. mell. '!C150+'9.1.2. sz. mell.'!C150</f>
        <v>0</v>
      </c>
      <c r="F150" s="1031">
        <f>'9.1.1. sz. mell. '!C150+'9.1.2. sz. mell.'!C150</f>
        <v>0</v>
      </c>
      <c r="G150" s="1032">
        <f t="shared" si="4"/>
        <v>0</v>
      </c>
      <c r="H150" s="1036">
        <f t="shared" si="5"/>
        <v>0</v>
      </c>
    </row>
    <row r="151" spans="1:8" ht="12.75" customHeight="1" thickBot="1" x14ac:dyDescent="0.25">
      <c r="A151" s="269" t="s">
        <v>570</v>
      </c>
      <c r="B151" s="6" t="s">
        <v>571</v>
      </c>
      <c r="C151" s="146"/>
      <c r="D151" s="1036">
        <f>'9.1.1. sz. mell. '!C151+'9.1.2. sz. mell.'!C151</f>
        <v>0</v>
      </c>
      <c r="E151" s="1036">
        <f>'9.1.1. sz. mell. '!C151+'9.1.2. sz. mell.'!C151</f>
        <v>0</v>
      </c>
      <c r="F151" s="1033">
        <f>'9.1.1. sz. mell. '!C151+'9.1.2. sz. mell.'!C151</f>
        <v>0</v>
      </c>
      <c r="G151" s="1034">
        <f t="shared" si="4"/>
        <v>0</v>
      </c>
      <c r="H151" s="1036">
        <f t="shared" si="5"/>
        <v>0</v>
      </c>
    </row>
    <row r="152" spans="1:8" ht="12.75" customHeight="1" thickBot="1" x14ac:dyDescent="0.25">
      <c r="A152" s="318" t="s">
        <v>52</v>
      </c>
      <c r="B152" s="84" t="s">
        <v>572</v>
      </c>
      <c r="C152" s="166"/>
      <c r="D152" s="1036">
        <f>'9.1.1. sz. mell. '!C152+'9.1.2. sz. mell.'!C152</f>
        <v>0</v>
      </c>
      <c r="E152" s="1036">
        <f>'9.1.1. sz. mell. '!C152+'9.1.2. sz. mell.'!C152</f>
        <v>0</v>
      </c>
      <c r="F152" s="1028">
        <f>'9.1.1. sz. mell. '!C152+'9.1.2. sz. mell.'!C152</f>
        <v>0</v>
      </c>
      <c r="G152" s="1028">
        <f t="shared" si="4"/>
        <v>0</v>
      </c>
      <c r="H152" s="1036">
        <f t="shared" si="5"/>
        <v>0</v>
      </c>
    </row>
    <row r="153" spans="1:8" ht="12.75" customHeight="1" thickBot="1" x14ac:dyDescent="0.25">
      <c r="A153" s="318" t="s">
        <v>53</v>
      </c>
      <c r="B153" s="84" t="s">
        <v>573</v>
      </c>
      <c r="C153" s="166"/>
      <c r="D153" s="1036">
        <f>'9.1.1. sz. mell. '!C153+'9.1.2. sz. mell.'!C153</f>
        <v>0</v>
      </c>
      <c r="E153" s="1036">
        <f>'9.1.1. sz. mell. '!C153+'9.1.2. sz. mell.'!C153</f>
        <v>0</v>
      </c>
      <c r="F153" s="1035">
        <f>'9.1.1. sz. mell. '!C153+'9.1.2. sz. mell.'!C153</f>
        <v>0</v>
      </c>
      <c r="G153" s="1035">
        <f t="shared" si="4"/>
        <v>0</v>
      </c>
      <c r="H153" s="1036">
        <f t="shared" si="5"/>
        <v>0</v>
      </c>
    </row>
    <row r="154" spans="1:8" ht="12" customHeight="1" thickBot="1" x14ac:dyDescent="0.25">
      <c r="A154" s="31" t="s">
        <v>54</v>
      </c>
      <c r="B154" s="84" t="s">
        <v>574</v>
      </c>
      <c r="C154" s="256">
        <f>+C129+C133+C140+C146+C152+C153</f>
        <v>138325932</v>
      </c>
      <c r="D154" s="1036">
        <f>'9.1.1. sz. mell. '!C154+'9.1.2. sz. mell.'!C154</f>
        <v>138325932</v>
      </c>
      <c r="E154" s="1036">
        <f>'9.1.1. sz. mell. '!C154+'9.1.2. sz. mell.'!C154</f>
        <v>138325932</v>
      </c>
      <c r="F154" s="1028">
        <f>'9.1.1. sz. mell. '!C154+'9.1.2. sz. mell.'!C154</f>
        <v>138325932</v>
      </c>
      <c r="G154" s="1028">
        <f t="shared" si="4"/>
        <v>0</v>
      </c>
      <c r="H154" s="1036">
        <f t="shared" si="5"/>
        <v>0</v>
      </c>
    </row>
    <row r="155" spans="1:8" ht="15" customHeight="1" thickBot="1" x14ac:dyDescent="0.25">
      <c r="A155" s="271" t="s">
        <v>55</v>
      </c>
      <c r="B155" s="231" t="s">
        <v>575</v>
      </c>
      <c r="C155" s="256">
        <f>+C128+C154</f>
        <v>1731168396</v>
      </c>
      <c r="D155" s="1036">
        <f>'9.1.1. sz. mell. '!C155+'9.1.2. sz. mell.'!C155</f>
        <v>1731168396</v>
      </c>
      <c r="E155" s="1036">
        <f>'9.1.1. sz. mell. '!C155+'9.1.2. sz. mell.'!C155</f>
        <v>1731168396</v>
      </c>
      <c r="F155" s="1028">
        <f>'9.1.1. sz. mell. '!C155+'9.1.2. sz. mell.'!C155</f>
        <v>1731168396</v>
      </c>
      <c r="G155" s="1028">
        <f t="shared" si="4"/>
        <v>0</v>
      </c>
      <c r="H155" s="1036">
        <f t="shared" si="5"/>
        <v>0</v>
      </c>
    </row>
    <row r="156" spans="1:8" ht="13.5" thickBot="1" x14ac:dyDescent="0.25">
      <c r="D156" s="1036">
        <f>'9.1.1. sz. mell. '!C156+'9.1.2. sz. mell.'!C156</f>
        <v>0</v>
      </c>
      <c r="E156" s="1036">
        <f>'9.1.1. sz. mell. '!C156+'9.1.2. sz. mell.'!C156</f>
        <v>0</v>
      </c>
      <c r="H156" s="1036">
        <f t="shared" si="5"/>
        <v>0</v>
      </c>
    </row>
    <row r="157" spans="1:8" ht="15" customHeight="1" thickBot="1" x14ac:dyDescent="0.25">
      <c r="A157" s="141" t="s">
        <v>603</v>
      </c>
      <c r="B157" s="142"/>
      <c r="C157" s="83">
        <v>6</v>
      </c>
      <c r="D157" s="1036">
        <f>'9.1.1. sz. mell. '!C157+'9.1.2. sz. mell.'!C157</f>
        <v>6</v>
      </c>
      <c r="E157" s="1036">
        <f>'9.1.1. sz. mell. '!C157+'9.1.2. sz. mell.'!C157</f>
        <v>6</v>
      </c>
      <c r="F157" s="1026">
        <f t="shared" ref="F157:F158" si="6">C157-E157</f>
        <v>0</v>
      </c>
      <c r="H157" s="1036">
        <f t="shared" si="5"/>
        <v>0</v>
      </c>
    </row>
    <row r="158" spans="1:8" ht="14.25" customHeight="1" thickBot="1" x14ac:dyDescent="0.25">
      <c r="A158" s="141" t="s">
        <v>203</v>
      </c>
      <c r="B158" s="142"/>
      <c r="C158" s="83">
        <v>0</v>
      </c>
      <c r="D158" s="1036">
        <f>'9.1.1. sz. mell. '!C158+'9.1.2. sz. mell.'!C158</f>
        <v>0</v>
      </c>
      <c r="E158" s="1036">
        <f>'9.1.1. sz. mell. '!C158+'9.1.2. sz. mell.'!C158</f>
        <v>0</v>
      </c>
      <c r="F158" s="1026">
        <f t="shared" si="6"/>
        <v>0</v>
      </c>
      <c r="H158" s="1036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9. melléklet a 30/2017.(XI.30.)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23</vt:i4>
      </vt:variant>
    </vt:vector>
  </HeadingPairs>
  <TitlesOfParts>
    <vt:vector size="56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6.sz.mell.</vt:lpstr>
      <vt:lpstr>8. sz. mell. </vt:lpstr>
      <vt:lpstr>9.1. sz. mell.</vt:lpstr>
      <vt:lpstr>9.1.1. sz. mell. </vt:lpstr>
      <vt:lpstr>9.1.2. sz. mell.</vt:lpstr>
      <vt:lpstr>9.2. sz. mell. </vt:lpstr>
      <vt:lpstr>9.2.3. sz. mell.</vt:lpstr>
      <vt:lpstr>9.3. sz. mell</vt:lpstr>
      <vt:lpstr>9.3.1. sz. mell EOI</vt:lpstr>
      <vt:lpstr>9.4. sz. mell EKIK</vt:lpstr>
      <vt:lpstr>9.4.1. sz. mell EKIK</vt:lpstr>
      <vt:lpstr>9.5. sz. mell VK</vt:lpstr>
      <vt:lpstr>9.5.1. sz. mell VK </vt:lpstr>
      <vt:lpstr>9.5.2. sz. mell VK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int.összesítő</vt:lpstr>
      <vt:lpstr>engedélyezett álláshelyek </vt:lpstr>
      <vt:lpstr>tartalék</vt:lpstr>
      <vt:lpstr>1.sz tájékoztató t </vt:lpstr>
      <vt:lpstr>4.sz tájékoztató t </vt:lpstr>
      <vt:lpstr>5.sz. tájékoztató</vt:lpstr>
      <vt:lpstr>6.sz tájékoztató t </vt:lpstr>
      <vt:lpstr>feladatos Önk. </vt:lpstr>
      <vt:lpstr>'9.1. sz. mell.'!Nyomtatási_cím</vt:lpstr>
      <vt:lpstr>'9.1.1. sz. mell. '!Nyomtatási_cím</vt:lpstr>
      <vt:lpstr>'9.1.2. sz. mell.'!Nyomtatási_cím</vt:lpstr>
      <vt:lpstr>'9.2. sz. mell. '!Nyomtatási_cím</vt:lpstr>
      <vt:lpstr>'9.2.3. sz. mell.'!Nyomtatási_cím</vt:lpstr>
      <vt:lpstr>'9.3. sz. mell'!Nyomtatási_cím</vt:lpstr>
      <vt:lpstr>'9.3.1. sz. mell EOI'!Nyomtatási_cím</vt:lpstr>
      <vt:lpstr>'9.4. sz. mell EKIK'!Nyomtatási_cím</vt:lpstr>
      <vt:lpstr>'9.4.1. sz. mell EKIK'!Nyomtatási_cím</vt:lpstr>
      <vt:lpstr>'9.5. sz. mell VK'!Nyomtatási_cím</vt:lpstr>
      <vt:lpstr>'9.5.1. sz. mell VK '!Nyomtatási_cím</vt:lpstr>
      <vt:lpstr>'9.5.2. sz. mell VK'!Nyomtatási_cím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'9.1. sz. 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2017-11-30T10:23:36Z</cp:lastPrinted>
  <dcterms:created xsi:type="dcterms:W3CDTF">1999-10-30T10:30:45Z</dcterms:created>
  <dcterms:modified xsi:type="dcterms:W3CDTF">2017-11-30T10:51:09Z</dcterms:modified>
</cp:coreProperties>
</file>