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1.2.sz.mell. " sheetId="1" r:id="rId1"/>
  </sheets>
  <definedNames>
    <definedName name="_xlnm.Print_Area" localSheetId="0">'1.2.sz.mell. '!$A$1:$C$159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D142" i="1"/>
  <c r="C142" i="1" s="1"/>
  <c r="C141" i="1"/>
  <c r="F140" i="1"/>
  <c r="E140" i="1"/>
  <c r="C139" i="1"/>
  <c r="C138" i="1"/>
  <c r="C137" i="1"/>
  <c r="C136" i="1"/>
  <c r="C135" i="1"/>
  <c r="C134" i="1"/>
  <c r="F133" i="1"/>
  <c r="E133" i="1"/>
  <c r="D133" i="1"/>
  <c r="C133" i="1" s="1"/>
  <c r="C132" i="1"/>
  <c r="D131" i="1"/>
  <c r="C131" i="1"/>
  <c r="D130" i="1"/>
  <c r="C130" i="1" s="1"/>
  <c r="F129" i="1"/>
  <c r="F153" i="1" s="1"/>
  <c r="E129" i="1"/>
  <c r="E153" i="1" s="1"/>
  <c r="D129" i="1"/>
  <c r="D127" i="1"/>
  <c r="C127" i="1"/>
  <c r="C126" i="1"/>
  <c r="C125" i="1"/>
  <c r="C124" i="1"/>
  <c r="C123" i="1"/>
  <c r="C122" i="1"/>
  <c r="C121" i="1"/>
  <c r="C120" i="1"/>
  <c r="D119" i="1"/>
  <c r="C119" i="1" s="1"/>
  <c r="D118" i="1"/>
  <c r="C118" i="1"/>
  <c r="F117" i="1"/>
  <c r="D117" i="1"/>
  <c r="C117" i="1" s="1"/>
  <c r="D116" i="1"/>
  <c r="C116" i="1"/>
  <c r="F115" i="1"/>
  <c r="C115" i="1" s="1"/>
  <c r="E115" i="1"/>
  <c r="D115" i="1"/>
  <c r="F114" i="1"/>
  <c r="E114" i="1"/>
  <c r="D113" i="1"/>
  <c r="C113" i="1" s="1"/>
  <c r="D112" i="1"/>
  <c r="C112" i="1"/>
  <c r="D111" i="1"/>
  <c r="C111" i="1" s="1"/>
  <c r="D110" i="1"/>
  <c r="C110" i="1"/>
  <c r="C109" i="1"/>
  <c r="C108" i="1"/>
  <c r="C107" i="1"/>
  <c r="C106" i="1"/>
  <c r="D105" i="1"/>
  <c r="C105" i="1" s="1"/>
  <c r="C104" i="1"/>
  <c r="C103" i="1"/>
  <c r="C102" i="1"/>
  <c r="C101" i="1"/>
  <c r="C100" i="1"/>
  <c r="D99" i="1"/>
  <c r="D98" i="1" s="1"/>
  <c r="C99" i="1"/>
  <c r="D97" i="1"/>
  <c r="C97" i="1"/>
  <c r="F96" i="1"/>
  <c r="E96" i="1"/>
  <c r="D96" i="1"/>
  <c r="C96" i="1" s="1"/>
  <c r="F95" i="1"/>
  <c r="E95" i="1"/>
  <c r="D95" i="1"/>
  <c r="C95" i="1" s="1"/>
  <c r="F94" i="1"/>
  <c r="E94" i="1"/>
  <c r="D94" i="1"/>
  <c r="C94" i="1" s="1"/>
  <c r="F93" i="1"/>
  <c r="F128" i="1" s="1"/>
  <c r="F154" i="1" s="1"/>
  <c r="E93" i="1"/>
  <c r="E128" i="1" s="1"/>
  <c r="E154" i="1" s="1"/>
  <c r="C91" i="1"/>
  <c r="C85" i="1"/>
  <c r="C84" i="1"/>
  <c r="C83" i="1"/>
  <c r="C82" i="1"/>
  <c r="C81" i="1"/>
  <c r="C80" i="1"/>
  <c r="F79" i="1"/>
  <c r="E79" i="1"/>
  <c r="D79" i="1"/>
  <c r="C79" i="1"/>
  <c r="C78" i="1"/>
  <c r="C77" i="1"/>
  <c r="C76" i="1"/>
  <c r="F75" i="1"/>
  <c r="E75" i="1"/>
  <c r="D75" i="1"/>
  <c r="C75" i="1" s="1"/>
  <c r="C74" i="1"/>
  <c r="F73" i="1"/>
  <c r="E73" i="1"/>
  <c r="D73" i="1"/>
  <c r="C73" i="1"/>
  <c r="F72" i="1"/>
  <c r="E72" i="1"/>
  <c r="D72" i="1"/>
  <c r="C72" i="1"/>
  <c r="C71" i="1"/>
  <c r="C70" i="1"/>
  <c r="C69" i="1"/>
  <c r="C68" i="1"/>
  <c r="F67" i="1"/>
  <c r="E67" i="1"/>
  <c r="D67" i="1"/>
  <c r="C67" i="1"/>
  <c r="C66" i="1"/>
  <c r="C65" i="1"/>
  <c r="D64" i="1"/>
  <c r="C64" i="1"/>
  <c r="F63" i="1"/>
  <c r="F86" i="1" s="1"/>
  <c r="E63" i="1"/>
  <c r="E86" i="1" s="1"/>
  <c r="D63" i="1"/>
  <c r="D86" i="1" s="1"/>
  <c r="C63" i="1"/>
  <c r="C61" i="1"/>
  <c r="C60" i="1"/>
  <c r="C59" i="1"/>
  <c r="C58" i="1"/>
  <c r="F57" i="1"/>
  <c r="E57" i="1"/>
  <c r="D57" i="1"/>
  <c r="C57" i="1"/>
  <c r="C56" i="1"/>
  <c r="D55" i="1"/>
  <c r="C55" i="1" s="1"/>
  <c r="D54" i="1"/>
  <c r="C54" i="1" s="1"/>
  <c r="C53" i="1"/>
  <c r="F52" i="1"/>
  <c r="E52" i="1"/>
  <c r="C51" i="1"/>
  <c r="C50" i="1"/>
  <c r="C49" i="1"/>
  <c r="D48" i="1"/>
  <c r="C48" i="1" s="1"/>
  <c r="C47" i="1"/>
  <c r="F46" i="1"/>
  <c r="E46" i="1"/>
  <c r="D45" i="1"/>
  <c r="C45" i="1"/>
  <c r="D44" i="1"/>
  <c r="C44" i="1"/>
  <c r="C43" i="1"/>
  <c r="C42" i="1"/>
  <c r="F41" i="1"/>
  <c r="C41" i="1"/>
  <c r="F40" i="1"/>
  <c r="E40" i="1"/>
  <c r="D40" i="1"/>
  <c r="C40" i="1"/>
  <c r="F39" i="1"/>
  <c r="C39" i="1"/>
  <c r="D38" i="1"/>
  <c r="C38" i="1"/>
  <c r="F37" i="1"/>
  <c r="D37" i="1"/>
  <c r="C37" i="1" s="1"/>
  <c r="F36" i="1"/>
  <c r="E36" i="1"/>
  <c r="E34" i="1" s="1"/>
  <c r="D36" i="1"/>
  <c r="C36" i="1" s="1"/>
  <c r="D35" i="1"/>
  <c r="C35" i="1" s="1"/>
  <c r="F34" i="1"/>
  <c r="D34" i="1"/>
  <c r="D33" i="1"/>
  <c r="C33" i="1" s="1"/>
  <c r="D32" i="1"/>
  <c r="C32" i="1" s="1"/>
  <c r="D31" i="1"/>
  <c r="C31" i="1" s="1"/>
  <c r="C30" i="1"/>
  <c r="D29" i="1"/>
  <c r="D27" i="1" s="1"/>
  <c r="C29" i="1"/>
  <c r="D28" i="1"/>
  <c r="C28" i="1"/>
  <c r="F27" i="1"/>
  <c r="E27" i="1"/>
  <c r="F26" i="1"/>
  <c r="E26" i="1"/>
  <c r="D25" i="1"/>
  <c r="C25" i="1"/>
  <c r="D24" i="1"/>
  <c r="C24" i="1"/>
  <c r="C23" i="1"/>
  <c r="C22" i="1"/>
  <c r="C21" i="1"/>
  <c r="C20" i="1"/>
  <c r="F19" i="1"/>
  <c r="E19" i="1"/>
  <c r="C19" i="1" s="1"/>
  <c r="D19" i="1"/>
  <c r="D18" i="1"/>
  <c r="C18" i="1"/>
  <c r="D17" i="1"/>
  <c r="C17" i="1"/>
  <c r="C16" i="1"/>
  <c r="C15" i="1"/>
  <c r="C14" i="1"/>
  <c r="C13" i="1"/>
  <c r="F12" i="1"/>
  <c r="E12" i="1"/>
  <c r="C12" i="1" s="1"/>
  <c r="D12" i="1"/>
  <c r="C11" i="1"/>
  <c r="D10" i="1"/>
  <c r="C10" i="1" s="1"/>
  <c r="D9" i="1"/>
  <c r="C9" i="1"/>
  <c r="D8" i="1"/>
  <c r="C8" i="1" s="1"/>
  <c r="D7" i="1"/>
  <c r="C7" i="1"/>
  <c r="D6" i="1"/>
  <c r="C6" i="1" s="1"/>
  <c r="F5" i="1"/>
  <c r="F62" i="1" s="1"/>
  <c r="F87" i="1" s="1"/>
  <c r="E5" i="1"/>
  <c r="E62" i="1" s="1"/>
  <c r="E87" i="1" s="1"/>
  <c r="D5" i="1"/>
  <c r="C98" i="1" l="1"/>
  <c r="D93" i="1"/>
  <c r="D26" i="1"/>
  <c r="C26" i="1" s="1"/>
  <c r="C27" i="1"/>
  <c r="C34" i="1"/>
  <c r="C86" i="1"/>
  <c r="D52" i="1"/>
  <c r="C52" i="1" s="1"/>
  <c r="C5" i="1"/>
  <c r="D46" i="1"/>
  <c r="C46" i="1" s="1"/>
  <c r="D114" i="1"/>
  <c r="C114" i="1" s="1"/>
  <c r="C129" i="1"/>
  <c r="D140" i="1"/>
  <c r="C140" i="1" s="1"/>
  <c r="D128" i="1" l="1"/>
  <c r="C93" i="1"/>
  <c r="D62" i="1"/>
  <c r="C159" i="1"/>
  <c r="D153" i="1"/>
  <c r="C153" i="1" s="1"/>
  <c r="C62" i="1" l="1"/>
  <c r="D87" i="1"/>
  <c r="C87" i="1" s="1"/>
  <c r="D154" i="1"/>
  <c r="C154" i="1" s="1"/>
  <c r="C128" i="1"/>
  <c r="C158" i="1" l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<sst xmlns="http://schemas.openxmlformats.org/spreadsheetml/2006/main" count="319" uniqueCount="274">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</sst>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164" fontId="6" fillId="0" borderId="8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9" xfId="1" applyNumberFormat="1" applyFont="1" applyFill="1" applyBorder="1" applyAlignment="1" applyProtection="1">
      <alignment horizontal="left" vertical="center" wrapText="1" indent="1"/>
    </xf>
    <xf numFmtId="0" fontId="9" fillId="0" borderId="10" xfId="0" applyFont="1" applyBorder="1" applyAlignment="1" applyProtection="1">
      <alignment horizontal="left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</xf>
    <xf numFmtId="164" fontId="10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Fill="1" applyBorder="1" applyAlignment="1" applyProtection="1">
      <alignment horizontal="left" vertical="center" wrapText="1" indent="1"/>
    </xf>
    <xf numFmtId="0" fontId="9" fillId="0" borderId="14" xfId="0" applyFont="1" applyBorder="1" applyAlignment="1" applyProtection="1">
      <alignment horizontal="left" wrapText="1" indent="1"/>
    </xf>
    <xf numFmtId="164" fontId="7" fillId="0" borderId="15" xfId="1" applyNumberFormat="1" applyFont="1" applyFill="1" applyBorder="1" applyAlignment="1" applyProtection="1">
      <alignment horizontal="righ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4" xfId="0" applyFont="1" applyBorder="1" applyAlignment="1" applyProtection="1">
      <alignment horizontal="left" vertical="center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</xf>
    <xf numFmtId="49" fontId="7" fillId="0" borderId="17" xfId="1" applyNumberFormat="1" applyFont="1" applyFill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164" fontId="7" fillId="0" borderId="19" xfId="1" applyNumberFormat="1" applyFont="1" applyFill="1" applyBorder="1" applyAlignment="1" applyProtection="1">
      <alignment horizontal="righ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horizontal="lef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0" applyFont="1" applyBorder="1" applyAlignment="1" applyProtection="1">
      <alignment horizontal="left" wrapText="1" indent="1"/>
    </xf>
    <xf numFmtId="164" fontId="10" fillId="0" borderId="19" xfId="1" applyNumberFormat="1" applyFont="1" applyFill="1" applyBorder="1" applyAlignment="1" applyProtection="1">
      <alignment horizontal="right" vertical="center" wrapText="1" indent="1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1" applyNumberFormat="1" applyFont="1" applyFill="1" applyBorder="1" applyAlignment="1" applyProtection="1">
      <alignment horizontal="right" vertical="center" wrapText="1" indent="1"/>
    </xf>
    <xf numFmtId="164" fontId="15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0" fontId="9" fillId="0" borderId="14" xfId="0" quotePrefix="1" applyFont="1" applyBorder="1" applyAlignment="1" applyProtection="1">
      <alignment horizontal="left" wrapText="1" indent="1"/>
    </xf>
    <xf numFmtId="164" fontId="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6" fillId="0" borderId="2" xfId="1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164" fontId="10" fillId="0" borderId="11" xfId="1" applyNumberFormat="1" applyFont="1" applyFill="1" applyBorder="1" applyAlignment="1" applyProtection="1">
      <alignment horizontal="right" vertical="center" wrapText="1" indent="1"/>
    </xf>
    <xf numFmtId="0" fontId="9" fillId="0" borderId="9" xfId="0" applyFont="1" applyBorder="1" applyAlignment="1" applyProtection="1">
      <alignment wrapText="1"/>
    </xf>
    <xf numFmtId="0" fontId="9" fillId="0" borderId="1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21" xfId="0" applyFont="1" applyBorder="1" applyAlignment="1" applyProtection="1">
      <alignment vertical="center" wrapText="1"/>
    </xf>
    <xf numFmtId="0" fontId="11" fillId="0" borderId="22" xfId="0" applyFont="1" applyBorder="1" applyAlignment="1" applyProtection="1">
      <alignment wrapText="1"/>
    </xf>
    <xf numFmtId="164" fontId="6" fillId="0" borderId="23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ont="1" applyFill="1" applyAlignment="1" applyProtection="1"/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24" xfId="1" applyNumberFormat="1" applyFont="1" applyFill="1" applyBorder="1" applyAlignment="1" applyProtection="1">
      <alignment horizontal="right" vertical="center" wrapText="1" inden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164" fontId="6" fillId="0" borderId="25" xfId="1" applyNumberFormat="1" applyFont="1" applyFill="1" applyBorder="1" applyAlignment="1" applyProtection="1">
      <alignment horizontal="right" vertical="center" wrapText="1" indent="1"/>
    </xf>
    <xf numFmtId="49" fontId="7" fillId="0" borderId="26" xfId="1" applyNumberFormat="1" applyFont="1" applyFill="1" applyBorder="1" applyAlignment="1" applyProtection="1">
      <alignment horizontal="left" vertical="center" wrapText="1" indent="1"/>
    </xf>
    <xf numFmtId="0" fontId="7" fillId="0" borderId="27" xfId="1" applyFont="1" applyFill="1" applyBorder="1" applyAlignment="1" applyProtection="1">
      <alignment horizontal="left" vertical="center" wrapText="1" inden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164" fontId="10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1" applyFont="1" applyFill="1" applyBorder="1" applyAlignment="1" applyProtection="1">
      <alignment horizontal="left" vertical="center" wrapText="1" indent="1"/>
    </xf>
    <xf numFmtId="0" fontId="7" fillId="0" borderId="30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6"/>
    </xf>
    <xf numFmtId="0" fontId="7" fillId="0" borderId="14" xfId="1" applyFont="1" applyFill="1" applyBorder="1" applyAlignment="1" applyProtection="1">
      <alignment horizontal="left" indent="6"/>
    </xf>
    <xf numFmtId="0" fontId="7" fillId="0" borderId="14" xfId="1" applyFont="1" applyFill="1" applyBorder="1" applyAlignment="1" applyProtection="1">
      <alignment horizontal="left" vertical="center" wrapText="1" indent="6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31" xfId="1" applyNumberFormat="1" applyFont="1" applyFill="1" applyBorder="1" applyAlignment="1" applyProtection="1">
      <alignment horizontal="left" vertical="center" wrapText="1" indent="1"/>
    </xf>
    <xf numFmtId="49" fontId="7" fillId="0" borderId="32" xfId="1" applyNumberFormat="1" applyFont="1" applyFill="1" applyBorder="1" applyAlignment="1" applyProtection="1">
      <alignment horizontal="left" vertical="center" wrapText="1" indent="1"/>
    </xf>
    <xf numFmtId="0" fontId="7" fillId="0" borderId="33" xfId="1" applyFont="1" applyFill="1" applyBorder="1" applyAlignment="1" applyProtection="1">
      <alignment horizontal="left" vertical="center" wrapText="1" indent="7"/>
    </xf>
    <xf numFmtId="164" fontId="10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1" xfId="1" applyFont="1" applyFill="1" applyBorder="1" applyAlignment="1" applyProtection="1">
      <alignment horizontal="left" vertical="center" wrapText="1" indent="1"/>
    </xf>
    <xf numFmtId="0" fontId="6" fillId="0" borderId="22" xfId="1" applyFont="1" applyFill="1" applyBorder="1" applyAlignment="1" applyProtection="1">
      <alignment vertical="center" wrapText="1"/>
    </xf>
    <xf numFmtId="0" fontId="7" fillId="0" borderId="18" xfId="1" applyFont="1" applyFill="1" applyBorder="1" applyAlignment="1" applyProtection="1">
      <alignment horizontal="lef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Fill="1" applyBorder="1" applyAlignment="1" applyProtection="1">
      <alignment horizontal="left" vertical="center" wrapText="1" indent="6"/>
    </xf>
    <xf numFmtId="0" fontId="15" fillId="0" borderId="3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8" xfId="0" quotePrefix="1" applyNumberFormat="1" applyFont="1" applyBorder="1" applyAlignment="1" applyProtection="1">
      <alignment horizontal="right" vertical="center" wrapText="1" indent="1"/>
    </xf>
    <xf numFmtId="164" fontId="16" fillId="0" borderId="4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11" fillId="0" borderId="21" xfId="0" applyFont="1" applyBorder="1" applyAlignment="1" applyProtection="1">
      <alignment horizontal="left" vertical="center" wrapText="1" indent="1"/>
    </xf>
    <xf numFmtId="0" fontId="16" fillId="0" borderId="22" xfId="0" applyFont="1" applyBorder="1" applyAlignment="1" applyProtection="1">
      <alignment horizontal="left" vertical="center" wrapText="1" indent="1"/>
    </xf>
    <xf numFmtId="0" fontId="18" fillId="0" borderId="0" xfId="1" applyFont="1" applyFill="1" applyAlignment="1" applyProtection="1">
      <alignment horizontal="right" vertical="center" indent="1"/>
    </xf>
    <xf numFmtId="0" fontId="17" fillId="0" borderId="0" xfId="1" applyFont="1" applyFill="1" applyAlignment="1" applyProtection="1">
      <alignment horizontal="center"/>
    </xf>
    <xf numFmtId="0" fontId="6" fillId="0" borderId="3" xfId="1" applyFont="1" applyFill="1" applyBorder="1" applyAlignment="1" applyProtection="1">
      <alignment vertical="center" wrapText="1"/>
    </xf>
    <xf numFmtId="164" fontId="1" fillId="0" borderId="0" xfId="1" applyNumberFormat="1" applyFill="1" applyProtection="1"/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0"/>
  <sheetViews>
    <sheetView tabSelected="1" view="pageLayout" zoomScaleNormal="115" zoomScaleSheetLayoutView="100" workbookViewId="0">
      <selection activeCell="B19" sqref="B19"/>
    </sheetView>
  </sheetViews>
  <sheetFormatPr defaultRowHeight="15.75" x14ac:dyDescent="0.25"/>
  <cols>
    <col min="1" max="1" width="9.5" style="8" customWidth="1"/>
    <col min="2" max="2" width="74" style="8" customWidth="1"/>
    <col min="3" max="3" width="21.6640625" style="113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 t="s">
        <v>1</v>
      </c>
      <c r="B2" s="3"/>
      <c r="C2" s="4" t="s">
        <v>2</v>
      </c>
    </row>
    <row r="3" spans="1:6" ht="38.1" customHeight="1" thickBot="1" x14ac:dyDescent="0.3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</row>
    <row r="4" spans="1:6" s="12" customFormat="1" ht="12" customHeight="1" thickBot="1" x14ac:dyDescent="0.25">
      <c r="A4" s="9" t="s">
        <v>9</v>
      </c>
      <c r="B4" s="10" t="s">
        <v>10</v>
      </c>
      <c r="C4" s="11" t="s">
        <v>11</v>
      </c>
    </row>
    <row r="5" spans="1:6" s="17" customFormat="1" ht="12" customHeight="1" thickBot="1" x14ac:dyDescent="0.25">
      <c r="A5" s="13" t="s">
        <v>12</v>
      </c>
      <c r="B5" s="14" t="s">
        <v>13</v>
      </c>
      <c r="C5" s="15">
        <f t="shared" ref="C5:C68" si="0">SUM(D5:F5)</f>
        <v>1226665539</v>
      </c>
      <c r="D5" s="16">
        <f>+D6+D7+D8+D9+D10+D11</f>
        <v>1226665539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14</v>
      </c>
      <c r="B6" s="19" t="s">
        <v>15</v>
      </c>
      <c r="C6" s="20">
        <f t="shared" si="0"/>
        <v>211161846</v>
      </c>
      <c r="D6" s="21">
        <f>211161846</f>
        <v>211161846</v>
      </c>
      <c r="E6" s="22"/>
      <c r="F6" s="22"/>
    </row>
    <row r="7" spans="1:6" s="17" customFormat="1" ht="12" customHeight="1" x14ac:dyDescent="0.2">
      <c r="A7" s="23" t="s">
        <v>16</v>
      </c>
      <c r="B7" s="24" t="s">
        <v>17</v>
      </c>
      <c r="C7" s="25">
        <f t="shared" si="0"/>
        <v>235351616</v>
      </c>
      <c r="D7" s="26">
        <f>235351616</f>
        <v>235351616</v>
      </c>
      <c r="E7" s="27"/>
      <c r="F7" s="27"/>
    </row>
    <row r="8" spans="1:6" s="17" customFormat="1" ht="12" customHeight="1" x14ac:dyDescent="0.2">
      <c r="A8" s="23" t="s">
        <v>18</v>
      </c>
      <c r="B8" s="24" t="s">
        <v>19</v>
      </c>
      <c r="C8" s="25">
        <f t="shared" si="0"/>
        <v>519783615</v>
      </c>
      <c r="D8" s="26">
        <f>132342947+82528441+191583306+50232560+61299400+1796961</f>
        <v>519783615</v>
      </c>
      <c r="E8" s="27"/>
      <c r="F8" s="27"/>
    </row>
    <row r="9" spans="1:6" s="17" customFormat="1" ht="12" customHeight="1" x14ac:dyDescent="0.2">
      <c r="A9" s="23" t="s">
        <v>20</v>
      </c>
      <c r="B9" s="24" t="s">
        <v>21</v>
      </c>
      <c r="C9" s="25">
        <f t="shared" si="0"/>
        <v>33237861</v>
      </c>
      <c r="D9" s="26">
        <f>4617241+15998620+12622000</f>
        <v>33237861</v>
      </c>
      <c r="E9" s="27"/>
      <c r="F9" s="27"/>
    </row>
    <row r="10" spans="1:6" s="17" customFormat="1" ht="12" customHeight="1" x14ac:dyDescent="0.2">
      <c r="A10" s="23" t="s">
        <v>22</v>
      </c>
      <c r="B10" s="28" t="s">
        <v>23</v>
      </c>
      <c r="C10" s="29">
        <f t="shared" si="0"/>
        <v>227130601</v>
      </c>
      <c r="D10" s="26">
        <f>234730936-2600335-5000000</f>
        <v>227130601</v>
      </c>
      <c r="E10" s="27"/>
      <c r="F10" s="27"/>
    </row>
    <row r="11" spans="1:6" s="17" customFormat="1" ht="12" customHeight="1" thickBot="1" x14ac:dyDescent="0.25">
      <c r="A11" s="30" t="s">
        <v>24</v>
      </c>
      <c r="B11" s="31" t="s">
        <v>25</v>
      </c>
      <c r="C11" s="32">
        <f t="shared" si="0"/>
        <v>0</v>
      </c>
      <c r="D11" s="33"/>
      <c r="E11" s="34"/>
      <c r="F11" s="34"/>
    </row>
    <row r="12" spans="1:6" s="17" customFormat="1" ht="12" customHeight="1" thickBot="1" x14ac:dyDescent="0.25">
      <c r="A12" s="13" t="s">
        <v>26</v>
      </c>
      <c r="B12" s="35" t="s">
        <v>27</v>
      </c>
      <c r="C12" s="15">
        <f t="shared" si="0"/>
        <v>110312007</v>
      </c>
      <c r="D12" s="16">
        <f>+D13+D14+D15+D16+D17</f>
        <v>110312007</v>
      </c>
      <c r="E12" s="15">
        <f>+E13+E14+E15+E16+E17</f>
        <v>0</v>
      </c>
      <c r="F12" s="15">
        <f>+F13+F14+F15+F16+F17</f>
        <v>0</v>
      </c>
    </row>
    <row r="13" spans="1:6" s="17" customFormat="1" ht="12" customHeight="1" x14ac:dyDescent="0.2">
      <c r="A13" s="18" t="s">
        <v>28</v>
      </c>
      <c r="B13" s="19" t="s">
        <v>29</v>
      </c>
      <c r="C13" s="20">
        <f t="shared" si="0"/>
        <v>0</v>
      </c>
      <c r="D13" s="36"/>
      <c r="E13" s="37"/>
      <c r="F13" s="37"/>
    </row>
    <row r="14" spans="1:6" s="17" customFormat="1" ht="12" customHeight="1" x14ac:dyDescent="0.2">
      <c r="A14" s="23" t="s">
        <v>30</v>
      </c>
      <c r="B14" s="24" t="s">
        <v>31</v>
      </c>
      <c r="C14" s="25">
        <f t="shared" si="0"/>
        <v>0</v>
      </c>
      <c r="D14" s="33"/>
      <c r="E14" s="34"/>
      <c r="F14" s="34"/>
    </row>
    <row r="15" spans="1:6" s="17" customFormat="1" ht="12" customHeight="1" x14ac:dyDescent="0.2">
      <c r="A15" s="23" t="s">
        <v>32</v>
      </c>
      <c r="B15" s="24" t="s">
        <v>33</v>
      </c>
      <c r="C15" s="25">
        <f t="shared" si="0"/>
        <v>0</v>
      </c>
      <c r="D15" s="33"/>
      <c r="E15" s="34"/>
      <c r="F15" s="34"/>
    </row>
    <row r="16" spans="1:6" s="17" customFormat="1" ht="12" customHeight="1" x14ac:dyDescent="0.2">
      <c r="A16" s="23" t="s">
        <v>34</v>
      </c>
      <c r="B16" s="24" t="s">
        <v>35</v>
      </c>
      <c r="C16" s="25">
        <f t="shared" si="0"/>
        <v>0</v>
      </c>
      <c r="D16" s="33"/>
      <c r="E16" s="34"/>
      <c r="F16" s="34"/>
    </row>
    <row r="17" spans="1:6" s="17" customFormat="1" ht="12" customHeight="1" x14ac:dyDescent="0.2">
      <c r="A17" s="23" t="s">
        <v>36</v>
      </c>
      <c r="B17" s="24" t="s">
        <v>37</v>
      </c>
      <c r="C17" s="38">
        <f t="shared" si="0"/>
        <v>110312007</v>
      </c>
      <c r="D17" s="26">
        <f>24250000+5670000+67037993+2885193+2125000+699075+2984246+3262350+1398150</f>
        <v>110312007</v>
      </c>
      <c r="E17" s="39"/>
      <c r="F17" s="27"/>
    </row>
    <row r="18" spans="1:6" s="17" customFormat="1" ht="12" customHeight="1" thickBot="1" x14ac:dyDescent="0.25">
      <c r="A18" s="30" t="s">
        <v>38</v>
      </c>
      <c r="B18" s="31" t="s">
        <v>39</v>
      </c>
      <c r="C18" s="40">
        <f t="shared" si="0"/>
        <v>74522568</v>
      </c>
      <c r="D18" s="41">
        <f>67037993+2125000+699075+3262350+1398150</f>
        <v>74522568</v>
      </c>
      <c r="E18" s="42"/>
      <c r="F18" s="42"/>
    </row>
    <row r="19" spans="1:6" s="17" customFormat="1" ht="12" customHeight="1" thickBot="1" x14ac:dyDescent="0.25">
      <c r="A19" s="13" t="s">
        <v>40</v>
      </c>
      <c r="B19" s="14" t="s">
        <v>41</v>
      </c>
      <c r="C19" s="15">
        <f t="shared" si="0"/>
        <v>165284566</v>
      </c>
      <c r="D19" s="16">
        <f>+D20+D21+D22+D23+D24</f>
        <v>165284566</v>
      </c>
      <c r="E19" s="15">
        <f>+E20+E21+E22+E23+E24</f>
        <v>0</v>
      </c>
      <c r="F19" s="15">
        <f>+F20+F21+F22+F23+F24</f>
        <v>0</v>
      </c>
    </row>
    <row r="20" spans="1:6" s="17" customFormat="1" ht="12" customHeight="1" x14ac:dyDescent="0.2">
      <c r="A20" s="18" t="s">
        <v>42</v>
      </c>
      <c r="B20" s="19" t="s">
        <v>43</v>
      </c>
      <c r="C20" s="20">
        <f t="shared" si="0"/>
        <v>0</v>
      </c>
      <c r="D20" s="21"/>
      <c r="E20" s="43"/>
      <c r="F20" s="44"/>
    </row>
    <row r="21" spans="1:6" s="17" customFormat="1" ht="12" customHeight="1" x14ac:dyDescent="0.2">
      <c r="A21" s="23" t="s">
        <v>44</v>
      </c>
      <c r="B21" s="24" t="s">
        <v>45</v>
      </c>
      <c r="C21" s="25">
        <f t="shared" si="0"/>
        <v>0</v>
      </c>
      <c r="D21" s="26"/>
      <c r="E21" s="27"/>
      <c r="F21" s="27"/>
    </row>
    <row r="22" spans="1:6" s="17" customFormat="1" ht="12" customHeight="1" x14ac:dyDescent="0.2">
      <c r="A22" s="23" t="s">
        <v>46</v>
      </c>
      <c r="B22" s="24" t="s">
        <v>47</v>
      </c>
      <c r="C22" s="25">
        <f t="shared" si="0"/>
        <v>0</v>
      </c>
      <c r="D22" s="26"/>
      <c r="E22" s="27"/>
      <c r="F22" s="27"/>
    </row>
    <row r="23" spans="1:6" s="17" customFormat="1" ht="12" customHeight="1" x14ac:dyDescent="0.2">
      <c r="A23" s="23" t="s">
        <v>48</v>
      </c>
      <c r="B23" s="24" t="s">
        <v>49</v>
      </c>
      <c r="C23" s="25">
        <f t="shared" si="0"/>
        <v>0</v>
      </c>
      <c r="D23" s="26"/>
      <c r="E23" s="27"/>
      <c r="F23" s="27"/>
    </row>
    <row r="24" spans="1:6" s="17" customFormat="1" ht="12" customHeight="1" x14ac:dyDescent="0.2">
      <c r="A24" s="23" t="s">
        <v>50</v>
      </c>
      <c r="B24" s="24" t="s">
        <v>51</v>
      </c>
      <c r="C24" s="29">
        <f t="shared" si="0"/>
        <v>165284566</v>
      </c>
      <c r="D24" s="26">
        <f>5596040+25377271+3487179+47949076+82875000</f>
        <v>165284566</v>
      </c>
      <c r="E24" s="27"/>
      <c r="F24" s="27"/>
    </row>
    <row r="25" spans="1:6" s="17" customFormat="1" ht="12" customHeight="1" thickBot="1" x14ac:dyDescent="0.25">
      <c r="A25" s="30" t="s">
        <v>52</v>
      </c>
      <c r="B25" s="45" t="s">
        <v>53</v>
      </c>
      <c r="C25" s="46">
        <f t="shared" si="0"/>
        <v>165284566</v>
      </c>
      <c r="D25" s="47">
        <f>30973311+3487179+47949076+82875000</f>
        <v>165284566</v>
      </c>
      <c r="E25" s="42"/>
      <c r="F25" s="42"/>
    </row>
    <row r="26" spans="1:6" s="17" customFormat="1" ht="12" customHeight="1" thickBot="1" x14ac:dyDescent="0.25">
      <c r="A26" s="13" t="s">
        <v>54</v>
      </c>
      <c r="B26" s="14" t="s">
        <v>55</v>
      </c>
      <c r="C26" s="15">
        <f t="shared" si="0"/>
        <v>482500000</v>
      </c>
      <c r="D26" s="48">
        <f>+D27+D31+D32+D33</f>
        <v>482500000</v>
      </c>
      <c r="E26" s="49">
        <f>+E27+E31+E32+E33</f>
        <v>0</v>
      </c>
      <c r="F26" s="49">
        <f>+F27+F31+F32+F33</f>
        <v>0</v>
      </c>
    </row>
    <row r="27" spans="1:6" s="17" customFormat="1" ht="12" customHeight="1" x14ac:dyDescent="0.2">
      <c r="A27" s="18" t="s">
        <v>56</v>
      </c>
      <c r="B27" s="19" t="s">
        <v>57</v>
      </c>
      <c r="C27" s="20">
        <f t="shared" si="0"/>
        <v>430000000</v>
      </c>
      <c r="D27" s="50">
        <f>SUM(D28:D29)</f>
        <v>430000000</v>
      </c>
      <c r="E27" s="50">
        <f t="shared" ref="E27:F27" si="1">SUM(E28:E29)</f>
        <v>0</v>
      </c>
      <c r="F27" s="50">
        <f t="shared" si="1"/>
        <v>0</v>
      </c>
    </row>
    <row r="28" spans="1:6" s="17" customFormat="1" ht="12" customHeight="1" x14ac:dyDescent="0.2">
      <c r="A28" s="23" t="s">
        <v>58</v>
      </c>
      <c r="B28" s="24" t="s">
        <v>59</v>
      </c>
      <c r="C28" s="29">
        <f t="shared" si="0"/>
        <v>89000000</v>
      </c>
      <c r="D28" s="33">
        <f>80000000+9000000</f>
        <v>89000000</v>
      </c>
      <c r="E28" s="34"/>
      <c r="F28" s="34"/>
    </row>
    <row r="29" spans="1:6" s="17" customFormat="1" ht="12" customHeight="1" x14ac:dyDescent="0.2">
      <c r="A29" s="23" t="s">
        <v>60</v>
      </c>
      <c r="B29" s="51" t="s">
        <v>61</v>
      </c>
      <c r="C29" s="29">
        <f t="shared" si="0"/>
        <v>341000000</v>
      </c>
      <c r="D29" s="33">
        <f>341000000</f>
        <v>341000000</v>
      </c>
      <c r="E29" s="34"/>
      <c r="F29" s="34"/>
    </row>
    <row r="30" spans="1:6" s="17" customFormat="1" ht="12" customHeight="1" x14ac:dyDescent="0.2">
      <c r="A30" s="23" t="s">
        <v>62</v>
      </c>
      <c r="B30" s="24" t="s">
        <v>63</v>
      </c>
      <c r="C30" s="29">
        <f t="shared" si="0"/>
        <v>0</v>
      </c>
      <c r="D30" s="26"/>
      <c r="E30" s="27"/>
      <c r="F30" s="27"/>
    </row>
    <row r="31" spans="1:6" s="17" customFormat="1" ht="12" customHeight="1" x14ac:dyDescent="0.2">
      <c r="A31" s="23" t="s">
        <v>64</v>
      </c>
      <c r="B31" s="24" t="s">
        <v>65</v>
      </c>
      <c r="C31" s="29">
        <f t="shared" si="0"/>
        <v>35000000</v>
      </c>
      <c r="D31" s="33">
        <f>35000000</f>
        <v>35000000</v>
      </c>
      <c r="E31" s="34"/>
      <c r="F31" s="34"/>
    </row>
    <row r="32" spans="1:6" s="17" customFormat="1" ht="12" customHeight="1" x14ac:dyDescent="0.2">
      <c r="A32" s="23" t="s">
        <v>66</v>
      </c>
      <c r="B32" s="24" t="s">
        <v>67</v>
      </c>
      <c r="C32" s="38">
        <f t="shared" si="0"/>
        <v>1000000</v>
      </c>
      <c r="D32" s="33">
        <f>1000000</f>
        <v>1000000</v>
      </c>
      <c r="E32" s="34"/>
      <c r="F32" s="34"/>
    </row>
    <row r="33" spans="1:6" s="17" customFormat="1" ht="12" customHeight="1" thickBot="1" x14ac:dyDescent="0.25">
      <c r="A33" s="30" t="s">
        <v>68</v>
      </c>
      <c r="B33" s="45" t="s">
        <v>69</v>
      </c>
      <c r="C33" s="32">
        <f t="shared" si="0"/>
        <v>16500000</v>
      </c>
      <c r="D33" s="47">
        <f>6000000+4500000+2500000+3500000</f>
        <v>16500000</v>
      </c>
      <c r="E33" s="42"/>
      <c r="F33" s="42"/>
    </row>
    <row r="34" spans="1:6" s="17" customFormat="1" ht="12" customHeight="1" thickBot="1" x14ac:dyDescent="0.25">
      <c r="A34" s="13" t="s">
        <v>70</v>
      </c>
      <c r="B34" s="14" t="s">
        <v>71</v>
      </c>
      <c r="C34" s="15">
        <f t="shared" si="0"/>
        <v>145773530</v>
      </c>
      <c r="D34" s="16">
        <f>SUM(D35:D45)</f>
        <v>52577068</v>
      </c>
      <c r="E34" s="15">
        <f>SUM(E35:E45)</f>
        <v>2049828</v>
      </c>
      <c r="F34" s="15">
        <f>SUM(F35:F45)</f>
        <v>91146634</v>
      </c>
    </row>
    <row r="35" spans="1:6" s="17" customFormat="1" ht="12" customHeight="1" x14ac:dyDescent="0.2">
      <c r="A35" s="18" t="s">
        <v>72</v>
      </c>
      <c r="B35" s="19" t="s">
        <v>73</v>
      </c>
      <c r="C35" s="20">
        <f t="shared" si="0"/>
        <v>7415026</v>
      </c>
      <c r="D35" s="21">
        <f>7385026+10000</f>
        <v>7395026</v>
      </c>
      <c r="E35" s="22"/>
      <c r="F35" s="22">
        <v>20000</v>
      </c>
    </row>
    <row r="36" spans="1:6" s="17" customFormat="1" ht="12" customHeight="1" x14ac:dyDescent="0.2">
      <c r="A36" s="23" t="s">
        <v>74</v>
      </c>
      <c r="B36" s="24" t="s">
        <v>75</v>
      </c>
      <c r="C36" s="29">
        <f t="shared" si="0"/>
        <v>65908298</v>
      </c>
      <c r="D36" s="26">
        <f>15901900</f>
        <v>15901900</v>
      </c>
      <c r="E36" s="27">
        <f>1241400+372638</f>
        <v>1614038</v>
      </c>
      <c r="F36" s="22">
        <f>32107480+8650000+600000+7034880</f>
        <v>48392360</v>
      </c>
    </row>
    <row r="37" spans="1:6" s="17" customFormat="1" ht="12" customHeight="1" x14ac:dyDescent="0.2">
      <c r="A37" s="23" t="s">
        <v>76</v>
      </c>
      <c r="B37" s="24" t="s">
        <v>77</v>
      </c>
      <c r="C37" s="29">
        <f t="shared" si="0"/>
        <v>15012042</v>
      </c>
      <c r="D37" s="26">
        <f>20000+6000000+700000+1000000+1109692+340000+6350</f>
        <v>9176042</v>
      </c>
      <c r="E37" s="27"/>
      <c r="F37" s="22">
        <f>1586000+50000+4200000</f>
        <v>5836000</v>
      </c>
    </row>
    <row r="38" spans="1:6" s="17" customFormat="1" ht="12" customHeight="1" x14ac:dyDescent="0.2">
      <c r="A38" s="23" t="s">
        <v>78</v>
      </c>
      <c r="B38" s="24" t="s">
        <v>79</v>
      </c>
      <c r="C38" s="25">
        <f t="shared" si="0"/>
        <v>740000</v>
      </c>
      <c r="D38" s="26">
        <f>440000+300000</f>
        <v>740000</v>
      </c>
      <c r="E38" s="27"/>
      <c r="F38" s="22"/>
    </row>
    <row r="39" spans="1:6" s="17" customFormat="1" ht="12" customHeight="1" x14ac:dyDescent="0.2">
      <c r="A39" s="23" t="s">
        <v>80</v>
      </c>
      <c r="B39" s="24" t="s">
        <v>81</v>
      </c>
      <c r="C39" s="25">
        <f t="shared" si="0"/>
        <v>19106721</v>
      </c>
      <c r="D39" s="26"/>
      <c r="E39" s="27"/>
      <c r="F39" s="22">
        <f>17535396+708995+862330</f>
        <v>19106721</v>
      </c>
    </row>
    <row r="40" spans="1:6" s="17" customFormat="1" ht="12" customHeight="1" x14ac:dyDescent="0.2">
      <c r="A40" s="23" t="s">
        <v>82</v>
      </c>
      <c r="B40" s="24" t="s">
        <v>83</v>
      </c>
      <c r="C40" s="25">
        <f t="shared" si="0"/>
        <v>24367788</v>
      </c>
      <c r="D40" s="26">
        <f>5400+1993957+12052638+189000+333450</f>
        <v>14574445</v>
      </c>
      <c r="E40" s="27">
        <f>335178+100612</f>
        <v>435790</v>
      </c>
      <c r="F40" s="22">
        <f>4914377+191429+823500+1528829+1899418</f>
        <v>9357553</v>
      </c>
    </row>
    <row r="41" spans="1:6" s="17" customFormat="1" ht="12" customHeight="1" x14ac:dyDescent="0.2">
      <c r="A41" s="23" t="s">
        <v>84</v>
      </c>
      <c r="B41" s="24" t="s">
        <v>85</v>
      </c>
      <c r="C41" s="25">
        <f t="shared" si="0"/>
        <v>8433000</v>
      </c>
      <c r="D41" s="26"/>
      <c r="E41" s="27"/>
      <c r="F41" s="22">
        <f>7614000+650000+169000</f>
        <v>8433000</v>
      </c>
    </row>
    <row r="42" spans="1:6" s="17" customFormat="1" ht="12" customHeight="1" x14ac:dyDescent="0.2">
      <c r="A42" s="23" t="s">
        <v>86</v>
      </c>
      <c r="B42" s="24" t="s">
        <v>87</v>
      </c>
      <c r="C42" s="25">
        <f t="shared" si="0"/>
        <v>0</v>
      </c>
      <c r="D42" s="26"/>
      <c r="E42" s="27"/>
      <c r="F42" s="22"/>
    </row>
    <row r="43" spans="1:6" s="17" customFormat="1" ht="12" customHeight="1" x14ac:dyDescent="0.2">
      <c r="A43" s="23" t="s">
        <v>88</v>
      </c>
      <c r="B43" s="24" t="s">
        <v>89</v>
      </c>
      <c r="C43" s="25">
        <f t="shared" si="0"/>
        <v>0</v>
      </c>
      <c r="D43" s="26"/>
      <c r="E43" s="27"/>
      <c r="F43" s="22"/>
    </row>
    <row r="44" spans="1:6" s="17" customFormat="1" ht="12" customHeight="1" x14ac:dyDescent="0.2">
      <c r="A44" s="30" t="s">
        <v>90</v>
      </c>
      <c r="B44" s="45" t="s">
        <v>91</v>
      </c>
      <c r="C44" s="25">
        <f t="shared" si="0"/>
        <v>500000</v>
      </c>
      <c r="D44" s="47">
        <f>500000</f>
        <v>500000</v>
      </c>
      <c r="E44" s="42"/>
      <c r="F44" s="22"/>
    </row>
    <row r="45" spans="1:6" s="17" customFormat="1" ht="12" customHeight="1" thickBot="1" x14ac:dyDescent="0.25">
      <c r="A45" s="30" t="s">
        <v>92</v>
      </c>
      <c r="B45" s="31" t="s">
        <v>93</v>
      </c>
      <c r="C45" s="40">
        <f t="shared" si="0"/>
        <v>4290655</v>
      </c>
      <c r="D45" s="47">
        <f>507601+700000+2935064+146990</f>
        <v>4289655</v>
      </c>
      <c r="E45" s="42"/>
      <c r="F45" s="22">
        <v>1000</v>
      </c>
    </row>
    <row r="46" spans="1:6" s="17" customFormat="1" ht="12" customHeight="1" thickBot="1" x14ac:dyDescent="0.25">
      <c r="A46" s="13" t="s">
        <v>94</v>
      </c>
      <c r="B46" s="14" t="s">
        <v>95</v>
      </c>
      <c r="C46" s="15">
        <f t="shared" si="0"/>
        <v>21787500</v>
      </c>
      <c r="D46" s="16">
        <f>SUM(D47:D51)</f>
        <v>21787500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96</v>
      </c>
      <c r="B47" s="19" t="s">
        <v>97</v>
      </c>
      <c r="C47" s="20">
        <f t="shared" si="0"/>
        <v>0</v>
      </c>
      <c r="D47" s="21"/>
      <c r="E47" s="22"/>
      <c r="F47" s="22"/>
    </row>
    <row r="48" spans="1:6" s="17" customFormat="1" ht="12" customHeight="1" x14ac:dyDescent="0.2">
      <c r="A48" s="23" t="s">
        <v>98</v>
      </c>
      <c r="B48" s="24" t="s">
        <v>99</v>
      </c>
      <c r="C48" s="25">
        <f>SUM(D48:F48)</f>
        <v>21787500</v>
      </c>
      <c r="D48" s="26">
        <f>21787500</f>
        <v>21787500</v>
      </c>
      <c r="E48" s="27"/>
      <c r="F48" s="27"/>
    </row>
    <row r="49" spans="1:6" s="17" customFormat="1" ht="12" customHeight="1" x14ac:dyDescent="0.2">
      <c r="A49" s="23" t="s">
        <v>100</v>
      </c>
      <c r="B49" s="24" t="s">
        <v>101</v>
      </c>
      <c r="C49" s="25">
        <f t="shared" si="0"/>
        <v>0</v>
      </c>
      <c r="D49" s="26"/>
      <c r="E49" s="27"/>
      <c r="F49" s="27"/>
    </row>
    <row r="50" spans="1:6" s="17" customFormat="1" ht="12" customHeight="1" x14ac:dyDescent="0.2">
      <c r="A50" s="23" t="s">
        <v>102</v>
      </c>
      <c r="B50" s="24" t="s">
        <v>103</v>
      </c>
      <c r="C50" s="25">
        <f t="shared" si="0"/>
        <v>0</v>
      </c>
      <c r="D50" s="26"/>
      <c r="E50" s="27"/>
      <c r="F50" s="27"/>
    </row>
    <row r="51" spans="1:6" s="17" customFormat="1" ht="12" customHeight="1" thickBot="1" x14ac:dyDescent="0.25">
      <c r="A51" s="30" t="s">
        <v>104</v>
      </c>
      <c r="B51" s="31" t="s">
        <v>105</v>
      </c>
      <c r="C51" s="32">
        <f t="shared" si="0"/>
        <v>0</v>
      </c>
      <c r="D51" s="47"/>
      <c r="E51" s="42"/>
      <c r="F51" s="42"/>
    </row>
    <row r="52" spans="1:6" s="17" customFormat="1" ht="12" customHeight="1" thickBot="1" x14ac:dyDescent="0.25">
      <c r="A52" s="13" t="s">
        <v>106</v>
      </c>
      <c r="B52" s="14" t="s">
        <v>107</v>
      </c>
      <c r="C52" s="15">
        <f t="shared" si="0"/>
        <v>1350000</v>
      </c>
      <c r="D52" s="16">
        <f>SUM(D53:D55)</f>
        <v>1350000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108</v>
      </c>
      <c r="B53" s="19" t="s">
        <v>109</v>
      </c>
      <c r="C53" s="20">
        <f t="shared" si="0"/>
        <v>0</v>
      </c>
      <c r="D53" s="36"/>
      <c r="E53" s="37"/>
      <c r="F53" s="37"/>
    </row>
    <row r="54" spans="1:6" s="17" customFormat="1" ht="12" customHeight="1" x14ac:dyDescent="0.2">
      <c r="A54" s="23" t="s">
        <v>110</v>
      </c>
      <c r="B54" s="24" t="s">
        <v>111</v>
      </c>
      <c r="C54" s="38">
        <f t="shared" si="0"/>
        <v>400000</v>
      </c>
      <c r="D54" s="26">
        <f>400000</f>
        <v>400000</v>
      </c>
      <c r="E54" s="27"/>
      <c r="F54" s="27"/>
    </row>
    <row r="55" spans="1:6" s="17" customFormat="1" ht="12" customHeight="1" x14ac:dyDescent="0.2">
      <c r="A55" s="23" t="s">
        <v>112</v>
      </c>
      <c r="B55" s="24" t="s">
        <v>113</v>
      </c>
      <c r="C55" s="25">
        <f t="shared" si="0"/>
        <v>950000</v>
      </c>
      <c r="D55" s="26">
        <f>950000</f>
        <v>950000</v>
      </c>
      <c r="E55" s="27"/>
      <c r="F55" s="27"/>
    </row>
    <row r="56" spans="1:6" s="17" customFormat="1" ht="12" customHeight="1" thickBot="1" x14ac:dyDescent="0.25">
      <c r="A56" s="30" t="s">
        <v>114</v>
      </c>
      <c r="B56" s="31" t="s">
        <v>115</v>
      </c>
      <c r="C56" s="32">
        <f t="shared" si="0"/>
        <v>0</v>
      </c>
      <c r="D56" s="41"/>
      <c r="E56" s="52"/>
      <c r="F56" s="52"/>
    </row>
    <row r="57" spans="1:6" s="17" customFormat="1" ht="12" customHeight="1" thickBot="1" x14ac:dyDescent="0.25">
      <c r="A57" s="13" t="s">
        <v>116</v>
      </c>
      <c r="B57" s="35" t="s">
        <v>117</v>
      </c>
      <c r="C57" s="53">
        <f t="shared" si="0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118</v>
      </c>
      <c r="B58" s="19" t="s">
        <v>119</v>
      </c>
      <c r="C58" s="20">
        <f t="shared" si="0"/>
        <v>0</v>
      </c>
      <c r="D58" s="26"/>
      <c r="E58" s="27"/>
      <c r="F58" s="27"/>
    </row>
    <row r="59" spans="1:6" s="17" customFormat="1" ht="12" customHeight="1" x14ac:dyDescent="0.2">
      <c r="A59" s="23" t="s">
        <v>120</v>
      </c>
      <c r="B59" s="24" t="s">
        <v>121</v>
      </c>
      <c r="C59" s="25">
        <f t="shared" si="0"/>
        <v>0</v>
      </c>
      <c r="D59" s="26"/>
      <c r="E59" s="27"/>
      <c r="F59" s="27"/>
    </row>
    <row r="60" spans="1:6" s="17" customFormat="1" ht="12" customHeight="1" x14ac:dyDescent="0.2">
      <c r="A60" s="23" t="s">
        <v>122</v>
      </c>
      <c r="B60" s="24" t="s">
        <v>123</v>
      </c>
      <c r="C60" s="25">
        <f t="shared" si="0"/>
        <v>0</v>
      </c>
      <c r="D60" s="26"/>
      <c r="E60" s="27"/>
      <c r="F60" s="27"/>
    </row>
    <row r="61" spans="1:6" s="17" customFormat="1" ht="12" customHeight="1" thickBot="1" x14ac:dyDescent="0.25">
      <c r="A61" s="30" t="s">
        <v>124</v>
      </c>
      <c r="B61" s="31" t="s">
        <v>125</v>
      </c>
      <c r="C61" s="32">
        <f t="shared" si="0"/>
        <v>0</v>
      </c>
      <c r="D61" s="26"/>
      <c r="E61" s="27"/>
      <c r="F61" s="27"/>
    </row>
    <row r="62" spans="1:6" s="17" customFormat="1" ht="12" customHeight="1" thickBot="1" x14ac:dyDescent="0.25">
      <c r="A62" s="54" t="s">
        <v>126</v>
      </c>
      <c r="B62" s="14" t="s">
        <v>127</v>
      </c>
      <c r="C62" s="15">
        <f t="shared" si="0"/>
        <v>2153673142</v>
      </c>
      <c r="D62" s="48">
        <f>+D5+D12+D19+D26+D34+D46+D52+D57</f>
        <v>2060476680</v>
      </c>
      <c r="E62" s="49">
        <f>+E5+E12+E19+E26+E34+E46+E52+E57</f>
        <v>2049828</v>
      </c>
      <c r="F62" s="49">
        <f>+F5+F12+F19+F26+F34+F46+F52+F57</f>
        <v>91146634</v>
      </c>
    </row>
    <row r="63" spans="1:6" s="17" customFormat="1" ht="12" customHeight="1" thickBot="1" x14ac:dyDescent="0.25">
      <c r="A63" s="55" t="s">
        <v>128</v>
      </c>
      <c r="B63" s="35" t="s">
        <v>129</v>
      </c>
      <c r="C63" s="53">
        <f t="shared" si="0"/>
        <v>169269106</v>
      </c>
      <c r="D63" s="16">
        <f>SUM(D64:D66)</f>
        <v>169269106</v>
      </c>
      <c r="E63" s="15">
        <f>SUM(E64:E66)</f>
        <v>0</v>
      </c>
      <c r="F63" s="15">
        <f>SUM(F64:F66)</f>
        <v>0</v>
      </c>
    </row>
    <row r="64" spans="1:6" s="17" customFormat="1" ht="12" customHeight="1" x14ac:dyDescent="0.2">
      <c r="A64" s="18" t="s">
        <v>130</v>
      </c>
      <c r="B64" s="19" t="s">
        <v>131</v>
      </c>
      <c r="C64" s="20">
        <f t="shared" si="0"/>
        <v>69269106</v>
      </c>
      <c r="D64" s="26">
        <f>69269106</f>
        <v>69269106</v>
      </c>
      <c r="E64" s="27"/>
      <c r="F64" s="27"/>
    </row>
    <row r="65" spans="1:6" s="17" customFormat="1" ht="12" customHeight="1" x14ac:dyDescent="0.2">
      <c r="A65" s="23" t="s">
        <v>132</v>
      </c>
      <c r="B65" s="24" t="s">
        <v>133</v>
      </c>
      <c r="C65" s="25">
        <f t="shared" si="0"/>
        <v>100000000</v>
      </c>
      <c r="D65" s="26">
        <v>100000000</v>
      </c>
      <c r="E65" s="27"/>
      <c r="F65" s="27"/>
    </row>
    <row r="66" spans="1:6" s="17" customFormat="1" ht="12" customHeight="1" thickBot="1" x14ac:dyDescent="0.25">
      <c r="A66" s="30" t="s">
        <v>134</v>
      </c>
      <c r="B66" s="56" t="s">
        <v>135</v>
      </c>
      <c r="C66" s="32">
        <f t="shared" si="0"/>
        <v>0</v>
      </c>
      <c r="D66" s="26"/>
      <c r="E66" s="27"/>
      <c r="F66" s="27"/>
    </row>
    <row r="67" spans="1:6" s="17" customFormat="1" ht="12" customHeight="1" thickBot="1" x14ac:dyDescent="0.25">
      <c r="A67" s="55" t="s">
        <v>136</v>
      </c>
      <c r="B67" s="35" t="s">
        <v>137</v>
      </c>
      <c r="C67" s="53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138</v>
      </c>
      <c r="B68" s="19" t="s">
        <v>139</v>
      </c>
      <c r="C68" s="20">
        <f t="shared" si="0"/>
        <v>0</v>
      </c>
      <c r="D68" s="26"/>
      <c r="E68" s="27"/>
      <c r="F68" s="27"/>
    </row>
    <row r="69" spans="1:6" s="17" customFormat="1" ht="12" customHeight="1" x14ac:dyDescent="0.2">
      <c r="A69" s="23" t="s">
        <v>140</v>
      </c>
      <c r="B69" s="24" t="s">
        <v>141</v>
      </c>
      <c r="C69" s="25">
        <f t="shared" ref="C69:C87" si="2">SUM(D69:F69)</f>
        <v>0</v>
      </c>
      <c r="D69" s="26"/>
      <c r="E69" s="27"/>
      <c r="F69" s="27"/>
    </row>
    <row r="70" spans="1:6" s="17" customFormat="1" ht="12" customHeight="1" x14ac:dyDescent="0.2">
      <c r="A70" s="23" t="s">
        <v>142</v>
      </c>
      <c r="B70" s="24" t="s">
        <v>143</v>
      </c>
      <c r="C70" s="25">
        <f t="shared" si="2"/>
        <v>0</v>
      </c>
      <c r="D70" s="26"/>
      <c r="E70" s="27"/>
      <c r="F70" s="27"/>
    </row>
    <row r="71" spans="1:6" s="17" customFormat="1" ht="12" customHeight="1" thickBot="1" x14ac:dyDescent="0.25">
      <c r="A71" s="30" t="s">
        <v>144</v>
      </c>
      <c r="B71" s="31" t="s">
        <v>145</v>
      </c>
      <c r="C71" s="32">
        <f t="shared" si="2"/>
        <v>0</v>
      </c>
      <c r="D71" s="26"/>
      <c r="E71" s="27"/>
      <c r="F71" s="27"/>
    </row>
    <row r="72" spans="1:6" s="17" customFormat="1" ht="12" customHeight="1" thickBot="1" x14ac:dyDescent="0.25">
      <c r="A72" s="55" t="s">
        <v>146</v>
      </c>
      <c r="B72" s="35" t="s">
        <v>147</v>
      </c>
      <c r="C72" s="15">
        <f t="shared" si="2"/>
        <v>357821285</v>
      </c>
      <c r="D72" s="16">
        <f>SUM(D73:D74)</f>
        <v>349091822</v>
      </c>
      <c r="E72" s="15">
        <f>SUM(E73:E74)</f>
        <v>921746</v>
      </c>
      <c r="F72" s="15">
        <f>SUM(F73:F74)</f>
        <v>7807717</v>
      </c>
    </row>
    <row r="73" spans="1:6" s="17" customFormat="1" ht="12" customHeight="1" x14ac:dyDescent="0.2">
      <c r="A73" s="18" t="s">
        <v>148</v>
      </c>
      <c r="B73" s="19" t="s">
        <v>149</v>
      </c>
      <c r="C73" s="57">
        <f t="shared" si="2"/>
        <v>357821285</v>
      </c>
      <c r="D73" s="26">
        <f>346583469+2508353</f>
        <v>349091822</v>
      </c>
      <c r="E73" s="27">
        <f>829764+91982</f>
        <v>921746</v>
      </c>
      <c r="F73" s="27">
        <f>1550858+372804+435258+1054835+4393962</f>
        <v>7807717</v>
      </c>
    </row>
    <row r="74" spans="1:6" s="17" customFormat="1" ht="12" customHeight="1" thickBot="1" x14ac:dyDescent="0.25">
      <c r="A74" s="30" t="s">
        <v>150</v>
      </c>
      <c r="B74" s="31" t="s">
        <v>151</v>
      </c>
      <c r="C74" s="32">
        <f t="shared" si="2"/>
        <v>0</v>
      </c>
      <c r="D74" s="26"/>
      <c r="E74" s="27"/>
      <c r="F74" s="27"/>
    </row>
    <row r="75" spans="1:6" s="17" customFormat="1" ht="12" customHeight="1" thickBot="1" x14ac:dyDescent="0.25">
      <c r="A75" s="55" t="s">
        <v>152</v>
      </c>
      <c r="B75" s="35" t="s">
        <v>153</v>
      </c>
      <c r="C75" s="53">
        <f t="shared" si="2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154</v>
      </c>
      <c r="B76" s="19" t="s">
        <v>155</v>
      </c>
      <c r="C76" s="20">
        <f t="shared" si="2"/>
        <v>0</v>
      </c>
      <c r="D76" s="26"/>
      <c r="E76" s="27"/>
      <c r="F76" s="27"/>
    </row>
    <row r="77" spans="1:6" s="17" customFormat="1" ht="12" customHeight="1" x14ac:dyDescent="0.2">
      <c r="A77" s="23" t="s">
        <v>156</v>
      </c>
      <c r="B77" s="24" t="s">
        <v>157</v>
      </c>
      <c r="C77" s="25">
        <f t="shared" si="2"/>
        <v>0</v>
      </c>
      <c r="D77" s="26"/>
      <c r="E77" s="27"/>
      <c r="F77" s="27"/>
    </row>
    <row r="78" spans="1:6" s="17" customFormat="1" ht="12" customHeight="1" thickBot="1" x14ac:dyDescent="0.25">
      <c r="A78" s="30" t="s">
        <v>158</v>
      </c>
      <c r="B78" s="31" t="s">
        <v>159</v>
      </c>
      <c r="C78" s="32">
        <f t="shared" si="2"/>
        <v>0</v>
      </c>
      <c r="D78" s="26"/>
      <c r="E78" s="27"/>
      <c r="F78" s="27"/>
    </row>
    <row r="79" spans="1:6" s="17" customFormat="1" ht="12" customHeight="1" thickBot="1" x14ac:dyDescent="0.25">
      <c r="A79" s="55" t="s">
        <v>160</v>
      </c>
      <c r="B79" s="35" t="s">
        <v>161</v>
      </c>
      <c r="C79" s="53">
        <f t="shared" si="2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8" t="s">
        <v>162</v>
      </c>
      <c r="B80" s="19" t="s">
        <v>163</v>
      </c>
      <c r="C80" s="20">
        <f t="shared" si="2"/>
        <v>0</v>
      </c>
      <c r="D80" s="26"/>
      <c r="E80" s="27"/>
      <c r="F80" s="27"/>
    </row>
    <row r="81" spans="1:6" s="17" customFormat="1" ht="12" customHeight="1" x14ac:dyDescent="0.2">
      <c r="A81" s="59" t="s">
        <v>164</v>
      </c>
      <c r="B81" s="24" t="s">
        <v>165</v>
      </c>
      <c r="C81" s="25">
        <f t="shared" si="2"/>
        <v>0</v>
      </c>
      <c r="D81" s="26"/>
      <c r="E81" s="27"/>
      <c r="F81" s="27"/>
    </row>
    <row r="82" spans="1:6" s="17" customFormat="1" ht="12" customHeight="1" x14ac:dyDescent="0.2">
      <c r="A82" s="59" t="s">
        <v>166</v>
      </c>
      <c r="B82" s="24" t="s">
        <v>167</v>
      </c>
      <c r="C82" s="25">
        <f t="shared" si="2"/>
        <v>0</v>
      </c>
      <c r="D82" s="26"/>
      <c r="E82" s="27"/>
      <c r="F82" s="27"/>
    </row>
    <row r="83" spans="1:6" s="17" customFormat="1" ht="12" customHeight="1" thickBot="1" x14ac:dyDescent="0.25">
      <c r="A83" s="60" t="s">
        <v>168</v>
      </c>
      <c r="B83" s="31" t="s">
        <v>169</v>
      </c>
      <c r="C83" s="32">
        <f t="shared" si="2"/>
        <v>0</v>
      </c>
      <c r="D83" s="26"/>
      <c r="E83" s="27"/>
      <c r="F83" s="27"/>
    </row>
    <row r="84" spans="1:6" s="17" customFormat="1" ht="12" customHeight="1" thickBot="1" x14ac:dyDescent="0.25">
      <c r="A84" s="55" t="s">
        <v>170</v>
      </c>
      <c r="B84" s="35" t="s">
        <v>171</v>
      </c>
      <c r="C84" s="61">
        <f t="shared" si="2"/>
        <v>0</v>
      </c>
      <c r="D84" s="62"/>
      <c r="E84" s="63"/>
      <c r="F84" s="63"/>
    </row>
    <row r="85" spans="1:6" s="17" customFormat="1" ht="13.5" customHeight="1" thickBot="1" x14ac:dyDescent="0.25">
      <c r="A85" s="55" t="s">
        <v>172</v>
      </c>
      <c r="B85" s="35" t="s">
        <v>173</v>
      </c>
      <c r="C85" s="53">
        <f t="shared" si="2"/>
        <v>0</v>
      </c>
      <c r="D85" s="62"/>
      <c r="E85" s="63"/>
      <c r="F85" s="63"/>
    </row>
    <row r="86" spans="1:6" s="17" customFormat="1" ht="15.75" customHeight="1" thickBot="1" x14ac:dyDescent="0.25">
      <c r="A86" s="55" t="s">
        <v>174</v>
      </c>
      <c r="B86" s="64" t="s">
        <v>175</v>
      </c>
      <c r="C86" s="15">
        <f t="shared" si="2"/>
        <v>527090391</v>
      </c>
      <c r="D86" s="48">
        <f>+D63+D67+D72+D75+D79+D85+D84</f>
        <v>518360928</v>
      </c>
      <c r="E86" s="49">
        <f>+E63+E67+E72+E75+E79+E85+E84</f>
        <v>921746</v>
      </c>
      <c r="F86" s="49">
        <f>+F63+F67+F72+F75+F79+F85+F84</f>
        <v>7807717</v>
      </c>
    </row>
    <row r="87" spans="1:6" s="17" customFormat="1" ht="16.5" customHeight="1" thickBot="1" x14ac:dyDescent="0.25">
      <c r="A87" s="65" t="s">
        <v>176</v>
      </c>
      <c r="B87" s="66" t="s">
        <v>177</v>
      </c>
      <c r="C87" s="67">
        <f t="shared" si="2"/>
        <v>2680763533</v>
      </c>
      <c r="D87" s="48">
        <f>+D62+D86</f>
        <v>2578837608</v>
      </c>
      <c r="E87" s="49">
        <f>+E62+E86</f>
        <v>2971574</v>
      </c>
      <c r="F87" s="49">
        <f>+F62+F86</f>
        <v>98954351</v>
      </c>
    </row>
    <row r="88" spans="1:6" s="17" customFormat="1" ht="83.25" customHeight="1" x14ac:dyDescent="0.2">
      <c r="A88" s="68"/>
      <c r="B88" s="69"/>
      <c r="C88" s="70"/>
    </row>
    <row r="89" spans="1:6" ht="16.5" customHeight="1" x14ac:dyDescent="0.25">
      <c r="A89" s="1" t="s">
        <v>178</v>
      </c>
      <c r="B89" s="1"/>
      <c r="C89" s="1"/>
      <c r="D89" s="8"/>
      <c r="E89" s="8"/>
      <c r="F89" s="8"/>
    </row>
    <row r="90" spans="1:6" s="74" customFormat="1" ht="16.5" customHeight="1" thickBot="1" x14ac:dyDescent="0.3">
      <c r="A90" s="71" t="s">
        <v>179</v>
      </c>
      <c r="B90" s="71"/>
      <c r="C90" s="72" t="s">
        <v>2</v>
      </c>
      <c r="D90" s="73"/>
      <c r="E90" s="73"/>
      <c r="F90" s="73"/>
    </row>
    <row r="91" spans="1:6" ht="38.1" customHeight="1" thickBot="1" x14ac:dyDescent="0.3">
      <c r="A91" s="5" t="s">
        <v>3</v>
      </c>
      <c r="B91" s="6" t="s">
        <v>180</v>
      </c>
      <c r="C91" s="7" t="str">
        <f>+C3</f>
        <v>2019. évi előirányzat</v>
      </c>
      <c r="D91" s="8" t="s">
        <v>6</v>
      </c>
      <c r="E91" s="8" t="s">
        <v>7</v>
      </c>
      <c r="F91" s="8" t="s">
        <v>8</v>
      </c>
    </row>
    <row r="92" spans="1:6" s="12" customFormat="1" ht="12" customHeight="1" thickBot="1" x14ac:dyDescent="0.25">
      <c r="A92" s="75" t="s">
        <v>9</v>
      </c>
      <c r="B92" s="76" t="s">
        <v>10</v>
      </c>
      <c r="C92" s="11" t="s">
        <v>11</v>
      </c>
    </row>
    <row r="93" spans="1:6" ht="12" customHeight="1" thickBot="1" x14ac:dyDescent="0.3">
      <c r="A93" s="77" t="s">
        <v>12</v>
      </c>
      <c r="B93" s="78" t="s">
        <v>181</v>
      </c>
      <c r="C93" s="15">
        <f t="shared" ref="C93:C154" si="3">SUM(D93:F93)</f>
        <v>1671156864</v>
      </c>
      <c r="D93" s="79">
        <f>+D94+D95+D96+D97+D98+D111</f>
        <v>645979554</v>
      </c>
      <c r="E93" s="80">
        <f>+E94+E95+E96+E97+E98+E111</f>
        <v>7107898</v>
      </c>
      <c r="F93" s="81">
        <f>F94+F95+F96+F97+F98+F111</f>
        <v>1018069412</v>
      </c>
    </row>
    <row r="94" spans="1:6" ht="12" customHeight="1" x14ac:dyDescent="0.25">
      <c r="A94" s="82" t="s">
        <v>14</v>
      </c>
      <c r="B94" s="83" t="s">
        <v>182</v>
      </c>
      <c r="C94" s="84">
        <f t="shared" si="3"/>
        <v>570499347</v>
      </c>
      <c r="D94" s="85">
        <f>23173251+1407675+14384916+5742073+2081772+3199848+1778250+505000+720000+77916-1778250+2751255+5006284-1389000</f>
        <v>57660990</v>
      </c>
      <c r="E94" s="86">
        <f>935085+4069918</f>
        <v>5005003</v>
      </c>
      <c r="F94" s="86">
        <f>60512486+64039486+48091292+208655734+125254356+110000+1170000</f>
        <v>507833354</v>
      </c>
    </row>
    <row r="95" spans="1:6" ht="12" customHeight="1" x14ac:dyDescent="0.25">
      <c r="A95" s="23" t="s">
        <v>16</v>
      </c>
      <c r="B95" s="87" t="s">
        <v>183</v>
      </c>
      <c r="C95" s="38">
        <f t="shared" si="3"/>
        <v>117873069</v>
      </c>
      <c r="D95" s="26">
        <f>4364055+2684650+1007723+436333+561576+346750+98475+126360+15194-346750+536495+976228-270858</f>
        <v>10536231</v>
      </c>
      <c r="E95" s="27">
        <f>133681+815187</f>
        <v>948868</v>
      </c>
      <c r="F95" s="27">
        <f>13261042+12834203+9499320+44850807+25669667+44781+228150</f>
        <v>106387970</v>
      </c>
    </row>
    <row r="96" spans="1:6" ht="12" customHeight="1" x14ac:dyDescent="0.25">
      <c r="A96" s="23" t="s">
        <v>18</v>
      </c>
      <c r="B96" s="87" t="s">
        <v>184</v>
      </c>
      <c r="C96" s="38">
        <f t="shared" si="3"/>
        <v>628172315</v>
      </c>
      <c r="D96" s="47">
        <f>415496+34588831+889000+313996+698500+16688593+835000+27068590+825500+43854655+20525292+7125983+1438017+300000+49047304+2354100+10000+4070204+8850000+91201+367088+8849+400000+2984246-1099400+7332000+200000+380321-7393166</f>
        <v>223170200</v>
      </c>
      <c r="E96" s="42">
        <f>150000+369027+635000</f>
        <v>1154027</v>
      </c>
      <c r="F96" s="27">
        <f>229985778+15749737+50573182+80125553+20525219+6888619</f>
        <v>403848088</v>
      </c>
    </row>
    <row r="97" spans="1:6" ht="12" customHeight="1" x14ac:dyDescent="0.25">
      <c r="A97" s="23" t="s">
        <v>20</v>
      </c>
      <c r="B97" s="87" t="s">
        <v>185</v>
      </c>
      <c r="C97" s="29">
        <f t="shared" si="3"/>
        <v>75850000</v>
      </c>
      <c r="D97" s="47">
        <f>24250000+48100000+3500000</f>
        <v>75850000</v>
      </c>
      <c r="E97" s="42"/>
      <c r="F97" s="42"/>
    </row>
    <row r="98" spans="1:6" ht="12" customHeight="1" x14ac:dyDescent="0.25">
      <c r="A98" s="23" t="s">
        <v>186</v>
      </c>
      <c r="B98" s="88" t="s">
        <v>187</v>
      </c>
      <c r="C98" s="29">
        <f t="shared" si="3"/>
        <v>207394503</v>
      </c>
      <c r="D98" s="47">
        <f>SUM(D99:D110)</f>
        <v>207394503</v>
      </c>
      <c r="E98" s="42"/>
      <c r="F98" s="42"/>
    </row>
    <row r="99" spans="1:6" ht="12" customHeight="1" x14ac:dyDescent="0.25">
      <c r="A99" s="23" t="s">
        <v>24</v>
      </c>
      <c r="B99" s="87" t="s">
        <v>188</v>
      </c>
      <c r="C99" s="29">
        <f t="shared" si="3"/>
        <v>100000</v>
      </c>
      <c r="D99" s="47">
        <f>100000</f>
        <v>100000</v>
      </c>
      <c r="E99" s="42"/>
      <c r="F99" s="42"/>
    </row>
    <row r="100" spans="1:6" ht="12" customHeight="1" x14ac:dyDescent="0.25">
      <c r="A100" s="23" t="s">
        <v>189</v>
      </c>
      <c r="B100" s="89" t="s">
        <v>190</v>
      </c>
      <c r="C100" s="29">
        <f t="shared" si="3"/>
        <v>0</v>
      </c>
      <c r="D100" s="47"/>
      <c r="E100" s="42"/>
      <c r="F100" s="42"/>
    </row>
    <row r="101" spans="1:6" ht="12" customHeight="1" x14ac:dyDescent="0.25">
      <c r="A101" s="23" t="s">
        <v>191</v>
      </c>
      <c r="B101" s="89" t="s">
        <v>192</v>
      </c>
      <c r="C101" s="29">
        <f t="shared" si="3"/>
        <v>0</v>
      </c>
      <c r="D101" s="47"/>
      <c r="E101" s="42"/>
      <c r="F101" s="42"/>
    </row>
    <row r="102" spans="1:6" ht="12" customHeight="1" x14ac:dyDescent="0.25">
      <c r="A102" s="23" t="s">
        <v>193</v>
      </c>
      <c r="B102" s="90" t="s">
        <v>194</v>
      </c>
      <c r="C102" s="25">
        <f t="shared" si="3"/>
        <v>0</v>
      </c>
      <c r="D102" s="47"/>
      <c r="E102" s="42"/>
      <c r="F102" s="42"/>
    </row>
    <row r="103" spans="1:6" ht="12" customHeight="1" x14ac:dyDescent="0.25">
      <c r="A103" s="23" t="s">
        <v>195</v>
      </c>
      <c r="B103" s="91" t="s">
        <v>196</v>
      </c>
      <c r="C103" s="25">
        <f t="shared" si="3"/>
        <v>0</v>
      </c>
      <c r="D103" s="47"/>
      <c r="E103" s="42"/>
      <c r="F103" s="42"/>
    </row>
    <row r="104" spans="1:6" ht="12" customHeight="1" x14ac:dyDescent="0.25">
      <c r="A104" s="23" t="s">
        <v>197</v>
      </c>
      <c r="B104" s="91" t="s">
        <v>198</v>
      </c>
      <c r="C104" s="25">
        <f t="shared" si="3"/>
        <v>0</v>
      </c>
      <c r="D104" s="47"/>
      <c r="E104" s="42"/>
      <c r="F104" s="42"/>
    </row>
    <row r="105" spans="1:6" ht="12" customHeight="1" x14ac:dyDescent="0.25">
      <c r="A105" s="23" t="s">
        <v>199</v>
      </c>
      <c r="B105" s="90" t="s">
        <v>200</v>
      </c>
      <c r="C105" s="29">
        <f t="shared" si="3"/>
        <v>590500</v>
      </c>
      <c r="D105" s="47">
        <f>523000+67500</f>
        <v>590500</v>
      </c>
      <c r="E105" s="42"/>
      <c r="F105" s="42"/>
    </row>
    <row r="106" spans="1:6" ht="12" customHeight="1" x14ac:dyDescent="0.25">
      <c r="A106" s="23" t="s">
        <v>201</v>
      </c>
      <c r="B106" s="90" t="s">
        <v>202</v>
      </c>
      <c r="C106" s="25">
        <f t="shared" si="3"/>
        <v>0</v>
      </c>
      <c r="D106" s="92"/>
      <c r="E106" s="42"/>
      <c r="F106" s="42"/>
    </row>
    <row r="107" spans="1:6" ht="12" customHeight="1" x14ac:dyDescent="0.25">
      <c r="A107" s="23" t="s">
        <v>203</v>
      </c>
      <c r="B107" s="91" t="s">
        <v>204</v>
      </c>
      <c r="C107" s="25">
        <f t="shared" si="3"/>
        <v>0</v>
      </c>
      <c r="D107" s="47"/>
      <c r="E107" s="42"/>
      <c r="F107" s="42"/>
    </row>
    <row r="108" spans="1:6" ht="12" customHeight="1" x14ac:dyDescent="0.25">
      <c r="A108" s="93" t="s">
        <v>205</v>
      </c>
      <c r="B108" s="89" t="s">
        <v>206</v>
      </c>
      <c r="C108" s="25">
        <f t="shared" si="3"/>
        <v>0</v>
      </c>
      <c r="D108" s="47"/>
      <c r="E108" s="42"/>
      <c r="F108" s="42"/>
    </row>
    <row r="109" spans="1:6" ht="12" customHeight="1" x14ac:dyDescent="0.25">
      <c r="A109" s="23" t="s">
        <v>207</v>
      </c>
      <c r="B109" s="89" t="s">
        <v>208</v>
      </c>
      <c r="C109" s="25">
        <f t="shared" si="3"/>
        <v>0</v>
      </c>
      <c r="D109" s="47"/>
      <c r="E109" s="42"/>
      <c r="F109" s="42"/>
    </row>
    <row r="110" spans="1:6" ht="12" customHeight="1" x14ac:dyDescent="0.25">
      <c r="A110" s="30" t="s">
        <v>209</v>
      </c>
      <c r="B110" s="89" t="s">
        <v>210</v>
      </c>
      <c r="C110" s="29">
        <f t="shared" si="3"/>
        <v>206704003</v>
      </c>
      <c r="D110" s="26">
        <f>1000000+47869145+6604733+15489215+46984511+1500000+500000+6000000+200000+150000+9076783+69312000+7332000+1437616+580000-7332000</f>
        <v>206704003</v>
      </c>
      <c r="E110" s="27"/>
      <c r="F110" s="42"/>
    </row>
    <row r="111" spans="1:6" ht="12" customHeight="1" x14ac:dyDescent="0.25">
      <c r="A111" s="23" t="s">
        <v>211</v>
      </c>
      <c r="B111" s="87" t="s">
        <v>212</v>
      </c>
      <c r="C111" s="29">
        <f t="shared" si="3"/>
        <v>71367630</v>
      </c>
      <c r="D111" s="26">
        <f>SUM(D112:D113)</f>
        <v>71367630</v>
      </c>
      <c r="E111" s="27"/>
      <c r="F111" s="27"/>
    </row>
    <row r="112" spans="1:6" ht="12" customHeight="1" x14ac:dyDescent="0.25">
      <c r="A112" s="23" t="s">
        <v>213</v>
      </c>
      <c r="B112" s="87" t="s">
        <v>214</v>
      </c>
      <c r="C112" s="38">
        <f t="shared" si="3"/>
        <v>8145170</v>
      </c>
      <c r="D112" s="47">
        <f>15000000-580000+1410503+2373731-7043400-3015664</f>
        <v>8145170</v>
      </c>
      <c r="E112" s="42"/>
      <c r="F112" s="27"/>
    </row>
    <row r="113" spans="1:6" ht="12" customHeight="1" thickBot="1" x14ac:dyDescent="0.3">
      <c r="A113" s="94" t="s">
        <v>215</v>
      </c>
      <c r="B113" s="95" t="s">
        <v>216</v>
      </c>
      <c r="C113" s="38">
        <f t="shared" si="3"/>
        <v>63222460</v>
      </c>
      <c r="D113" s="96">
        <f>63390965+131495-200000-100000</f>
        <v>63222460</v>
      </c>
      <c r="E113" s="97"/>
      <c r="F113" s="97"/>
    </row>
    <row r="114" spans="1:6" ht="12" customHeight="1" thickBot="1" x14ac:dyDescent="0.3">
      <c r="A114" s="98" t="s">
        <v>26</v>
      </c>
      <c r="B114" s="99" t="s">
        <v>217</v>
      </c>
      <c r="C114" s="15">
        <f t="shared" si="3"/>
        <v>490438762</v>
      </c>
      <c r="D114" s="16">
        <f>+D115+D117+D119</f>
        <v>483520127</v>
      </c>
      <c r="E114" s="15">
        <f>+E115+E117+E119</f>
        <v>230000</v>
      </c>
      <c r="F114" s="67">
        <f>+F115+F117+F119</f>
        <v>6688635</v>
      </c>
    </row>
    <row r="115" spans="1:6" ht="18.75" customHeight="1" x14ac:dyDescent="0.25">
      <c r="A115" s="18" t="s">
        <v>28</v>
      </c>
      <c r="B115" s="87" t="s">
        <v>218</v>
      </c>
      <c r="C115" s="84">
        <f t="shared" si="3"/>
        <v>357281755</v>
      </c>
      <c r="D115" s="21">
        <f>229989520+13809000+835610+1270000+359410+4508500+2505001+6704583+82307980+1074000+74000+7815116</f>
        <v>351252720</v>
      </c>
      <c r="E115" s="22">
        <f>230000</f>
        <v>230000</v>
      </c>
      <c r="F115" s="22">
        <f>506050+641350+1986214+1926590+738831</f>
        <v>5799035</v>
      </c>
    </row>
    <row r="116" spans="1:6" ht="12" customHeight="1" x14ac:dyDescent="0.25">
      <c r="A116" s="18" t="s">
        <v>30</v>
      </c>
      <c r="B116" s="100" t="s">
        <v>219</v>
      </c>
      <c r="C116" s="57">
        <f t="shared" si="3"/>
        <v>287896573</v>
      </c>
      <c r="D116" s="21">
        <f>156693000+42191010+6704583+82307980</f>
        <v>287896573</v>
      </c>
      <c r="E116" s="22"/>
      <c r="F116" s="22"/>
    </row>
    <row r="117" spans="1:6" ht="12" customHeight="1" x14ac:dyDescent="0.25">
      <c r="A117" s="18" t="s">
        <v>32</v>
      </c>
      <c r="B117" s="100" t="s">
        <v>220</v>
      </c>
      <c r="C117" s="84">
        <f t="shared" si="3"/>
        <v>106237901</v>
      </c>
      <c r="D117" s="26">
        <f>9517731+51474577+42450993+1905000</f>
        <v>105348301</v>
      </c>
      <c r="E117" s="27"/>
      <c r="F117" s="27">
        <f>965200-75600</f>
        <v>889600</v>
      </c>
    </row>
    <row r="118" spans="1:6" ht="12" customHeight="1" x14ac:dyDescent="0.25">
      <c r="A118" s="18" t="s">
        <v>34</v>
      </c>
      <c r="B118" s="100" t="s">
        <v>221</v>
      </c>
      <c r="C118" s="20">
        <f t="shared" si="3"/>
        <v>69859070</v>
      </c>
      <c r="D118" s="26">
        <f>28614577+41244493</f>
        <v>69859070</v>
      </c>
      <c r="E118" s="101"/>
      <c r="F118" s="26"/>
    </row>
    <row r="119" spans="1:6" ht="12" customHeight="1" x14ac:dyDescent="0.25">
      <c r="A119" s="18" t="s">
        <v>36</v>
      </c>
      <c r="B119" s="31" t="s">
        <v>222</v>
      </c>
      <c r="C119" s="20">
        <f t="shared" si="3"/>
        <v>26919106</v>
      </c>
      <c r="D119" s="47">
        <f>SUM(D120:D127)</f>
        <v>26919106</v>
      </c>
      <c r="E119" s="26"/>
      <c r="F119" s="26"/>
    </row>
    <row r="120" spans="1:6" ht="12" customHeight="1" x14ac:dyDescent="0.25">
      <c r="A120" s="18" t="s">
        <v>38</v>
      </c>
      <c r="B120" s="28" t="s">
        <v>223</v>
      </c>
      <c r="C120" s="20">
        <f t="shared" si="3"/>
        <v>0</v>
      </c>
      <c r="D120" s="33"/>
      <c r="E120" s="33"/>
      <c r="F120" s="26"/>
    </row>
    <row r="121" spans="1:6" ht="12" customHeight="1" x14ac:dyDescent="0.25">
      <c r="A121" s="18" t="s">
        <v>224</v>
      </c>
      <c r="B121" s="102" t="s">
        <v>225</v>
      </c>
      <c r="C121" s="20">
        <f t="shared" si="3"/>
        <v>0</v>
      </c>
      <c r="D121" s="33"/>
      <c r="E121" s="33"/>
      <c r="F121" s="26"/>
    </row>
    <row r="122" spans="1:6" x14ac:dyDescent="0.25">
      <c r="A122" s="18" t="s">
        <v>226</v>
      </c>
      <c r="B122" s="91" t="s">
        <v>198</v>
      </c>
      <c r="C122" s="20">
        <f t="shared" si="3"/>
        <v>0</v>
      </c>
      <c r="D122" s="33"/>
      <c r="E122" s="33"/>
      <c r="F122" s="26"/>
    </row>
    <row r="123" spans="1:6" ht="12" customHeight="1" x14ac:dyDescent="0.25">
      <c r="A123" s="18" t="s">
        <v>227</v>
      </c>
      <c r="B123" s="91" t="s">
        <v>228</v>
      </c>
      <c r="C123" s="20">
        <f t="shared" si="3"/>
        <v>0</v>
      </c>
      <c r="D123" s="33"/>
      <c r="E123" s="33"/>
      <c r="F123" s="26"/>
    </row>
    <row r="124" spans="1:6" ht="12" customHeight="1" x14ac:dyDescent="0.25">
      <c r="A124" s="18" t="s">
        <v>229</v>
      </c>
      <c r="B124" s="91" t="s">
        <v>230</v>
      </c>
      <c r="C124" s="20">
        <f t="shared" si="3"/>
        <v>0</v>
      </c>
      <c r="D124" s="33"/>
      <c r="E124" s="33"/>
      <c r="F124" s="26"/>
    </row>
    <row r="125" spans="1:6" ht="12" customHeight="1" x14ac:dyDescent="0.25">
      <c r="A125" s="18" t="s">
        <v>231</v>
      </c>
      <c r="B125" s="91" t="s">
        <v>204</v>
      </c>
      <c r="C125" s="20">
        <f t="shared" si="3"/>
        <v>0</v>
      </c>
      <c r="D125" s="33"/>
      <c r="E125" s="33"/>
      <c r="F125" s="26"/>
    </row>
    <row r="126" spans="1:6" ht="12" customHeight="1" x14ac:dyDescent="0.25">
      <c r="A126" s="18" t="s">
        <v>232</v>
      </c>
      <c r="B126" s="91" t="s">
        <v>233</v>
      </c>
      <c r="C126" s="20">
        <f t="shared" si="3"/>
        <v>0</v>
      </c>
      <c r="D126" s="33"/>
      <c r="E126" s="33"/>
      <c r="F126" s="26"/>
    </row>
    <row r="127" spans="1:6" ht="16.5" thickBot="1" x14ac:dyDescent="0.3">
      <c r="A127" s="93" t="s">
        <v>234</v>
      </c>
      <c r="B127" s="91" t="s">
        <v>235</v>
      </c>
      <c r="C127" s="20">
        <f t="shared" si="3"/>
        <v>26919106</v>
      </c>
      <c r="D127" s="41">
        <f>650000+26269106</f>
        <v>26919106</v>
      </c>
      <c r="E127" s="47"/>
      <c r="F127" s="47"/>
    </row>
    <row r="128" spans="1:6" ht="12" customHeight="1" thickBot="1" x14ac:dyDescent="0.3">
      <c r="A128" s="13" t="s">
        <v>40</v>
      </c>
      <c r="B128" s="103" t="s">
        <v>236</v>
      </c>
      <c r="C128" s="15">
        <f t="shared" si="3"/>
        <v>2161595626</v>
      </c>
      <c r="D128" s="16">
        <f>+D93+D114</f>
        <v>1129499681</v>
      </c>
      <c r="E128" s="15">
        <f>+E93+E114</f>
        <v>7337898</v>
      </c>
      <c r="F128" s="15">
        <f>+F93+F114</f>
        <v>1024758047</v>
      </c>
    </row>
    <row r="129" spans="1:6" ht="12" customHeight="1" thickBot="1" x14ac:dyDescent="0.3">
      <c r="A129" s="13" t="s">
        <v>237</v>
      </c>
      <c r="B129" s="103" t="s">
        <v>238</v>
      </c>
      <c r="C129" s="53">
        <f t="shared" si="3"/>
        <v>111674500</v>
      </c>
      <c r="D129" s="16">
        <f>+D130+D131+D132</f>
        <v>111674500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56</v>
      </c>
      <c r="B130" s="100" t="s">
        <v>239</v>
      </c>
      <c r="C130" s="20">
        <f t="shared" si="3"/>
        <v>11674500</v>
      </c>
      <c r="D130" s="26">
        <f>11674500</f>
        <v>11674500</v>
      </c>
      <c r="E130" s="26"/>
      <c r="F130" s="26"/>
    </row>
    <row r="131" spans="1:6" ht="12" customHeight="1" x14ac:dyDescent="0.25">
      <c r="A131" s="18" t="s">
        <v>62</v>
      </c>
      <c r="B131" s="100" t="s">
        <v>240</v>
      </c>
      <c r="C131" s="25">
        <f t="shared" si="3"/>
        <v>100000000</v>
      </c>
      <c r="D131" s="33">
        <f>100000000</f>
        <v>100000000</v>
      </c>
      <c r="E131" s="33"/>
      <c r="F131" s="33"/>
    </row>
    <row r="132" spans="1:6" ht="12" customHeight="1" thickBot="1" x14ac:dyDescent="0.3">
      <c r="A132" s="93" t="s">
        <v>241</v>
      </c>
      <c r="B132" s="100" t="s">
        <v>242</v>
      </c>
      <c r="C132" s="32">
        <f t="shared" si="3"/>
        <v>0</v>
      </c>
      <c r="D132" s="33"/>
      <c r="E132" s="33"/>
      <c r="F132" s="33"/>
    </row>
    <row r="133" spans="1:6" ht="12" customHeight="1" thickBot="1" x14ac:dyDescent="0.3">
      <c r="A133" s="13" t="s">
        <v>70</v>
      </c>
      <c r="B133" s="103" t="s">
        <v>243</v>
      </c>
      <c r="C133" s="53">
        <f t="shared" si="3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72</v>
      </c>
      <c r="B134" s="104" t="s">
        <v>244</v>
      </c>
      <c r="C134" s="20">
        <f t="shared" si="3"/>
        <v>0</v>
      </c>
      <c r="D134" s="33"/>
      <c r="E134" s="33"/>
      <c r="F134" s="33"/>
    </row>
    <row r="135" spans="1:6" ht="12" customHeight="1" x14ac:dyDescent="0.25">
      <c r="A135" s="18" t="s">
        <v>74</v>
      </c>
      <c r="B135" s="104" t="s">
        <v>245</v>
      </c>
      <c r="C135" s="25">
        <f t="shared" si="3"/>
        <v>0</v>
      </c>
      <c r="D135" s="33"/>
      <c r="E135" s="33"/>
      <c r="F135" s="33"/>
    </row>
    <row r="136" spans="1:6" ht="12" customHeight="1" x14ac:dyDescent="0.25">
      <c r="A136" s="18" t="s">
        <v>76</v>
      </c>
      <c r="B136" s="104" t="s">
        <v>246</v>
      </c>
      <c r="C136" s="25">
        <f t="shared" si="3"/>
        <v>0</v>
      </c>
      <c r="D136" s="33"/>
      <c r="E136" s="33"/>
      <c r="F136" s="33"/>
    </row>
    <row r="137" spans="1:6" ht="12" customHeight="1" x14ac:dyDescent="0.25">
      <c r="A137" s="18" t="s">
        <v>78</v>
      </c>
      <c r="B137" s="104" t="s">
        <v>247</v>
      </c>
      <c r="C137" s="25">
        <f t="shared" si="3"/>
        <v>0</v>
      </c>
      <c r="D137" s="33"/>
      <c r="E137" s="33"/>
      <c r="F137" s="33"/>
    </row>
    <row r="138" spans="1:6" ht="12" customHeight="1" x14ac:dyDescent="0.25">
      <c r="A138" s="18" t="s">
        <v>80</v>
      </c>
      <c r="B138" s="104" t="s">
        <v>248</v>
      </c>
      <c r="C138" s="25">
        <f t="shared" si="3"/>
        <v>0</v>
      </c>
      <c r="D138" s="33"/>
      <c r="E138" s="33"/>
      <c r="F138" s="33"/>
    </row>
    <row r="139" spans="1:6" ht="12" customHeight="1" thickBot="1" x14ac:dyDescent="0.3">
      <c r="A139" s="93" t="s">
        <v>82</v>
      </c>
      <c r="B139" s="104" t="s">
        <v>249</v>
      </c>
      <c r="C139" s="32">
        <f t="shared" si="3"/>
        <v>0</v>
      </c>
      <c r="D139" s="33"/>
      <c r="E139" s="33"/>
      <c r="F139" s="33"/>
    </row>
    <row r="140" spans="1:6" ht="12" customHeight="1" thickBot="1" x14ac:dyDescent="0.3">
      <c r="A140" s="13" t="s">
        <v>94</v>
      </c>
      <c r="B140" s="103" t="s">
        <v>250</v>
      </c>
      <c r="C140" s="15">
        <f t="shared" si="3"/>
        <v>41904332</v>
      </c>
      <c r="D140" s="48">
        <f>+D141+D142+D143+D144</f>
        <v>41904332</v>
      </c>
      <c r="E140" s="49">
        <f>+E141+E142+E143+E144</f>
        <v>0</v>
      </c>
      <c r="F140" s="49">
        <f>+F141+F142+F143+F144</f>
        <v>0</v>
      </c>
    </row>
    <row r="141" spans="1:6" ht="12" customHeight="1" x14ac:dyDescent="0.25">
      <c r="A141" s="18" t="s">
        <v>96</v>
      </c>
      <c r="B141" s="104" t="s">
        <v>251</v>
      </c>
      <c r="C141" s="20">
        <f t="shared" si="3"/>
        <v>0</v>
      </c>
      <c r="D141" s="33"/>
      <c r="E141" s="33"/>
      <c r="F141" s="33"/>
    </row>
    <row r="142" spans="1:6" ht="12" customHeight="1" x14ac:dyDescent="0.25">
      <c r="A142" s="18" t="s">
        <v>98</v>
      </c>
      <c r="B142" s="104" t="s">
        <v>252</v>
      </c>
      <c r="C142" s="25">
        <f t="shared" si="3"/>
        <v>41904332</v>
      </c>
      <c r="D142" s="33">
        <f>41904332</f>
        <v>41904332</v>
      </c>
      <c r="E142" s="33"/>
      <c r="F142" s="33"/>
    </row>
    <row r="143" spans="1:6" ht="12" customHeight="1" x14ac:dyDescent="0.25">
      <c r="A143" s="18" t="s">
        <v>100</v>
      </c>
      <c r="B143" s="104" t="s">
        <v>253</v>
      </c>
      <c r="C143" s="25">
        <f t="shared" si="3"/>
        <v>0</v>
      </c>
      <c r="D143" s="33"/>
      <c r="E143" s="33"/>
      <c r="F143" s="33"/>
    </row>
    <row r="144" spans="1:6" ht="12" customHeight="1" thickBot="1" x14ac:dyDescent="0.3">
      <c r="A144" s="93" t="s">
        <v>102</v>
      </c>
      <c r="B144" s="88" t="s">
        <v>254</v>
      </c>
      <c r="C144" s="32">
        <f t="shared" si="3"/>
        <v>0</v>
      </c>
      <c r="D144" s="33"/>
      <c r="E144" s="33"/>
      <c r="F144" s="33"/>
    </row>
    <row r="145" spans="1:9" ht="12" customHeight="1" thickBot="1" x14ac:dyDescent="0.3">
      <c r="A145" s="13" t="s">
        <v>255</v>
      </c>
      <c r="B145" s="103" t="s">
        <v>256</v>
      </c>
      <c r="C145" s="53">
        <f t="shared" si="3"/>
        <v>0</v>
      </c>
      <c r="D145" s="105">
        <f>+D146+D147+D148+D149+D150</f>
        <v>0</v>
      </c>
      <c r="E145" s="106">
        <f>+E146+E147+E148+E149+E150</f>
        <v>0</v>
      </c>
      <c r="F145" s="106">
        <f>SUM(F146:F150)</f>
        <v>0</v>
      </c>
    </row>
    <row r="146" spans="1:9" ht="12" customHeight="1" x14ac:dyDescent="0.25">
      <c r="A146" s="18" t="s">
        <v>108</v>
      </c>
      <c r="B146" s="104" t="s">
        <v>257</v>
      </c>
      <c r="C146" s="20">
        <f t="shared" si="3"/>
        <v>0</v>
      </c>
      <c r="D146" s="33"/>
      <c r="E146" s="33"/>
      <c r="F146" s="33"/>
    </row>
    <row r="147" spans="1:9" ht="12" customHeight="1" x14ac:dyDescent="0.25">
      <c r="A147" s="18" t="s">
        <v>110</v>
      </c>
      <c r="B147" s="104" t="s">
        <v>258</v>
      </c>
      <c r="C147" s="25">
        <f t="shared" si="3"/>
        <v>0</v>
      </c>
      <c r="D147" s="33"/>
      <c r="E147" s="33"/>
      <c r="F147" s="33"/>
    </row>
    <row r="148" spans="1:9" ht="12" customHeight="1" x14ac:dyDescent="0.25">
      <c r="A148" s="18" t="s">
        <v>112</v>
      </c>
      <c r="B148" s="104" t="s">
        <v>259</v>
      </c>
      <c r="C148" s="25">
        <f t="shared" si="3"/>
        <v>0</v>
      </c>
      <c r="D148" s="33"/>
      <c r="E148" s="33"/>
      <c r="F148" s="33"/>
    </row>
    <row r="149" spans="1:9" ht="12" customHeight="1" x14ac:dyDescent="0.25">
      <c r="A149" s="18" t="s">
        <v>114</v>
      </c>
      <c r="B149" s="104" t="s">
        <v>260</v>
      </c>
      <c r="C149" s="25">
        <f t="shared" si="3"/>
        <v>0</v>
      </c>
      <c r="D149" s="33"/>
      <c r="E149" s="33"/>
      <c r="F149" s="33"/>
    </row>
    <row r="150" spans="1:9" ht="12" customHeight="1" thickBot="1" x14ac:dyDescent="0.3">
      <c r="A150" s="18" t="s">
        <v>261</v>
      </c>
      <c r="B150" s="104" t="s">
        <v>262</v>
      </c>
      <c r="C150" s="32">
        <f t="shared" si="3"/>
        <v>0</v>
      </c>
      <c r="D150" s="41"/>
      <c r="E150" s="41"/>
      <c r="F150" s="33"/>
    </row>
    <row r="151" spans="1:9" ht="12" customHeight="1" thickBot="1" x14ac:dyDescent="0.3">
      <c r="A151" s="13" t="s">
        <v>116</v>
      </c>
      <c r="B151" s="103" t="s">
        <v>263</v>
      </c>
      <c r="C151" s="15">
        <f t="shared" si="3"/>
        <v>0</v>
      </c>
      <c r="D151" s="105"/>
      <c r="E151" s="106"/>
      <c r="F151" s="107"/>
    </row>
    <row r="152" spans="1:9" ht="12" customHeight="1" thickBot="1" x14ac:dyDescent="0.3">
      <c r="A152" s="13" t="s">
        <v>264</v>
      </c>
      <c r="B152" s="103" t="s">
        <v>265</v>
      </c>
      <c r="C152" s="80">
        <f t="shared" si="3"/>
        <v>0</v>
      </c>
      <c r="D152" s="105"/>
      <c r="E152" s="106"/>
      <c r="F152" s="107"/>
    </row>
    <row r="153" spans="1:9" ht="15" customHeight="1" thickBot="1" x14ac:dyDescent="0.3">
      <c r="A153" s="13" t="s">
        <v>266</v>
      </c>
      <c r="B153" s="103" t="s">
        <v>267</v>
      </c>
      <c r="C153" s="80">
        <f t="shared" si="3"/>
        <v>153578832</v>
      </c>
      <c r="D153" s="108">
        <f>+D129+D133+D140+D145+D151+D152</f>
        <v>153578832</v>
      </c>
      <c r="E153" s="109">
        <f>+E129+E133+E140+E145+E151+E152</f>
        <v>0</v>
      </c>
      <c r="F153" s="109">
        <f>+F129+F133+F140+F145+F151+F152</f>
        <v>0</v>
      </c>
      <c r="G153" s="110"/>
      <c r="H153" s="110"/>
      <c r="I153" s="110"/>
    </row>
    <row r="154" spans="1:9" s="17" customFormat="1" ht="12.95" customHeight="1" thickBot="1" x14ac:dyDescent="0.25">
      <c r="A154" s="111" t="s">
        <v>268</v>
      </c>
      <c r="B154" s="112" t="s">
        <v>269</v>
      </c>
      <c r="C154" s="15">
        <f t="shared" si="3"/>
        <v>2315174458</v>
      </c>
      <c r="D154" s="108">
        <f>+D128+D153</f>
        <v>1283078513</v>
      </c>
      <c r="E154" s="109">
        <f>+E128+E153</f>
        <v>7337898</v>
      </c>
      <c r="F154" s="109">
        <f>+F128+F153</f>
        <v>1024758047</v>
      </c>
    </row>
    <row r="155" spans="1:9" ht="7.5" customHeight="1" x14ac:dyDescent="0.25"/>
    <row r="156" spans="1:9" x14ac:dyDescent="0.25">
      <c r="A156" s="114" t="s">
        <v>270</v>
      </c>
      <c r="B156" s="114"/>
      <c r="C156" s="114"/>
    </row>
    <row r="157" spans="1:9" ht="15" customHeight="1" thickBot="1" x14ac:dyDescent="0.3">
      <c r="A157" s="3" t="s">
        <v>271</v>
      </c>
      <c r="B157" s="3"/>
      <c r="C157" s="4" t="s">
        <v>2</v>
      </c>
    </row>
    <row r="158" spans="1:9" ht="13.5" customHeight="1" thickBot="1" x14ac:dyDescent="0.3">
      <c r="A158" s="13">
        <v>1</v>
      </c>
      <c r="B158" s="115" t="s">
        <v>272</v>
      </c>
      <c r="C158" s="15">
        <f>+C62-C128</f>
        <v>-7922484</v>
      </c>
    </row>
    <row r="159" spans="1:9" ht="27.75" customHeight="1" thickBot="1" x14ac:dyDescent="0.3">
      <c r="A159" s="13" t="s">
        <v>26</v>
      </c>
      <c r="B159" s="115" t="s">
        <v>273</v>
      </c>
      <c r="C159" s="15">
        <f>+C86-C153</f>
        <v>373511559</v>
      </c>
    </row>
    <row r="160" spans="1:9" x14ac:dyDescent="0.25">
      <c r="F160" s="116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 KÖTELEZŐ FELADATAINAK MÉRLEGE
 &amp;R&amp;"Times New Roman CE,Félkövér dőlt"&amp;11 2. számú melléklet a 18/2019.(V.30.)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2019-05-30T15:46:18Z</dcterms:created>
  <dcterms:modified xsi:type="dcterms:W3CDTF">2019-05-30T15:46:18Z</dcterms:modified>
</cp:coreProperties>
</file>