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zárszámadás\"/>
    </mc:Choice>
  </mc:AlternateContent>
  <bookViews>
    <workbookView xWindow="0" yWindow="0" windowWidth="28800" windowHeight="12300"/>
  </bookViews>
  <sheets>
    <sheet name="5_mellékl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B13" i="1"/>
  <c r="C13" i="1"/>
  <c r="E13" i="1"/>
  <c r="B14" i="1"/>
  <c r="C14" i="1"/>
  <c r="E14" i="1" s="1"/>
  <c r="B16" i="1"/>
  <c r="C16" i="1"/>
  <c r="E16" i="1"/>
  <c r="C18" i="1"/>
  <c r="E18" i="1" s="1"/>
  <c r="B21" i="1"/>
  <c r="C21" i="1"/>
  <c r="D21" i="1"/>
  <c r="B22" i="1"/>
  <c r="C22" i="1"/>
  <c r="E22" i="1"/>
  <c r="B23" i="1"/>
  <c r="C23" i="1"/>
  <c r="B25" i="1"/>
  <c r="C25" i="1"/>
  <c r="B27" i="1"/>
  <c r="C27" i="1"/>
  <c r="E30" i="1"/>
  <c r="B31" i="1"/>
  <c r="C31" i="1"/>
  <c r="D31" i="1"/>
  <c r="E33" i="1"/>
  <c r="B34" i="1"/>
  <c r="C34" i="1"/>
  <c r="D34" i="1"/>
  <c r="E36" i="1"/>
  <c r="E37" i="1"/>
  <c r="E38" i="1"/>
  <c r="B40" i="1"/>
  <c r="C40" i="1"/>
  <c r="D40" i="1"/>
  <c r="E41" i="1"/>
  <c r="B42" i="1"/>
  <c r="C42" i="1"/>
  <c r="E42" i="1" s="1"/>
  <c r="D42" i="1"/>
  <c r="E43" i="1"/>
  <c r="E44" i="1"/>
  <c r="E45" i="1"/>
  <c r="B46" i="1"/>
  <c r="C46" i="1"/>
  <c r="D46" i="1"/>
  <c r="E46" i="1" s="1"/>
  <c r="E47" i="1"/>
  <c r="B48" i="1"/>
  <c r="C48" i="1"/>
  <c r="E49" i="1"/>
  <c r="B50" i="1"/>
  <c r="D50" i="1"/>
  <c r="B51" i="1"/>
  <c r="C51" i="1"/>
  <c r="E51" i="1" s="1"/>
  <c r="D51" i="1"/>
  <c r="B53" i="1"/>
  <c r="C53" i="1"/>
  <c r="D53" i="1"/>
  <c r="E53" i="1" s="1"/>
  <c r="B54" i="1"/>
  <c r="B56" i="1"/>
  <c r="E60" i="1"/>
  <c r="E61" i="1"/>
  <c r="E62" i="1"/>
  <c r="B63" i="1"/>
  <c r="C63" i="1"/>
  <c r="D63" i="1"/>
  <c r="E63" i="1" s="1"/>
  <c r="E64" i="1"/>
  <c r="E65" i="1"/>
  <c r="B66" i="1"/>
  <c r="B70" i="1" s="1"/>
  <c r="B72" i="1" s="1"/>
  <c r="C66" i="1"/>
  <c r="E66" i="1" s="1"/>
  <c r="B67" i="1"/>
  <c r="B68" i="1" s="1"/>
  <c r="C67" i="1"/>
  <c r="D68" i="1"/>
  <c r="D70" i="1"/>
  <c r="B77" i="1"/>
  <c r="C77" i="1"/>
  <c r="C78" i="1" s="1"/>
  <c r="E77" i="1"/>
  <c r="B78" i="1"/>
  <c r="D78" i="1"/>
  <c r="D82" i="1" s="1"/>
  <c r="E78" i="1"/>
  <c r="B79" i="1"/>
  <c r="B80" i="1"/>
  <c r="D80" i="1"/>
  <c r="B82" i="1"/>
  <c r="B84" i="1"/>
  <c r="C89" i="1"/>
  <c r="B90" i="1"/>
  <c r="B92" i="1"/>
  <c r="C92" i="1"/>
  <c r="E92" i="1"/>
  <c r="E93" i="1"/>
  <c r="B94" i="1"/>
  <c r="C94" i="1"/>
  <c r="E94" i="1"/>
  <c r="B96" i="1"/>
  <c r="C101" i="1"/>
  <c r="D101" i="1"/>
  <c r="E102" i="1"/>
  <c r="B104" i="1"/>
  <c r="C104" i="1"/>
  <c r="B106" i="1"/>
  <c r="B110" i="1" s="1"/>
  <c r="C106" i="1"/>
  <c r="E107" i="1"/>
  <c r="E108" i="1"/>
  <c r="E109" i="1"/>
  <c r="D110" i="1"/>
  <c r="C113" i="1"/>
  <c r="D113" i="1"/>
  <c r="E113" i="1"/>
  <c r="C114" i="1"/>
  <c r="C123" i="1" s="1"/>
  <c r="D114" i="1"/>
  <c r="E114" i="1" s="1"/>
  <c r="D117" i="1"/>
  <c r="D118" i="1"/>
  <c r="D119" i="1" s="1"/>
  <c r="C120" i="1"/>
  <c r="E120" i="1"/>
  <c r="C121" i="1"/>
  <c r="E121" i="1" s="1"/>
  <c r="D121" i="1"/>
  <c r="D123" i="1"/>
  <c r="E123" i="1" s="1"/>
  <c r="E131" i="1"/>
  <c r="B132" i="1"/>
  <c r="C132" i="1"/>
  <c r="D132" i="1"/>
  <c r="E134" i="1"/>
  <c r="B135" i="1"/>
  <c r="C135" i="1"/>
  <c r="D135" i="1"/>
  <c r="E135" i="1"/>
  <c r="D137" i="1"/>
  <c r="E139" i="1"/>
  <c r="B141" i="1"/>
  <c r="C141" i="1"/>
  <c r="B142" i="1"/>
  <c r="C142" i="1"/>
  <c r="C144" i="1" s="1"/>
  <c r="C145" i="1" s="1"/>
  <c r="D142" i="1"/>
  <c r="E142" i="1" s="1"/>
  <c r="D143" i="1"/>
  <c r="D144" i="1" s="1"/>
  <c r="B144" i="1"/>
  <c r="B145" i="1"/>
  <c r="B147" i="1"/>
  <c r="C150" i="1"/>
  <c r="E151" i="1"/>
  <c r="E152" i="1"/>
  <c r="D154" i="1"/>
  <c r="B156" i="1"/>
  <c r="C158" i="1"/>
  <c r="E158" i="1"/>
  <c r="E159" i="1"/>
  <c r="E160" i="1"/>
  <c r="E161" i="1"/>
  <c r="B162" i="1"/>
  <c r="C162" i="1"/>
  <c r="E162" i="1" s="1"/>
  <c r="D162" i="1"/>
  <c r="E164" i="1"/>
  <c r="E165" i="1"/>
  <c r="B166" i="1"/>
  <c r="C166" i="1"/>
  <c r="D166" i="1"/>
  <c r="E166" i="1"/>
  <c r="E167" i="1"/>
  <c r="E168" i="1"/>
  <c r="E169" i="1"/>
  <c r="E170" i="1"/>
  <c r="B171" i="1"/>
  <c r="C171" i="1"/>
  <c r="D171" i="1"/>
  <c r="E171" i="1"/>
  <c r="E172" i="1"/>
  <c r="B173" i="1"/>
  <c r="C173" i="1"/>
  <c r="D173" i="1"/>
  <c r="E173" i="1" s="1"/>
  <c r="E174" i="1"/>
  <c r="E175" i="1"/>
  <c r="B176" i="1"/>
  <c r="B187" i="1" s="1"/>
  <c r="B189" i="1" s="1"/>
  <c r="C176" i="1"/>
  <c r="D176" i="1"/>
  <c r="E176" i="1"/>
  <c r="D177" i="1"/>
  <c r="E178" i="1"/>
  <c r="D179" i="1"/>
  <c r="E179" i="1"/>
  <c r="B180" i="1"/>
  <c r="C180" i="1"/>
  <c r="E181" i="1"/>
  <c r="E182" i="1"/>
  <c r="B183" i="1"/>
  <c r="C183" i="1"/>
  <c r="E183" i="1" s="1"/>
  <c r="D183" i="1"/>
  <c r="B186" i="1"/>
  <c r="C186" i="1"/>
  <c r="D186" i="1"/>
  <c r="E194" i="1"/>
  <c r="C195" i="1"/>
  <c r="D195" i="1"/>
  <c r="E195" i="1" s="1"/>
  <c r="D197" i="1"/>
  <c r="D199" i="1" s="1"/>
  <c r="C199" i="1"/>
  <c r="C201" i="1" s="1"/>
  <c r="C206" i="1"/>
  <c r="E206" i="1"/>
  <c r="C207" i="1"/>
  <c r="E208" i="1"/>
  <c r="D209" i="1"/>
  <c r="E209" i="1"/>
  <c r="E210" i="1"/>
  <c r="B211" i="1"/>
  <c r="D211" i="1"/>
  <c r="C213" i="1"/>
  <c r="E213" i="1"/>
  <c r="E214" i="1"/>
  <c r="E215" i="1"/>
  <c r="B216" i="1"/>
  <c r="C216" i="1"/>
  <c r="D216" i="1"/>
  <c r="E216" i="1" s="1"/>
  <c r="E219" i="1"/>
  <c r="B220" i="1"/>
  <c r="B224" i="1" s="1"/>
  <c r="B234" i="1" s="1"/>
  <c r="B236" i="1" s="1"/>
  <c r="C220" i="1"/>
  <c r="E220" i="1" s="1"/>
  <c r="D220" i="1"/>
  <c r="C222" i="1"/>
  <c r="C224" i="1" s="1"/>
  <c r="D222" i="1"/>
  <c r="B223" i="1"/>
  <c r="C223" i="1"/>
  <c r="E223" i="1"/>
  <c r="B226" i="1"/>
  <c r="E227" i="1"/>
  <c r="D228" i="1"/>
  <c r="E228" i="1"/>
  <c r="E229" i="1"/>
  <c r="D231" i="1"/>
  <c r="E231" i="1" s="1"/>
  <c r="B232" i="1"/>
  <c r="D232" i="1"/>
  <c r="B238" i="1"/>
  <c r="D239" i="1"/>
  <c r="B241" i="1"/>
  <c r="C241" i="1"/>
  <c r="D241" i="1"/>
  <c r="E241" i="1" s="1"/>
  <c r="C251" i="1"/>
  <c r="D251" i="1"/>
  <c r="D254" i="1" s="1"/>
  <c r="E251" i="1"/>
  <c r="E252" i="1"/>
  <c r="E253" i="1"/>
  <c r="B254" i="1"/>
  <c r="C254" i="1"/>
  <c r="C256" i="1"/>
  <c r="D256" i="1"/>
  <c r="E256" i="1" s="1"/>
  <c r="B257" i="1"/>
  <c r="C257" i="1"/>
  <c r="E259" i="1"/>
  <c r="B260" i="1"/>
  <c r="B266" i="1" s="1"/>
  <c r="B268" i="1" s="1"/>
  <c r="C260" i="1"/>
  <c r="E261" i="1"/>
  <c r="E262" i="1"/>
  <c r="B263" i="1"/>
  <c r="D263" i="1"/>
  <c r="E264" i="1"/>
  <c r="B265" i="1"/>
  <c r="C265" i="1"/>
  <c r="D265" i="1"/>
  <c r="E265" i="1"/>
  <c r="D266" i="1"/>
  <c r="D268" i="1"/>
  <c r="D269" i="1"/>
  <c r="D275" i="1"/>
  <c r="E275" i="1"/>
  <c r="E276" i="1"/>
  <c r="B277" i="1"/>
  <c r="B289" i="1" s="1"/>
  <c r="B290" i="1" s="1"/>
  <c r="C277" i="1"/>
  <c r="D277" i="1"/>
  <c r="E277" i="1"/>
  <c r="E278" i="1"/>
  <c r="E279" i="1"/>
  <c r="E280" i="1"/>
  <c r="B281" i="1"/>
  <c r="C281" i="1"/>
  <c r="E281" i="1" s="1"/>
  <c r="D281" i="1"/>
  <c r="E282" i="1"/>
  <c r="E283" i="1"/>
  <c r="B284" i="1"/>
  <c r="C284" i="1"/>
  <c r="D284" i="1"/>
  <c r="E284" i="1"/>
  <c r="B285" i="1"/>
  <c r="C285" i="1"/>
  <c r="D285" i="1"/>
  <c r="D288" i="1" s="1"/>
  <c r="E285" i="1"/>
  <c r="D287" i="1"/>
  <c r="E287" i="1"/>
  <c r="B288" i="1"/>
  <c r="C288" i="1"/>
  <c r="C289" i="1"/>
  <c r="C290" i="1" s="1"/>
  <c r="C296" i="1"/>
  <c r="E296" i="1"/>
  <c r="E297" i="1"/>
  <c r="C298" i="1"/>
  <c r="D298" i="1"/>
  <c r="E298" i="1"/>
  <c r="E299" i="1"/>
  <c r="C300" i="1"/>
  <c r="E300" i="1"/>
  <c r="E303" i="1"/>
  <c r="B304" i="1"/>
  <c r="B306" i="1" s="1"/>
  <c r="C304" i="1"/>
  <c r="E304" i="1"/>
  <c r="C305" i="1"/>
  <c r="C306" i="1" s="1"/>
  <c r="E305" i="1"/>
  <c r="D306" i="1"/>
  <c r="C308" i="1"/>
  <c r="E308" i="1"/>
  <c r="C309" i="1"/>
  <c r="E309" i="1"/>
  <c r="C310" i="1"/>
  <c r="E310" i="1"/>
  <c r="B311" i="1"/>
  <c r="B312" i="1" s="1"/>
  <c r="C311" i="1"/>
  <c r="E311" i="1" s="1"/>
  <c r="C312" i="1"/>
  <c r="D312" i="1"/>
  <c r="E312" i="1" s="1"/>
  <c r="E314" i="1"/>
  <c r="E315" i="1"/>
  <c r="B316" i="1"/>
  <c r="B318" i="1" s="1"/>
  <c r="C316" i="1"/>
  <c r="E316" i="1"/>
  <c r="C318" i="1"/>
  <c r="D318" i="1"/>
  <c r="E319" i="1"/>
  <c r="E321" i="1"/>
  <c r="B322" i="1"/>
  <c r="C322" i="1"/>
  <c r="D322" i="1"/>
  <c r="E322" i="1"/>
  <c r="B323" i="1"/>
  <c r="C323" i="1"/>
  <c r="D323" i="1"/>
  <c r="E323" i="1"/>
  <c r="E324" i="1"/>
  <c r="B325" i="1"/>
  <c r="C325" i="1"/>
  <c r="D325" i="1"/>
  <c r="E325" i="1" s="1"/>
  <c r="E326" i="1"/>
  <c r="E327" i="1"/>
  <c r="E328" i="1"/>
  <c r="B329" i="1"/>
  <c r="C329" i="1"/>
  <c r="D329" i="1"/>
  <c r="E329" i="1" s="1"/>
  <c r="E330" i="1"/>
  <c r="E331" i="1"/>
  <c r="E332" i="1"/>
  <c r="C333" i="1"/>
  <c r="C334" i="1"/>
  <c r="E334" i="1"/>
  <c r="B335" i="1"/>
  <c r="D335" i="1"/>
  <c r="B337" i="1"/>
  <c r="B340" i="1" s="1"/>
  <c r="B341" i="1" s="1"/>
  <c r="D337" i="1"/>
  <c r="C338" i="1"/>
  <c r="E338" i="1" s="1"/>
  <c r="D339" i="1"/>
  <c r="E339" i="1"/>
  <c r="D340" i="1"/>
  <c r="E347" i="1"/>
  <c r="C348" i="1"/>
  <c r="D348" i="1"/>
  <c r="D353" i="1" s="1"/>
  <c r="E348" i="1"/>
  <c r="E350" i="1"/>
  <c r="C351" i="1"/>
  <c r="D351" i="1"/>
  <c r="E351" i="1"/>
  <c r="C353" i="1"/>
  <c r="B357" i="1"/>
  <c r="C357" i="1"/>
  <c r="C368" i="1"/>
  <c r="E368" i="1"/>
  <c r="E369" i="1"/>
  <c r="D370" i="1"/>
  <c r="E370" i="1"/>
  <c r="C371" i="1"/>
  <c r="E371" i="1" s="1"/>
  <c r="B372" i="1"/>
  <c r="C372" i="1"/>
  <c r="D372" i="1"/>
  <c r="B374" i="1"/>
  <c r="C374" i="1"/>
  <c r="C378" i="1" s="1"/>
  <c r="E378" i="1" s="1"/>
  <c r="E374" i="1"/>
  <c r="E375" i="1"/>
  <c r="E376" i="1"/>
  <c r="E377" i="1"/>
  <c r="B378" i="1"/>
  <c r="B407" i="1" s="1"/>
  <c r="D378" i="1"/>
  <c r="E380" i="1"/>
  <c r="E381" i="1"/>
  <c r="E382" i="1"/>
  <c r="B383" i="1"/>
  <c r="C383" i="1"/>
  <c r="D383" i="1"/>
  <c r="E384" i="1"/>
  <c r="E385" i="1"/>
  <c r="E386" i="1"/>
  <c r="B387" i="1"/>
  <c r="C387" i="1"/>
  <c r="D387" i="1"/>
  <c r="E388" i="1"/>
  <c r="E389" i="1"/>
  <c r="B390" i="1"/>
  <c r="C390" i="1"/>
  <c r="D390" i="1"/>
  <c r="E390" i="1"/>
  <c r="E391" i="1"/>
  <c r="E392" i="1"/>
  <c r="E393" i="1"/>
  <c r="E394" i="1"/>
  <c r="B395" i="1"/>
  <c r="C395" i="1"/>
  <c r="D395" i="1"/>
  <c r="E395" i="1"/>
  <c r="E396" i="1"/>
  <c r="E397" i="1"/>
  <c r="C398" i="1"/>
  <c r="D398" i="1"/>
  <c r="E398" i="1" s="1"/>
  <c r="B399" i="1"/>
  <c r="C399" i="1"/>
  <c r="D399" i="1"/>
  <c r="E399" i="1" s="1"/>
  <c r="B400" i="1"/>
  <c r="C400" i="1"/>
  <c r="E400" i="1"/>
  <c r="B401" i="1"/>
  <c r="C401" i="1"/>
  <c r="E401" i="1" s="1"/>
  <c r="D402" i="1"/>
  <c r="D404" i="1" s="1"/>
  <c r="E404" i="1" s="1"/>
  <c r="B404" i="1"/>
  <c r="B405" i="1" s="1"/>
  <c r="C404" i="1"/>
  <c r="C411" i="1"/>
  <c r="E411" i="1" s="1"/>
  <c r="E412" i="1"/>
  <c r="E413" i="1"/>
  <c r="C414" i="1"/>
  <c r="E414" i="1" s="1"/>
  <c r="B415" i="1"/>
  <c r="C415" i="1"/>
  <c r="C430" i="1" s="1"/>
  <c r="E430" i="1" s="1"/>
  <c r="D415" i="1"/>
  <c r="B418" i="1"/>
  <c r="C418" i="1"/>
  <c r="C422" i="1" s="1"/>
  <c r="E422" i="1" s="1"/>
  <c r="E418" i="1"/>
  <c r="E419" i="1"/>
  <c r="E420" i="1"/>
  <c r="E421" i="1"/>
  <c r="B422" i="1"/>
  <c r="B430" i="1" s="1"/>
  <c r="D422" i="1"/>
  <c r="E424" i="1"/>
  <c r="B425" i="1"/>
  <c r="C425" i="1"/>
  <c r="E425" i="1"/>
  <c r="B426" i="1"/>
  <c r="B427" i="1" s="1"/>
  <c r="B428" i="1" s="1"/>
  <c r="C426" i="1"/>
  <c r="E426" i="1" s="1"/>
  <c r="C427" i="1"/>
  <c r="E427" i="1" s="1"/>
  <c r="C428" i="1"/>
  <c r="E428" i="1"/>
  <c r="D430" i="1"/>
  <c r="C434" i="1"/>
  <c r="E434" i="1" s="1"/>
  <c r="E435" i="1"/>
  <c r="D436" i="1"/>
  <c r="E436" i="1" s="1"/>
  <c r="E437" i="1"/>
  <c r="C438" i="1"/>
  <c r="E438" i="1"/>
  <c r="E439" i="1"/>
  <c r="B440" i="1"/>
  <c r="C440" i="1"/>
  <c r="D440" i="1"/>
  <c r="B442" i="1"/>
  <c r="C442" i="1"/>
  <c r="C446" i="1" s="1"/>
  <c r="E446" i="1" s="1"/>
  <c r="E442" i="1"/>
  <c r="E443" i="1"/>
  <c r="E444" i="1"/>
  <c r="E445" i="1"/>
  <c r="B446" i="1"/>
  <c r="D446" i="1"/>
  <c r="E448" i="1"/>
  <c r="E449" i="1"/>
  <c r="E450" i="1"/>
  <c r="B451" i="1"/>
  <c r="C451" i="1"/>
  <c r="D451" i="1"/>
  <c r="E451" i="1" s="1"/>
  <c r="E453" i="1"/>
  <c r="E454" i="1"/>
  <c r="B455" i="1"/>
  <c r="C455" i="1"/>
  <c r="E455" i="1"/>
  <c r="E456" i="1"/>
  <c r="B457" i="1"/>
  <c r="C457" i="1"/>
  <c r="D457" i="1"/>
  <c r="E457" i="1" s="1"/>
  <c r="E458" i="1"/>
  <c r="E459" i="1"/>
  <c r="B460" i="1"/>
  <c r="C460" i="1"/>
  <c r="D460" i="1"/>
  <c r="E460" i="1" s="1"/>
  <c r="E461" i="1"/>
  <c r="E462" i="1"/>
  <c r="E463" i="1"/>
  <c r="B464" i="1"/>
  <c r="C464" i="1"/>
  <c r="D464" i="1"/>
  <c r="E464" i="1" s="1"/>
  <c r="E465" i="1"/>
  <c r="E466" i="1"/>
  <c r="E467" i="1"/>
  <c r="B468" i="1"/>
  <c r="C468" i="1"/>
  <c r="D468" i="1"/>
  <c r="E468" i="1"/>
  <c r="E469" i="1"/>
  <c r="B470" i="1"/>
  <c r="C470" i="1"/>
  <c r="C471" i="1" s="1"/>
  <c r="E470" i="1"/>
  <c r="B471" i="1"/>
  <c r="D471" i="1"/>
  <c r="E471" i="1"/>
  <c r="C478" i="1"/>
  <c r="E479" i="1"/>
  <c r="E480" i="1"/>
  <c r="E482" i="1"/>
  <c r="C483" i="1"/>
  <c r="E483" i="1"/>
  <c r="E484" i="1"/>
  <c r="B485" i="1"/>
  <c r="D485" i="1"/>
  <c r="C487" i="1"/>
  <c r="E487" i="1" s="1"/>
  <c r="E488" i="1"/>
  <c r="E489" i="1"/>
  <c r="E490" i="1"/>
  <c r="B491" i="1"/>
  <c r="C491" i="1"/>
  <c r="D491" i="1"/>
  <c r="E491" i="1"/>
  <c r="E493" i="1"/>
  <c r="E494" i="1"/>
  <c r="B495" i="1"/>
  <c r="B513" i="1" s="1"/>
  <c r="B515" i="1" s="1"/>
  <c r="C495" i="1"/>
  <c r="E495" i="1" s="1"/>
  <c r="D495" i="1"/>
  <c r="E496" i="1"/>
  <c r="E497" i="1"/>
  <c r="B498" i="1"/>
  <c r="C498" i="1"/>
  <c r="C511" i="1" s="1"/>
  <c r="E511" i="1" s="1"/>
  <c r="E498" i="1"/>
  <c r="E499" i="1"/>
  <c r="B500" i="1"/>
  <c r="C500" i="1"/>
  <c r="D500" i="1"/>
  <c r="E500" i="1" s="1"/>
  <c r="E501" i="1"/>
  <c r="E502" i="1"/>
  <c r="B503" i="1"/>
  <c r="C503" i="1"/>
  <c r="E503" i="1" s="1"/>
  <c r="D503" i="1"/>
  <c r="E504" i="1"/>
  <c r="E505" i="1"/>
  <c r="E506" i="1"/>
  <c r="B507" i="1"/>
  <c r="C507" i="1"/>
  <c r="D507" i="1"/>
  <c r="E507" i="1" s="1"/>
  <c r="E508" i="1"/>
  <c r="E509" i="1"/>
  <c r="B510" i="1"/>
  <c r="C510" i="1"/>
  <c r="D510" i="1"/>
  <c r="E510" i="1"/>
  <c r="B511" i="1"/>
  <c r="B512" i="1"/>
  <c r="C512" i="1"/>
  <c r="E512" i="1" s="1"/>
  <c r="D512" i="1"/>
  <c r="C518" i="1"/>
  <c r="E518" i="1"/>
  <c r="E519" i="1"/>
  <c r="D520" i="1"/>
  <c r="D523" i="1" s="1"/>
  <c r="D556" i="1" s="1"/>
  <c r="E521" i="1"/>
  <c r="C522" i="1"/>
  <c r="E522" i="1"/>
  <c r="B523" i="1"/>
  <c r="C523" i="1"/>
  <c r="B525" i="1"/>
  <c r="B529" i="1" s="1"/>
  <c r="C525" i="1"/>
  <c r="E525" i="1" s="1"/>
  <c r="E526" i="1"/>
  <c r="E527" i="1"/>
  <c r="E528" i="1"/>
  <c r="C529" i="1"/>
  <c r="D529" i="1"/>
  <c r="E529" i="1" s="1"/>
  <c r="E532" i="1"/>
  <c r="B533" i="1"/>
  <c r="C533" i="1"/>
  <c r="D533" i="1"/>
  <c r="E534" i="1"/>
  <c r="B536" i="1"/>
  <c r="B552" i="1" s="1"/>
  <c r="C536" i="1"/>
  <c r="E536" i="1" s="1"/>
  <c r="E537" i="1"/>
  <c r="B538" i="1"/>
  <c r="B554" i="1" s="1"/>
  <c r="D538" i="1"/>
  <c r="E539" i="1"/>
  <c r="E540" i="1"/>
  <c r="B541" i="1"/>
  <c r="C541" i="1"/>
  <c r="D541" i="1"/>
  <c r="E541" i="1" s="1"/>
  <c r="E542" i="1"/>
  <c r="E543" i="1"/>
  <c r="E544" i="1"/>
  <c r="E545" i="1"/>
  <c r="B546" i="1"/>
  <c r="C546" i="1"/>
  <c r="D546" i="1"/>
  <c r="E546" i="1" s="1"/>
  <c r="E547" i="1"/>
  <c r="C548" i="1"/>
  <c r="C549" i="1" s="1"/>
  <c r="E548" i="1"/>
  <c r="B549" i="1"/>
  <c r="D549" i="1"/>
  <c r="E549" i="1" s="1"/>
  <c r="E550" i="1"/>
  <c r="B551" i="1"/>
  <c r="C551" i="1"/>
  <c r="D551" i="1"/>
  <c r="E551" i="1"/>
  <c r="B553" i="1"/>
  <c r="D553" i="1"/>
  <c r="D554" i="1"/>
  <c r="C561" i="1"/>
  <c r="E561" i="1" s="1"/>
  <c r="E562" i="1"/>
  <c r="E563" i="1"/>
  <c r="C564" i="1"/>
  <c r="E564" i="1" s="1"/>
  <c r="B565" i="1"/>
  <c r="B654" i="1" s="1"/>
  <c r="D565" i="1"/>
  <c r="B568" i="1"/>
  <c r="C568" i="1"/>
  <c r="E568" i="1" s="1"/>
  <c r="E569" i="1"/>
  <c r="E570" i="1"/>
  <c r="B571" i="1"/>
  <c r="D571" i="1"/>
  <c r="D574" i="1"/>
  <c r="D580" i="1" s="1"/>
  <c r="E576" i="1"/>
  <c r="E577" i="1"/>
  <c r="B578" i="1"/>
  <c r="B579" i="1" s="1"/>
  <c r="C578" i="1"/>
  <c r="C579" i="1" s="1"/>
  <c r="C580" i="1" s="1"/>
  <c r="D578" i="1"/>
  <c r="D579" i="1"/>
  <c r="C586" i="1"/>
  <c r="E586" i="1"/>
  <c r="E587" i="1"/>
  <c r="D589" i="1"/>
  <c r="E589" i="1"/>
  <c r="E590" i="1"/>
  <c r="C591" i="1"/>
  <c r="E591" i="1" s="1"/>
  <c r="B592" i="1"/>
  <c r="C592" i="1"/>
  <c r="D592" i="1"/>
  <c r="C594" i="1"/>
  <c r="E594" i="1"/>
  <c r="E595" i="1"/>
  <c r="E596" i="1"/>
  <c r="E597" i="1"/>
  <c r="B598" i="1"/>
  <c r="C598" i="1"/>
  <c r="E598" i="1" s="1"/>
  <c r="D598" i="1"/>
  <c r="E600" i="1"/>
  <c r="E601" i="1"/>
  <c r="E602" i="1"/>
  <c r="E603" i="1"/>
  <c r="B604" i="1"/>
  <c r="C604" i="1"/>
  <c r="E604" i="1" s="1"/>
  <c r="D604" i="1"/>
  <c r="E605" i="1"/>
  <c r="B606" i="1"/>
  <c r="B620" i="1" s="1"/>
  <c r="B621" i="1" s="1"/>
  <c r="C606" i="1"/>
  <c r="E606" i="1"/>
  <c r="E607" i="1"/>
  <c r="B608" i="1"/>
  <c r="C608" i="1"/>
  <c r="D608" i="1"/>
  <c r="E608" i="1"/>
  <c r="E609" i="1"/>
  <c r="E610" i="1"/>
  <c r="B611" i="1"/>
  <c r="C611" i="1"/>
  <c r="D611" i="1"/>
  <c r="E611" i="1" s="1"/>
  <c r="E612" i="1"/>
  <c r="E613" i="1"/>
  <c r="E614" i="1"/>
  <c r="B615" i="1"/>
  <c r="C615" i="1"/>
  <c r="E615" i="1" s="1"/>
  <c r="D615" i="1"/>
  <c r="E616" i="1"/>
  <c r="E617" i="1"/>
  <c r="E618" i="1"/>
  <c r="B619" i="1"/>
  <c r="C619" i="1"/>
  <c r="D619" i="1"/>
  <c r="E619" i="1" s="1"/>
  <c r="C620" i="1"/>
  <c r="E620" i="1"/>
  <c r="C621" i="1"/>
  <c r="D621" i="1"/>
  <c r="E621" i="1"/>
  <c r="E628" i="1"/>
  <c r="B629" i="1"/>
  <c r="C629" i="1"/>
  <c r="D629" i="1"/>
  <c r="D633" i="1" s="1"/>
  <c r="D635" i="1" s="1"/>
  <c r="E629" i="1"/>
  <c r="B630" i="1"/>
  <c r="B631" i="1" s="1"/>
  <c r="B633" i="1" s="1"/>
  <c r="B635" i="1" s="1"/>
  <c r="C630" i="1"/>
  <c r="E630" i="1"/>
  <c r="C631" i="1"/>
  <c r="E631" i="1" s="1"/>
  <c r="D631" i="1"/>
  <c r="C633" i="1"/>
  <c r="C635" i="1" s="1"/>
  <c r="E635" i="1" s="1"/>
  <c r="B639" i="1"/>
  <c r="C639" i="1"/>
  <c r="E639" i="1" s="1"/>
  <c r="B641" i="1"/>
  <c r="C641" i="1"/>
  <c r="C651" i="1" s="1"/>
  <c r="D641" i="1"/>
  <c r="B643" i="1"/>
  <c r="C643" i="1"/>
  <c r="C645" i="1" s="1"/>
  <c r="E645" i="1" s="1"/>
  <c r="E643" i="1"/>
  <c r="B644" i="1"/>
  <c r="C644" i="1"/>
  <c r="E644" i="1"/>
  <c r="B645" i="1"/>
  <c r="B651" i="1" s="1"/>
  <c r="D645" i="1"/>
  <c r="D648" i="1"/>
  <c r="D649" i="1" s="1"/>
  <c r="D651" i="1" s="1"/>
  <c r="E651" i="1" s="1"/>
  <c r="D655" i="1"/>
  <c r="B665" i="1"/>
  <c r="B666" i="1" s="1"/>
  <c r="C665" i="1"/>
  <c r="B667" i="1"/>
  <c r="B668" i="1" s="1"/>
  <c r="D667" i="1"/>
  <c r="D668" i="1"/>
  <c r="C673" i="1"/>
  <c r="E673" i="1" s="1"/>
  <c r="E675" i="1"/>
  <c r="E676" i="1"/>
  <c r="C677" i="1"/>
  <c r="E677" i="1" s="1"/>
  <c r="B678" i="1"/>
  <c r="D678" i="1"/>
  <c r="C680" i="1"/>
  <c r="E680" i="1" s="1"/>
  <c r="E682" i="1"/>
  <c r="B683" i="1"/>
  <c r="C683" i="1"/>
  <c r="E683" i="1" s="1"/>
  <c r="D683" i="1"/>
  <c r="E685" i="1"/>
  <c r="B686" i="1"/>
  <c r="B688" i="1" s="1"/>
  <c r="C686" i="1"/>
  <c r="E686" i="1"/>
  <c r="D687" i="1"/>
  <c r="E687" i="1"/>
  <c r="C688" i="1"/>
  <c r="D688" i="1"/>
  <c r="E688" i="1"/>
  <c r="E689" i="1"/>
  <c r="E690" i="1"/>
  <c r="B691" i="1"/>
  <c r="C691" i="1"/>
  <c r="E691" i="1" s="1"/>
  <c r="D691" i="1"/>
  <c r="B692" i="1"/>
  <c r="C692" i="1"/>
  <c r="E692" i="1" s="1"/>
  <c r="B693" i="1"/>
  <c r="B696" i="1" s="1"/>
  <c r="C693" i="1"/>
  <c r="E693" i="1"/>
  <c r="E694" i="1"/>
  <c r="E695" i="1"/>
  <c r="D696" i="1"/>
  <c r="E697" i="1"/>
  <c r="D698" i="1"/>
  <c r="E698" i="1"/>
  <c r="B699" i="1"/>
  <c r="C699" i="1"/>
  <c r="D699" i="1"/>
  <c r="E699" i="1"/>
  <c r="D700" i="1"/>
  <c r="D701" i="1" s="1"/>
  <c r="C707" i="1"/>
  <c r="E707" i="1" s="1"/>
  <c r="B708" i="1"/>
  <c r="B713" i="1" s="1"/>
  <c r="E708" i="1"/>
  <c r="C710" i="1"/>
  <c r="E710" i="1" s="1"/>
  <c r="C711" i="1"/>
  <c r="E711" i="1"/>
  <c r="E712" i="1"/>
  <c r="C713" i="1"/>
  <c r="E713" i="1" s="1"/>
  <c r="D713" i="1"/>
  <c r="B716" i="1"/>
  <c r="C716" i="1"/>
  <c r="E716" i="1" s="1"/>
  <c r="E717" i="1"/>
  <c r="E718" i="1"/>
  <c r="E719" i="1"/>
  <c r="B720" i="1"/>
  <c r="D720" i="1"/>
  <c r="E722" i="1"/>
  <c r="E723" i="1"/>
  <c r="E724" i="1"/>
  <c r="D725" i="1"/>
  <c r="E725" i="1" s="1"/>
  <c r="B726" i="1"/>
  <c r="C726" i="1"/>
  <c r="B727" i="1"/>
  <c r="B728" i="1" s="1"/>
  <c r="C727" i="1"/>
  <c r="E727" i="1"/>
  <c r="C728" i="1"/>
  <c r="D728" i="1"/>
  <c r="E728" i="1"/>
  <c r="C729" i="1"/>
  <c r="E729" i="1" s="1"/>
  <c r="C730" i="1"/>
  <c r="E730" i="1" s="1"/>
  <c r="D730" i="1"/>
  <c r="C731" i="1"/>
  <c r="C737" i="1"/>
  <c r="E737" i="1"/>
  <c r="E738" i="1"/>
  <c r="E739" i="1"/>
  <c r="B740" i="1"/>
  <c r="C740" i="1"/>
  <c r="E740" i="1" s="1"/>
  <c r="D740" i="1"/>
  <c r="C742" i="1"/>
  <c r="C746" i="1" s="1"/>
  <c r="E746" i="1" s="1"/>
  <c r="E742" i="1"/>
  <c r="E743" i="1"/>
  <c r="E744" i="1"/>
  <c r="E745" i="1"/>
  <c r="B746" i="1"/>
  <c r="B792" i="1" s="1"/>
  <c r="D746" i="1"/>
  <c r="D792" i="1" s="1"/>
  <c r="C748" i="1"/>
  <c r="E748" i="1" s="1"/>
  <c r="E749" i="1"/>
  <c r="E750" i="1"/>
  <c r="B751" i="1"/>
  <c r="B770" i="1" s="1"/>
  <c r="D751" i="1"/>
  <c r="E752" i="1"/>
  <c r="E753" i="1"/>
  <c r="E754" i="1"/>
  <c r="B755" i="1"/>
  <c r="C755" i="1"/>
  <c r="E755" i="1" s="1"/>
  <c r="D755" i="1"/>
  <c r="E756" i="1"/>
  <c r="B757" i="1"/>
  <c r="C757" i="1"/>
  <c r="D757" i="1"/>
  <c r="E757" i="1"/>
  <c r="E758" i="1"/>
  <c r="E759" i="1"/>
  <c r="E760" i="1"/>
  <c r="B761" i="1"/>
  <c r="C761" i="1"/>
  <c r="E761" i="1" s="1"/>
  <c r="D761" i="1"/>
  <c r="E762" i="1"/>
  <c r="E763" i="1"/>
  <c r="E764" i="1"/>
  <c r="B765" i="1"/>
  <c r="C765" i="1"/>
  <c r="D765" i="1"/>
  <c r="E765" i="1" s="1"/>
  <c r="E766" i="1"/>
  <c r="B767" i="1"/>
  <c r="C767" i="1"/>
  <c r="E767" i="1" s="1"/>
  <c r="B768" i="1"/>
  <c r="D768" i="1"/>
  <c r="B769" i="1"/>
  <c r="D769" i="1"/>
  <c r="D770" i="1"/>
  <c r="D772" i="1"/>
  <c r="C776" i="1"/>
  <c r="E776" i="1"/>
  <c r="C778" i="1"/>
  <c r="E778" i="1" s="1"/>
  <c r="D778" i="1"/>
  <c r="C780" i="1"/>
  <c r="C782" i="1" s="1"/>
  <c r="E780" i="1"/>
  <c r="D782" i="1"/>
  <c r="D788" i="1" s="1"/>
  <c r="B791" i="1"/>
  <c r="B670" i="1" l="1"/>
  <c r="B580" i="1"/>
  <c r="B582" i="1"/>
  <c r="C788" i="1"/>
  <c r="E782" i="1"/>
  <c r="D702" i="1"/>
  <c r="B556" i="1"/>
  <c r="E788" i="1"/>
  <c r="B772" i="1"/>
  <c r="B622" i="1"/>
  <c r="B624" i="1" s="1"/>
  <c r="E580" i="1"/>
  <c r="D582" i="1"/>
  <c r="E533" i="1"/>
  <c r="E523" i="1"/>
  <c r="E478" i="1"/>
  <c r="C485" i="1"/>
  <c r="E207" i="1"/>
  <c r="C211" i="1"/>
  <c r="D72" i="1"/>
  <c r="D726" i="1"/>
  <c r="E579" i="1"/>
  <c r="E440" i="1"/>
  <c r="E154" i="1"/>
  <c r="D156" i="1"/>
  <c r="C696" i="1"/>
  <c r="E696" i="1" s="1"/>
  <c r="D670" i="1"/>
  <c r="C720" i="1"/>
  <c r="C678" i="1"/>
  <c r="C666" i="1"/>
  <c r="E666" i="1" s="1"/>
  <c r="B655" i="1"/>
  <c r="B657" i="1" s="1"/>
  <c r="C622" i="1"/>
  <c r="C624" i="1" s="1"/>
  <c r="C513" i="1"/>
  <c r="D513" i="1"/>
  <c r="D515" i="1" s="1"/>
  <c r="C356" i="1"/>
  <c r="E186" i="1"/>
  <c r="C187" i="1"/>
  <c r="E592" i="1"/>
  <c r="C768" i="1"/>
  <c r="C769" i="1" s="1"/>
  <c r="E769" i="1" s="1"/>
  <c r="E678" i="1"/>
  <c r="D791" i="1"/>
  <c r="C751" i="1"/>
  <c r="B729" i="1"/>
  <c r="B730" i="1" s="1"/>
  <c r="B731" i="1" s="1"/>
  <c r="B733" i="1" s="1"/>
  <c r="B700" i="1"/>
  <c r="B701" i="1" s="1"/>
  <c r="B702" i="1" s="1"/>
  <c r="C700" i="1"/>
  <c r="E665" i="1"/>
  <c r="D654" i="1"/>
  <c r="E641" i="1"/>
  <c r="E633" i="1"/>
  <c r="D622" i="1"/>
  <c r="E622" i="1" s="1"/>
  <c r="E578" i="1"/>
  <c r="C571" i="1"/>
  <c r="C565" i="1"/>
  <c r="C552" i="1"/>
  <c r="C538" i="1"/>
  <c r="E538" i="1" s="1"/>
  <c r="E520" i="1"/>
  <c r="D472" i="1"/>
  <c r="B356" i="1"/>
  <c r="B343" i="1"/>
  <c r="E260" i="1"/>
  <c r="C263" i="1"/>
  <c r="E263" i="1" s="1"/>
  <c r="C266" i="1"/>
  <c r="E48" i="1"/>
  <c r="C50" i="1"/>
  <c r="C405" i="1"/>
  <c r="E383" i="1"/>
  <c r="E318" i="1"/>
  <c r="B269" i="1"/>
  <c r="B358" i="1" s="1"/>
  <c r="B271" i="1"/>
  <c r="E254" i="1"/>
  <c r="D356" i="1"/>
  <c r="E222" i="1"/>
  <c r="D224" i="1"/>
  <c r="E199" i="1"/>
  <c r="E177" i="1"/>
  <c r="D180" i="1"/>
  <c r="C147" i="1"/>
  <c r="E132" i="1"/>
  <c r="E40" i="1"/>
  <c r="D54" i="1"/>
  <c r="B240" i="1"/>
  <c r="B18" i="1"/>
  <c r="C472" i="1"/>
  <c r="C474" i="1" s="1"/>
  <c r="E387" i="1"/>
  <c r="D405" i="1"/>
  <c r="E353" i="1"/>
  <c r="E306" i="1"/>
  <c r="D289" i="1"/>
  <c r="E288" i="1"/>
  <c r="E211" i="1"/>
  <c r="E137" i="1"/>
  <c r="D141" i="1"/>
  <c r="E106" i="1"/>
  <c r="C110" i="1"/>
  <c r="D84" i="1"/>
  <c r="E67" i="1"/>
  <c r="C68" i="1"/>
  <c r="C70" i="1" s="1"/>
  <c r="C72" i="1" s="1"/>
  <c r="B472" i="1"/>
  <c r="B656" i="1" s="1"/>
  <c r="E415" i="1"/>
  <c r="E372" i="1"/>
  <c r="D407" i="1"/>
  <c r="E333" i="1"/>
  <c r="C335" i="1"/>
  <c r="E335" i="1" s="1"/>
  <c r="C337" i="1"/>
  <c r="D341" i="1"/>
  <c r="D343" i="1"/>
  <c r="D257" i="1"/>
  <c r="D236" i="1"/>
  <c r="D201" i="1"/>
  <c r="E201" i="1" s="1"/>
  <c r="E150" i="1"/>
  <c r="C156" i="1"/>
  <c r="C189" i="1" s="1"/>
  <c r="E144" i="1"/>
  <c r="B125" i="1"/>
  <c r="B239" i="1"/>
  <c r="B242" i="1" s="1"/>
  <c r="E101" i="1"/>
  <c r="D104" i="1"/>
  <c r="E89" i="1"/>
  <c r="C90" i="1"/>
  <c r="E34" i="1"/>
  <c r="E31" i="1"/>
  <c r="D56" i="1"/>
  <c r="E21" i="1"/>
  <c r="D23" i="1"/>
  <c r="C226" i="1"/>
  <c r="C79" i="1"/>
  <c r="B704" i="1" l="1"/>
  <c r="B793" i="1"/>
  <c r="B794" i="1" s="1"/>
  <c r="D25" i="1"/>
  <c r="E23" i="1"/>
  <c r="E257" i="1"/>
  <c r="D357" i="1"/>
  <c r="E357" i="1" s="1"/>
  <c r="E141" i="1"/>
  <c r="D145" i="1"/>
  <c r="D290" i="1"/>
  <c r="E290" i="1" s="1"/>
  <c r="E289" i="1"/>
  <c r="D358" i="1"/>
  <c r="E224" i="1"/>
  <c r="D234" i="1"/>
  <c r="D359" i="1"/>
  <c r="E356" i="1"/>
  <c r="E720" i="1"/>
  <c r="C733" i="1"/>
  <c r="C792" i="1"/>
  <c r="E792" i="1" s="1"/>
  <c r="E156" i="1"/>
  <c r="E72" i="1"/>
  <c r="D187" i="1"/>
  <c r="E187" i="1" s="1"/>
  <c r="E180" i="1"/>
  <c r="C268" i="1"/>
  <c r="E266" i="1"/>
  <c r="B359" i="1"/>
  <c r="C553" i="1"/>
  <c r="E553" i="1" s="1"/>
  <c r="E552" i="1"/>
  <c r="C770" i="1"/>
  <c r="E751" i="1"/>
  <c r="C407" i="1"/>
  <c r="C554" i="1"/>
  <c r="E70" i="1"/>
  <c r="B474" i="1"/>
  <c r="D704" i="1"/>
  <c r="E407" i="1"/>
  <c r="C125" i="1"/>
  <c r="E110" i="1"/>
  <c r="E68" i="1"/>
  <c r="C239" i="1"/>
  <c r="E239" i="1" s="1"/>
  <c r="E472" i="1"/>
  <c r="C582" i="1"/>
  <c r="E582" i="1" s="1"/>
  <c r="C701" i="1"/>
  <c r="E700" i="1"/>
  <c r="D624" i="1"/>
  <c r="E624" i="1" s="1"/>
  <c r="E513" i="1"/>
  <c r="E565" i="1"/>
  <c r="C791" i="1"/>
  <c r="C667" i="1"/>
  <c r="E485" i="1"/>
  <c r="C515" i="1"/>
  <c r="E515" i="1" s="1"/>
  <c r="C654" i="1"/>
  <c r="E768" i="1"/>
  <c r="C96" i="1"/>
  <c r="E96" i="1" s="1"/>
  <c r="C238" i="1"/>
  <c r="E90" i="1"/>
  <c r="C80" i="1"/>
  <c r="E79" i="1"/>
  <c r="E226" i="1"/>
  <c r="C232" i="1"/>
  <c r="E104" i="1"/>
  <c r="D238" i="1"/>
  <c r="D125" i="1"/>
  <c r="E125" i="1" s="1"/>
  <c r="C340" i="1"/>
  <c r="E340" i="1" s="1"/>
  <c r="E337" i="1"/>
  <c r="E405" i="1"/>
  <c r="D656" i="1"/>
  <c r="D657" i="1" s="1"/>
  <c r="D271" i="1"/>
  <c r="E50" i="1"/>
  <c r="C54" i="1"/>
  <c r="C655" i="1"/>
  <c r="E655" i="1" s="1"/>
  <c r="E571" i="1"/>
  <c r="D474" i="1"/>
  <c r="E474" i="1" s="1"/>
  <c r="E726" i="1"/>
  <c r="D731" i="1"/>
  <c r="C234" i="1" l="1"/>
  <c r="C236" i="1" s="1"/>
  <c r="E236" i="1" s="1"/>
  <c r="E232" i="1"/>
  <c r="C657" i="1"/>
  <c r="E657" i="1" s="1"/>
  <c r="C702" i="1"/>
  <c r="E701" i="1"/>
  <c r="C341" i="1"/>
  <c r="E770" i="1"/>
  <c r="C772" i="1"/>
  <c r="E772" i="1" s="1"/>
  <c r="D27" i="1"/>
  <c r="E27" i="1" s="1"/>
  <c r="D240" i="1"/>
  <c r="E25" i="1"/>
  <c r="E791" i="1"/>
  <c r="E554" i="1"/>
  <c r="C556" i="1"/>
  <c r="E556" i="1" s="1"/>
  <c r="C269" i="1"/>
  <c r="E268" i="1"/>
  <c r="E654" i="1"/>
  <c r="E234" i="1"/>
  <c r="E238" i="1"/>
  <c r="C656" i="1"/>
  <c r="E656" i="1" s="1"/>
  <c r="C56" i="1"/>
  <c r="E56" i="1" s="1"/>
  <c r="D733" i="1"/>
  <c r="E733" i="1" s="1"/>
  <c r="E731" i="1"/>
  <c r="D793" i="1"/>
  <c r="C82" i="1"/>
  <c r="E80" i="1"/>
  <c r="C668" i="1"/>
  <c r="E667" i="1"/>
  <c r="D189" i="1"/>
  <c r="E189" i="1" s="1"/>
  <c r="E54" i="1"/>
  <c r="D147" i="1"/>
  <c r="E147" i="1" s="1"/>
  <c r="E145" i="1"/>
  <c r="C670" i="1" l="1"/>
  <c r="E670" i="1" s="1"/>
  <c r="C793" i="1"/>
  <c r="C794" i="1" s="1"/>
  <c r="E668" i="1"/>
  <c r="C704" i="1"/>
  <c r="E704" i="1" s="1"/>
  <c r="E702" i="1"/>
  <c r="E793" i="1"/>
  <c r="D794" i="1"/>
  <c r="E794" i="1" s="1"/>
  <c r="C358" i="1"/>
  <c r="E269" i="1"/>
  <c r="C271" i="1"/>
  <c r="E271" i="1" s="1"/>
  <c r="C343" i="1"/>
  <c r="E343" i="1" s="1"/>
  <c r="E341" i="1"/>
  <c r="C84" i="1"/>
  <c r="E82" i="1"/>
  <c r="D242" i="1"/>
  <c r="C359" i="1" l="1"/>
  <c r="E359" i="1" s="1"/>
  <c r="E358" i="1"/>
  <c r="E84" i="1"/>
  <c r="C240" i="1"/>
  <c r="C242" i="1" l="1"/>
  <c r="E242" i="1" s="1"/>
  <c r="E240" i="1"/>
</calcChain>
</file>

<file path=xl/sharedStrings.xml><?xml version="1.0" encoding="utf-8"?>
<sst xmlns="http://schemas.openxmlformats.org/spreadsheetml/2006/main" count="640" uniqueCount="163">
  <si>
    <t xml:space="preserve">NAGYSZÉNÁSI ÖNKORMÁNYZATI ÓVODA ÉS KÖNVTÁR ÖSSZESEN: (23 fő közalk. + 1 fő részmunkaidős közalk.) </t>
  </si>
  <si>
    <t>DOLOGI KIADÁSOK ÖSSZESEN:</t>
  </si>
  <si>
    <t>MUNKAADÓKAT TERHELŐ JÁRULÉKOK ÖSSZESEN:</t>
  </si>
  <si>
    <t>SZEMÉLYI JUTTATÁSOK ÖSSZESEN:</t>
  </si>
  <si>
    <t>KORMÁNYFUNKCIÓ ÖSSZESEN:</t>
  </si>
  <si>
    <t>DOLOGI  KIADÁSOK ÖSSZESEN:</t>
  </si>
  <si>
    <t>Szolgáltatási kiadások összesen</t>
  </si>
  <si>
    <t>Egyéb szolgáltatások</t>
  </si>
  <si>
    <t>Táppénz hozzájárulás</t>
  </si>
  <si>
    <t>Szociális hozzájárulási adó</t>
  </si>
  <si>
    <t>Egyéb sajátos juttatások</t>
  </si>
  <si>
    <t xml:space="preserve">Törvény szerinti illetmények </t>
  </si>
  <si>
    <t xml:space="preserve">041233  Hosszabb időtartamú közfoglalkoztatás </t>
  </si>
  <si>
    <t>Különféle befizetések és egyéb dologi kiadások összesen</t>
  </si>
  <si>
    <t>Működési célú előzetesen felszámított áfa</t>
  </si>
  <si>
    <t>Kiküldetések és reklám propaganda kiadások összesen</t>
  </si>
  <si>
    <t>Kiküldetések kiadásai</t>
  </si>
  <si>
    <t>Egyéb szolgáltatások (szállítás, szemétszállítás, számlavezetés)</t>
  </si>
  <si>
    <t>Szakmai tevékenységet segítő szolgáltatások (Nagyszénás újság, kábel TV))</t>
  </si>
  <si>
    <t>Karbantartási, kisjavítási szolgáltatások</t>
  </si>
  <si>
    <t>Közüzemi díjak összesen</t>
  </si>
  <si>
    <t>Víz- és csatornadíj</t>
  </si>
  <si>
    <t>Villamosenergia díjak</t>
  </si>
  <si>
    <t>Gázenergia díjak</t>
  </si>
  <si>
    <t>Kommunikációs szolgáltatások összesen</t>
  </si>
  <si>
    <t>Telefon díjak</t>
  </si>
  <si>
    <t xml:space="preserve">Üzemeltetési anyagok beszerzése összesen </t>
  </si>
  <si>
    <t xml:space="preserve">Egyéb üzemeltetési anyag </t>
  </si>
  <si>
    <t>Munkaruha, védőruha</t>
  </si>
  <si>
    <t>Irodaszer, nyomtatvány</t>
  </si>
  <si>
    <t xml:space="preserve">Szakmai anyagok beszerzése összesen </t>
  </si>
  <si>
    <t>Egyéb szakmai anyagok</t>
  </si>
  <si>
    <t>Folyóirat beszerzés</t>
  </si>
  <si>
    <t>Könyvbeszerzés (könyvtári)</t>
  </si>
  <si>
    <t>Kifizetői adó és járulék</t>
  </si>
  <si>
    <t>Egészségügyi hozzájárulás</t>
  </si>
  <si>
    <t>Egyéb költségek (szemüveg, napi díj, számla ktg. térítés)</t>
  </si>
  <si>
    <t>Céljuttatás</t>
  </si>
  <si>
    <t>Törvény szerinti illetmények (1fő + 1 fő részmunkaidős))</t>
  </si>
  <si>
    <t>082042 Könyvtári állomány gyarapítása, nyilvántartása</t>
  </si>
  <si>
    <t>Szakmai tevékenységet segítő szolgáltatások</t>
  </si>
  <si>
    <t>Könyvbeszerzés</t>
  </si>
  <si>
    <t>Gyógyszer beszerzés</t>
  </si>
  <si>
    <t>Kifizetői adó</t>
  </si>
  <si>
    <t>Megbízási díjak</t>
  </si>
  <si>
    <t>Egyéb személyi juttatás (betegszabadság, közlekedési ktg. térítés)</t>
  </si>
  <si>
    <t>Jubileumi jutalom</t>
  </si>
  <si>
    <t>Végkielégítés</t>
  </si>
  <si>
    <r>
      <t xml:space="preserve">Törvény szerinti illetmények </t>
    </r>
    <r>
      <rPr>
        <sz val="8"/>
        <rFont val="Arial CE"/>
        <charset val="238"/>
      </rPr>
      <t>(15 fő)</t>
    </r>
  </si>
  <si>
    <t>091110  Óvodai nevelés, ellátás szakmai feladatai</t>
  </si>
  <si>
    <t>Távfűtés díja</t>
  </si>
  <si>
    <t>Informatikai szolgáltatások (internet, szoftverek költségei)</t>
  </si>
  <si>
    <t>Céjluttatás</t>
  </si>
  <si>
    <r>
      <t xml:space="preserve">Törvény szerinti illetmények </t>
    </r>
    <r>
      <rPr>
        <sz val="8"/>
        <rFont val="Arial CE"/>
        <charset val="238"/>
      </rPr>
      <t>(7 fő)</t>
    </r>
  </si>
  <si>
    <t>091140  Óvodai nevelés, ellátás működtetési feladatai</t>
  </si>
  <si>
    <t>Vásárolt élelmezés</t>
  </si>
  <si>
    <t>096015 Gyermekétkeztetés köznevelési intézményekben</t>
  </si>
  <si>
    <t>Kötelező önkormányzati feladatok</t>
  </si>
  <si>
    <t>NAGYSZÉNÁSI ÖNKORMÁNYZATI ÓVODA ÉS KÖNYVTÁR</t>
  </si>
  <si>
    <t xml:space="preserve">GONDOZÁSI KÖZPONT ÖSSZESEN: ( 31 fő közalk. + 1 fő részm. közalk. + 10 fő közcélú foglalkoztatott 2 hónapra) </t>
  </si>
  <si>
    <t>041233  Hosszabb időtartamú közfoglalkoztatás és megváltozott munkaképességűek foglalkoztatása</t>
  </si>
  <si>
    <t>104035 Gyermekétkezetés bölcsődében</t>
  </si>
  <si>
    <t>Egyéb szolgáltatások (szállítás, szemétszállítás)</t>
  </si>
  <si>
    <t>Egyéb személyi juttatás</t>
  </si>
  <si>
    <t>Egyéb költségek (számla ktg. térítés)</t>
  </si>
  <si>
    <t>Helyettesítési díj</t>
  </si>
  <si>
    <t>Törvény szerinti illetmények (8 fő)</t>
  </si>
  <si>
    <t xml:space="preserve">104031 Gyermekek bölcsődei ellátása </t>
  </si>
  <si>
    <t>Egyéb üzemeltetési szolgáltatás</t>
  </si>
  <si>
    <t>Törvény szerinti illetmények (1 fő)</t>
  </si>
  <si>
    <t>107051 Szociális étkeztetés</t>
  </si>
  <si>
    <t>Egyéb üzemeltetési szolgáltatások ( szemétszállítás,stb.)</t>
  </si>
  <si>
    <t>Élemiszerbeszerzés</t>
  </si>
  <si>
    <t>Reprezentáció</t>
  </si>
  <si>
    <r>
      <t xml:space="preserve">Törvény szerinti illetmények </t>
    </r>
    <r>
      <rPr>
        <sz val="8"/>
        <rFont val="Arial CE"/>
        <charset val="238"/>
      </rPr>
      <t>(3 fő)</t>
    </r>
  </si>
  <si>
    <t>104042 Család- és gyermekjóléti szolgáltatások</t>
  </si>
  <si>
    <t>Hajtó- és kenőanyagok</t>
  </si>
  <si>
    <t>Táppénzhozzájárulás</t>
  </si>
  <si>
    <r>
      <t xml:space="preserve">Törvény szerinti illetmények </t>
    </r>
    <r>
      <rPr>
        <sz val="8"/>
        <rFont val="Arial CE"/>
        <charset val="238"/>
      </rPr>
      <t>(10 fő)</t>
    </r>
  </si>
  <si>
    <t>107052 Házi segítségnyújtás</t>
  </si>
  <si>
    <t>Belföldi kiküldetések kiadásai</t>
  </si>
  <si>
    <t>Élelmiszer beszerzés</t>
  </si>
  <si>
    <t>Szociális gondozói díj</t>
  </si>
  <si>
    <t>Törvény szerinti illetmények( 6 fő + 1 fő részmunkaidős)</t>
  </si>
  <si>
    <t>102031 Idősek nappali ellátása</t>
  </si>
  <si>
    <t>Egyéb költségek ( számla ktg. térítés)</t>
  </si>
  <si>
    <t>074032 Ifjúság-egészségügyi gondozás</t>
  </si>
  <si>
    <t>Egyéb dologi kiadások</t>
  </si>
  <si>
    <t>Díjak, egyéb befizetések</t>
  </si>
  <si>
    <t>Működési célú előzetesen felszámított le nem vonható áfa</t>
  </si>
  <si>
    <t>Működési célú előzetesen felszámított levonható áfa</t>
  </si>
  <si>
    <t>Közvetített szolgáltatások (telefon)</t>
  </si>
  <si>
    <t>Törvény szerinti illetmények (2 fő)</t>
  </si>
  <si>
    <t>074031 Család és nővédelmi egészségügyi gondozás</t>
  </si>
  <si>
    <t>GONDOZÁSI KÖZPONT</t>
  </si>
  <si>
    <r>
      <t xml:space="preserve">POLGÁRMESTERI HIVATAL ÖSSZESEN: (17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alkalmazott)</t>
    </r>
  </si>
  <si>
    <t>Tiszteletdíjak</t>
  </si>
  <si>
    <t>016020 Országos és helyi népszavazással kapcsolatos tevékenységek</t>
  </si>
  <si>
    <t>Egyéb dologi kiadások (különféle díjak)</t>
  </si>
  <si>
    <t>Fizetendő áfa értékesítés után</t>
  </si>
  <si>
    <t>Egyéb szolgáltatások (postai díjak, megbízási díjak, szállítás)</t>
  </si>
  <si>
    <t>Bérleti és lizingdíjak</t>
  </si>
  <si>
    <t>Munkaruha beszerzés</t>
  </si>
  <si>
    <t>Bérlet, saját gépjármű használat</t>
  </si>
  <si>
    <t>Helyettesítési díjak</t>
  </si>
  <si>
    <t>Cafetéria juttatás</t>
  </si>
  <si>
    <t>Törvény szerinti illetmények (20 fő)</t>
  </si>
  <si>
    <t>011130 Önkormányzatok és  önkormányzati hivatalok jogalkotó és általános igazgatási tevékenysége</t>
  </si>
  <si>
    <t>Államigazgatási feladatok</t>
  </si>
  <si>
    <t>Fizetendő Áfa</t>
  </si>
  <si>
    <t>Egyéb szolgáltatások (szállítás, szemétszállítás, stb.)</t>
  </si>
  <si>
    <t>066020 Város- és községgazdálkodási egyéb szolgáltatások</t>
  </si>
  <si>
    <t>Megbízási díj</t>
  </si>
  <si>
    <t>Törvény szerinti illetmények (7 fő december havi bére)</t>
  </si>
  <si>
    <t>092120 Köznevelési intézmények működtetési feladatai</t>
  </si>
  <si>
    <t>POLGÁRMESTERI HIVATAL</t>
  </si>
  <si>
    <t>NAGYSZÉNÁS NAGYKÖZSÉG ÖNKORMÁNYZATA ÖSSZESEN:      (polgármester, 13 fő MT szerinti alkalmazott)</t>
  </si>
  <si>
    <t>PÉNZESZKÖZ ÁTADÁS, EGYÉB TÁMOGATÁS:</t>
  </si>
  <si>
    <t>Egyéb kamatkiadások</t>
  </si>
  <si>
    <t>Kamatkiadások értékpapírra</t>
  </si>
  <si>
    <t>Kamatkiadások fejlesztési hitelre</t>
  </si>
  <si>
    <t>Reklám, propaganda</t>
  </si>
  <si>
    <t>Egyéb üzemeltetési fenntartási szolgáltatások</t>
  </si>
  <si>
    <t xml:space="preserve">Egyéb szakmai szolgáltatások </t>
  </si>
  <si>
    <t>Bérleti és lízingdíjak kiadásai</t>
  </si>
  <si>
    <t>Készletbeszerzés</t>
  </si>
  <si>
    <t>Nyári diákmunkások bére</t>
  </si>
  <si>
    <t>Választott tisztségviselők juttatásai</t>
  </si>
  <si>
    <t>Egyéb szolgáltatási díjak (színházi előadások)</t>
  </si>
  <si>
    <t>Egyéb üzemeltetési anyag</t>
  </si>
  <si>
    <t>082091 Közművelődés - közösségi és társadalmi részvétel fejlesztése</t>
  </si>
  <si>
    <t>Reklám és propaganda célú kiadások</t>
  </si>
  <si>
    <t>Hajtó és kenőanayagok</t>
  </si>
  <si>
    <t>Erzsébet utalvány költségei</t>
  </si>
  <si>
    <t>Készenléti és túlóra díj, helyettesítés</t>
  </si>
  <si>
    <t>Törvény szerinti illetmények (13 fő)</t>
  </si>
  <si>
    <t>081061 Szabadidős park, fürdő és strandszolgáltatás (termálhő szolgáltatása)</t>
  </si>
  <si>
    <t>Egyéb díjak, késedelmi kamat</t>
  </si>
  <si>
    <t>Karbantartás, kisjavítás</t>
  </si>
  <si>
    <t xml:space="preserve">Egyéb szolgáltatások </t>
  </si>
  <si>
    <t>Önkormányzati földterületek művelési költsége (anyag, díj)</t>
  </si>
  <si>
    <t xml:space="preserve">066020 Város-, és községgazdálkodási egyéb szolgáltatások </t>
  </si>
  <si>
    <t>Önként vállalt önkormányzati feladatok</t>
  </si>
  <si>
    <t>Egyéb sajátos juttatás</t>
  </si>
  <si>
    <t>Jutalmak</t>
  </si>
  <si>
    <t>Törvény szerinti illetmények</t>
  </si>
  <si>
    <t>041237  Startmunka program-közfoglalkoztatás</t>
  </si>
  <si>
    <t xml:space="preserve">Törvény szerinti illetmények  </t>
  </si>
  <si>
    <t>041233  Hosszabb időtartamú közfoglalkoztatás</t>
  </si>
  <si>
    <t>104037 Intézményen kívüli gyermekétkeztetés</t>
  </si>
  <si>
    <t>072311 Fogorvosi alapellátás</t>
  </si>
  <si>
    <t>072111 Házi orvosi alapellátás</t>
  </si>
  <si>
    <t>064010 Közvilágítás</t>
  </si>
  <si>
    <t>Szakmai tevékenységet segítő szolgáltatások (úthálózat karbantartás)</t>
  </si>
  <si>
    <t>045160 Közutak, hidak, alagutak üzemeltetése, fenntartása</t>
  </si>
  <si>
    <t>Telj.%-a</t>
  </si>
  <si>
    <t>Teljesítés</t>
  </si>
  <si>
    <t>Módosított</t>
  </si>
  <si>
    <t>Eredeti</t>
  </si>
  <si>
    <t>Előirányzat</t>
  </si>
  <si>
    <t>NAGYSZÉNÁS NAGYKÖZSÉG ÖNKORMÁNYZATA</t>
  </si>
  <si>
    <t>2017. évi működési kiadások (adatok Ft-ban)</t>
  </si>
  <si>
    <t>5. melléklet az 5/2018. (IV.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</si>
</sst>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8"/>
      <name val="Arial"/>
      <family val="2"/>
      <charset val="238"/>
    </font>
    <font>
      <sz val="10"/>
      <name val="Arial"/>
      <charset val="238"/>
    </font>
    <font>
      <b/>
      <u/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8"/>
      <name val="Arial CE"/>
      <charset val="238"/>
    </font>
    <font>
      <b/>
      <i/>
      <sz val="8"/>
      <name val="Arial CE"/>
      <charset val="238"/>
    </font>
    <font>
      <b/>
      <i/>
      <sz val="10"/>
      <name val="Arial CE"/>
      <family val="2"/>
      <charset val="238"/>
    </font>
    <font>
      <b/>
      <u/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4" fillId="0" borderId="0"/>
    <xf numFmtId="0" fontId="15" fillId="0" borderId="0"/>
  </cellStyleXfs>
  <cellXfs count="115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3" fontId="0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3" fontId="3" fillId="0" borderId="0" xfId="0" applyNumberFormat="1" applyFont="1"/>
    <xf numFmtId="3" fontId="3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wrapText="1"/>
    </xf>
    <xf numFmtId="4" fontId="6" fillId="0" borderId="0" xfId="0" applyNumberFormat="1" applyFont="1"/>
    <xf numFmtId="3" fontId="6" fillId="0" borderId="0" xfId="0" applyNumberFormat="1" applyFont="1"/>
    <xf numFmtId="3" fontId="6" fillId="0" borderId="0" xfId="2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/>
    <xf numFmtId="3" fontId="7" fillId="0" borderId="0" xfId="0" applyNumberFormat="1" applyFont="1"/>
    <xf numFmtId="3" fontId="8" fillId="0" borderId="0" xfId="0" applyNumberFormat="1" applyFont="1" applyFill="1" applyBorder="1" applyAlignment="1"/>
    <xf numFmtId="3" fontId="9" fillId="0" borderId="0" xfId="0" applyNumberFormat="1" applyFont="1" applyBorder="1" applyAlignment="1">
      <alignment horizontal="right"/>
    </xf>
    <xf numFmtId="4" fontId="2" fillId="0" borderId="0" xfId="0" applyNumberFormat="1" applyFont="1"/>
    <xf numFmtId="3" fontId="9" fillId="0" borderId="0" xfId="0" applyNumberFormat="1" applyFont="1" applyBorder="1"/>
    <xf numFmtId="3" fontId="10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3" fontId="10" fillId="0" borderId="0" xfId="0" applyNumberFormat="1" applyFont="1"/>
    <xf numFmtId="3" fontId="2" fillId="0" borderId="0" xfId="0" applyNumberFormat="1" applyFont="1" applyBorder="1" applyAlignment="1"/>
    <xf numFmtId="3" fontId="9" fillId="0" borderId="0" xfId="0" applyNumberFormat="1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wrapText="1"/>
    </xf>
    <xf numFmtId="3" fontId="2" fillId="0" borderId="2" xfId="0" applyNumberFormat="1" applyFont="1" applyBorder="1"/>
    <xf numFmtId="3" fontId="6" fillId="0" borderId="2" xfId="2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/>
    <xf numFmtId="3" fontId="2" fillId="0" borderId="0" xfId="2" applyNumberFormat="1" applyFont="1" applyFill="1" applyBorder="1" applyAlignment="1">
      <alignment horizontal="right"/>
    </xf>
    <xf numFmtId="3" fontId="7" fillId="0" borderId="0" xfId="0" applyNumberFormat="1" applyFont="1" applyBorder="1" applyAlignment="1"/>
    <xf numFmtId="3" fontId="10" fillId="0" borderId="0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7" fillId="0" borderId="0" xfId="0" applyNumberFormat="1" applyFont="1" applyBorder="1"/>
    <xf numFmtId="3" fontId="11" fillId="0" borderId="0" xfId="0" applyNumberFormat="1" applyFont="1"/>
    <xf numFmtId="3" fontId="6" fillId="0" borderId="0" xfId="2" applyNumberFormat="1" applyFont="1" applyFill="1" applyBorder="1" applyAlignment="1">
      <alignment horizontal="center"/>
    </xf>
    <xf numFmtId="3" fontId="6" fillId="3" borderId="1" xfId="2" applyNumberFormat="1" applyFont="1" applyFill="1" applyBorder="1" applyAlignment="1">
      <alignment horizontal="center"/>
    </xf>
    <xf numFmtId="3" fontId="2" fillId="0" borderId="0" xfId="2" applyNumberFormat="1" applyFont="1" applyBorder="1"/>
    <xf numFmtId="3" fontId="11" fillId="0" borderId="0" xfId="0" applyNumberFormat="1" applyFont="1" applyBorder="1"/>
    <xf numFmtId="3" fontId="2" fillId="0" borderId="0" xfId="2" applyNumberFormat="1" applyFont="1" applyFill="1" applyBorder="1"/>
    <xf numFmtId="3" fontId="6" fillId="0" borderId="0" xfId="2" applyNumberFormat="1" applyFont="1" applyFill="1" applyBorder="1"/>
    <xf numFmtId="3" fontId="7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/>
    <xf numFmtId="3" fontId="6" fillId="3" borderId="1" xfId="2" applyNumberFormat="1" applyFont="1" applyFill="1" applyBorder="1" applyAlignment="1">
      <alignment horizontal="center"/>
    </xf>
    <xf numFmtId="3" fontId="2" fillId="0" borderId="2" xfId="2" applyNumberFormat="1" applyFont="1" applyFill="1" applyBorder="1" applyAlignment="1">
      <alignment horizontal="right"/>
    </xf>
    <xf numFmtId="3" fontId="2" fillId="0" borderId="2" xfId="2" applyNumberFormat="1" applyFont="1" applyBorder="1"/>
    <xf numFmtId="3" fontId="12" fillId="0" borderId="0" xfId="2" applyNumberFormat="1" applyFont="1" applyBorder="1" applyAlignment="1">
      <alignment horizontal="center"/>
    </xf>
    <xf numFmtId="3" fontId="6" fillId="0" borderId="0" xfId="2" applyNumberFormat="1" applyFont="1" applyBorder="1" applyAlignment="1">
      <alignment horizontal="center"/>
    </xf>
    <xf numFmtId="3" fontId="13" fillId="0" borderId="0" xfId="2" applyNumberFormat="1" applyFont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Border="1" applyAlignment="1">
      <alignment wrapText="1"/>
    </xf>
    <xf numFmtId="3" fontId="5" fillId="0" borderId="0" xfId="0" applyNumberFormat="1" applyFont="1" applyAlignment="1">
      <alignment horizontal="right"/>
    </xf>
    <xf numFmtId="3" fontId="9" fillId="2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7" fillId="0" borderId="2" xfId="0" applyNumberFormat="1" applyFont="1" applyFill="1" applyBorder="1" applyAlignment="1"/>
    <xf numFmtId="3" fontId="2" fillId="0" borderId="0" xfId="0" applyNumberFormat="1" applyFont="1" applyBorder="1"/>
    <xf numFmtId="3" fontId="9" fillId="0" borderId="2" xfId="0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14" fillId="0" borderId="0" xfId="1" applyNumberFormat="1" applyFont="1" applyAlignment="1">
      <alignment horizontal="right"/>
    </xf>
    <xf numFmtId="3" fontId="6" fillId="0" borderId="2" xfId="0" applyNumberFormat="1" applyFont="1" applyBorder="1"/>
    <xf numFmtId="3" fontId="7" fillId="2" borderId="1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right"/>
    </xf>
    <xf numFmtId="3" fontId="7" fillId="0" borderId="2" xfId="0" applyNumberFormat="1" applyFont="1" applyBorder="1"/>
    <xf numFmtId="3" fontId="12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3" fontId="18" fillId="0" borderId="0" xfId="0" applyNumberFormat="1" applyFont="1" applyFill="1" applyBorder="1" applyAlignment="1">
      <alignment wrapText="1"/>
    </xf>
    <xf numFmtId="3" fontId="7" fillId="0" borderId="0" xfId="0" applyNumberFormat="1" applyFont="1" applyAlignment="1">
      <alignment wrapText="1"/>
    </xf>
    <xf numFmtId="3" fontId="11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wrapText="1"/>
    </xf>
    <xf numFmtId="3" fontId="9" fillId="0" borderId="0" xfId="0" applyNumberFormat="1" applyFont="1" applyAlignment="1">
      <alignment horizontal="right" wrapText="1"/>
    </xf>
    <xf numFmtId="3" fontId="11" fillId="0" borderId="0" xfId="0" applyNumberFormat="1" applyFont="1" applyFill="1" applyBorder="1" applyAlignment="1">
      <alignment horizontal="right" wrapText="1"/>
    </xf>
    <xf numFmtId="3" fontId="11" fillId="0" borderId="0" xfId="0" applyNumberFormat="1" applyFont="1" applyFill="1" applyBorder="1" applyAlignment="1">
      <alignment wrapText="1"/>
    </xf>
    <xf numFmtId="3" fontId="7" fillId="0" borderId="0" xfId="0" applyNumberFormat="1" applyFont="1" applyFill="1" applyBorder="1" applyAlignment="1">
      <alignment horizontal="right" wrapText="1"/>
    </xf>
    <xf numFmtId="3" fontId="8" fillId="0" borderId="0" xfId="0" applyNumberFormat="1" applyFont="1" applyFill="1" applyBorder="1" applyAlignment="1">
      <alignment wrapText="1"/>
    </xf>
    <xf numFmtId="3" fontId="7" fillId="3" borderId="1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center" wrapText="1"/>
    </xf>
    <xf numFmtId="3" fontId="19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Alignment="1">
      <alignment horizontal="right"/>
    </xf>
    <xf numFmtId="3" fontId="8" fillId="0" borderId="2" xfId="0" applyNumberFormat="1" applyFont="1" applyFill="1" applyBorder="1" applyAlignment="1">
      <alignment horizontal="center"/>
    </xf>
    <xf numFmtId="3" fontId="16" fillId="0" borderId="0" xfId="0" applyNumberFormat="1" applyFont="1" applyBorder="1" applyAlignment="1">
      <alignment horizontal="right"/>
    </xf>
    <xf numFmtId="3" fontId="19" fillId="0" borderId="0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wrapText="1"/>
    </xf>
    <xf numFmtId="3" fontId="3" fillId="0" borderId="0" xfId="1" applyNumberFormat="1" applyFont="1" applyAlignment="1">
      <alignment horizontal="right"/>
    </xf>
    <xf numFmtId="3" fontId="10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/>
    <xf numFmtId="3" fontId="9" fillId="0" borderId="2" xfId="0" applyNumberFormat="1" applyFont="1" applyFill="1" applyBorder="1" applyAlignment="1">
      <alignment horizontal="right"/>
    </xf>
    <xf numFmtId="3" fontId="8" fillId="0" borderId="2" xfId="0" applyNumberFormat="1" applyFont="1" applyBorder="1" applyAlignment="1"/>
    <xf numFmtId="3" fontId="20" fillId="0" borderId="0" xfId="3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/>
    <xf numFmtId="3" fontId="8" fillId="2" borderId="1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/>
    <xf numFmtId="3" fontId="8" fillId="0" borderId="0" xfId="0" applyNumberFormat="1" applyFont="1" applyBorder="1" applyAlignment="1"/>
    <xf numFmtId="3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3" fontId="15" fillId="0" borderId="0" xfId="3" applyNumberFormat="1" applyFont="1"/>
    <xf numFmtId="3" fontId="11" fillId="0" borderId="0" xfId="3" applyNumberFormat="1" applyFont="1" applyAlignment="1"/>
    <xf numFmtId="3" fontId="11" fillId="0" borderId="0" xfId="3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0" fillId="0" borderId="0" xfId="0" applyNumberFormat="1" applyAlignment="1"/>
    <xf numFmtId="3" fontId="0" fillId="0" borderId="0" xfId="0" applyNumberFormat="1" applyFont="1" applyAlignment="1">
      <alignment horizontal="right"/>
    </xf>
  </cellXfs>
  <cellStyles count="4">
    <cellStyle name="Ezres" xfId="1" builtinId="3"/>
    <cellStyle name="Normál" xfId="0" builtinId="0"/>
    <cellStyle name="Normál_ktgvetés2007_végleges" xfId="3"/>
    <cellStyle name="Normál_mellékletek testületnek-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002_2017.%20&#233;vi%20z&#225;rsz&#225;mad&#225;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_melléklet"/>
    </sheetNames>
    <sheetDataSet>
      <sheetData sheetId="0">
        <row r="73">
          <cell r="B73">
            <v>1280000</v>
          </cell>
        </row>
        <row r="83">
          <cell r="B83">
            <v>100000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 melléklet"/>
    </sheetNames>
    <sheetDataSet>
      <sheetData sheetId="0">
        <row r="7">
          <cell r="B7">
            <v>82215760</v>
          </cell>
          <cell r="C7">
            <v>87457221</v>
          </cell>
        </row>
        <row r="11">
          <cell r="D11">
            <v>81840802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6_melléklet"/>
      <sheetName val="kisértékű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1"/>
  <sheetViews>
    <sheetView tabSelected="1" workbookViewId="0">
      <selection sqref="A1:E1"/>
    </sheetView>
  </sheetViews>
  <sheetFormatPr defaultRowHeight="12.75" x14ac:dyDescent="0.2"/>
  <cols>
    <col min="1" max="1" width="55.28515625" customWidth="1"/>
    <col min="2" max="2" width="9.28515625" customWidth="1"/>
    <col min="3" max="3" width="10.140625" customWidth="1"/>
    <col min="4" max="4" width="10.85546875" customWidth="1"/>
    <col min="5" max="5" width="7.42578125" customWidth="1"/>
    <col min="6" max="6" width="11.7109375" bestFit="1" customWidth="1"/>
    <col min="8" max="8" width="10.140625" bestFit="1" customWidth="1"/>
  </cols>
  <sheetData>
    <row r="1" spans="1:6" x14ac:dyDescent="0.2">
      <c r="A1" s="114" t="s">
        <v>162</v>
      </c>
      <c r="B1" s="114"/>
      <c r="C1" s="114"/>
      <c r="D1" s="114"/>
      <c r="E1" s="114"/>
      <c r="F1" s="113"/>
    </row>
    <row r="2" spans="1:6" x14ac:dyDescent="0.2">
      <c r="A2" s="4"/>
      <c r="B2" s="4"/>
      <c r="C2" s="4"/>
      <c r="D2" s="2"/>
      <c r="E2" s="2"/>
      <c r="F2" s="2"/>
    </row>
    <row r="3" spans="1:6" x14ac:dyDescent="0.2">
      <c r="A3" s="112" t="s">
        <v>161</v>
      </c>
      <c r="B3" s="112"/>
      <c r="C3" s="112"/>
      <c r="D3" s="112"/>
      <c r="E3" s="112"/>
      <c r="F3" s="2"/>
    </row>
    <row r="4" spans="1:6" x14ac:dyDescent="0.2">
      <c r="A4" s="4"/>
      <c r="B4" s="4"/>
      <c r="C4" s="4"/>
      <c r="D4" s="2"/>
      <c r="E4" s="2"/>
      <c r="F4" s="2"/>
    </row>
    <row r="5" spans="1:6" x14ac:dyDescent="0.2">
      <c r="A5" s="112" t="s">
        <v>160</v>
      </c>
      <c r="B5" s="112"/>
      <c r="C5" s="112"/>
      <c r="D5" s="112"/>
      <c r="E5" s="112"/>
      <c r="F5" s="2"/>
    </row>
    <row r="6" spans="1:6" x14ac:dyDescent="0.2">
      <c r="A6" s="111"/>
      <c r="B6" s="111"/>
      <c r="C6" s="4"/>
      <c r="D6" s="2"/>
      <c r="E6" s="2"/>
      <c r="F6" s="2"/>
    </row>
    <row r="7" spans="1:6" x14ac:dyDescent="0.2">
      <c r="A7" s="67" t="s">
        <v>57</v>
      </c>
      <c r="B7" s="67"/>
      <c r="C7" s="67"/>
      <c r="D7" s="67"/>
      <c r="E7" s="67"/>
      <c r="F7" s="2"/>
    </row>
    <row r="8" spans="1:6" x14ac:dyDescent="0.2">
      <c r="A8" s="110"/>
      <c r="B8" s="110"/>
      <c r="C8" s="110"/>
      <c r="D8" s="2"/>
      <c r="E8" s="2"/>
      <c r="F8" s="2"/>
    </row>
    <row r="9" spans="1:6" x14ac:dyDescent="0.2">
      <c r="A9" s="110"/>
      <c r="B9" s="109" t="s">
        <v>159</v>
      </c>
      <c r="C9" s="109"/>
      <c r="D9" s="108"/>
      <c r="E9" s="107"/>
      <c r="F9" s="2"/>
    </row>
    <row r="10" spans="1:6" ht="13.5" thickBot="1" x14ac:dyDescent="0.25">
      <c r="A10" s="106"/>
      <c r="B10" s="105" t="s">
        <v>158</v>
      </c>
      <c r="C10" s="104" t="s">
        <v>157</v>
      </c>
      <c r="D10" s="104" t="s">
        <v>156</v>
      </c>
      <c r="E10" s="104" t="s">
        <v>155</v>
      </c>
      <c r="F10" s="2"/>
    </row>
    <row r="11" spans="1:6" ht="13.5" thickBot="1" x14ac:dyDescent="0.25">
      <c r="A11" s="54" t="s">
        <v>154</v>
      </c>
      <c r="B11" s="54"/>
      <c r="C11" s="54"/>
      <c r="D11" s="54"/>
      <c r="E11" s="54"/>
      <c r="F11" s="2"/>
    </row>
    <row r="12" spans="1:6" x14ac:dyDescent="0.2">
      <c r="A12" s="19" t="s">
        <v>153</v>
      </c>
      <c r="B12" s="30">
        <v>400000</v>
      </c>
      <c r="C12" s="30">
        <v>400000</v>
      </c>
      <c r="D12" s="5">
        <v>0</v>
      </c>
      <c r="E12" s="17">
        <f>D12/C12*100</f>
        <v>0</v>
      </c>
      <c r="F12" s="2"/>
    </row>
    <row r="13" spans="1:6" x14ac:dyDescent="0.2">
      <c r="A13" s="19" t="s">
        <v>14</v>
      </c>
      <c r="B13" s="30">
        <f>B12*0.27</f>
        <v>108000</v>
      </c>
      <c r="C13" s="30">
        <f>C12*0.27</f>
        <v>108000</v>
      </c>
      <c r="D13" s="5">
        <v>0</v>
      </c>
      <c r="E13" s="17">
        <f>D13/C13*100</f>
        <v>0</v>
      </c>
      <c r="F13" s="2"/>
    </row>
    <row r="14" spans="1:6" x14ac:dyDescent="0.2">
      <c r="A14" s="18" t="s">
        <v>6</v>
      </c>
      <c r="B14" s="40">
        <f>SUM(B12:B13)</f>
        <v>508000</v>
      </c>
      <c r="C14" s="40">
        <f>SUM(C12:C13)</f>
        <v>508000</v>
      </c>
      <c r="D14" s="11">
        <v>0</v>
      </c>
      <c r="E14" s="17">
        <f>D14/C14*100</f>
        <v>0</v>
      </c>
      <c r="F14" s="2"/>
    </row>
    <row r="15" spans="1:6" x14ac:dyDescent="0.2">
      <c r="A15" s="103"/>
      <c r="B15" s="40"/>
      <c r="C15" s="40"/>
      <c r="D15" s="11"/>
      <c r="E15" s="5"/>
      <c r="F15" s="2"/>
    </row>
    <row r="16" spans="1:6" x14ac:dyDescent="0.2">
      <c r="A16" s="13" t="s">
        <v>5</v>
      </c>
      <c r="B16" s="84">
        <f>B14</f>
        <v>508000</v>
      </c>
      <c r="C16" s="84">
        <f>C14</f>
        <v>508000</v>
      </c>
      <c r="D16" s="11">
        <v>0</v>
      </c>
      <c r="E16" s="17">
        <f>D16/C16*100</f>
        <v>0</v>
      </c>
      <c r="F16" s="2"/>
    </row>
    <row r="17" spans="1:6" x14ac:dyDescent="0.2">
      <c r="A17" s="13"/>
      <c r="B17" s="84"/>
      <c r="C17" s="84"/>
      <c r="D17" s="11"/>
      <c r="E17" s="5"/>
      <c r="F17" s="2"/>
    </row>
    <row r="18" spans="1:6" x14ac:dyDescent="0.2">
      <c r="A18" s="15" t="s">
        <v>4</v>
      </c>
      <c r="B18" s="84">
        <f>+B16</f>
        <v>508000</v>
      </c>
      <c r="C18" s="84">
        <f>+C16</f>
        <v>508000</v>
      </c>
      <c r="D18" s="11">
        <v>0</v>
      </c>
      <c r="E18" s="17">
        <f>D18/C18*100</f>
        <v>0</v>
      </c>
      <c r="F18" s="2"/>
    </row>
    <row r="19" spans="1:6" ht="13.5" thickBot="1" x14ac:dyDescent="0.25">
      <c r="A19" s="63"/>
      <c r="B19" s="63"/>
      <c r="C19" s="25"/>
      <c r="D19" s="25"/>
      <c r="E19" s="25"/>
      <c r="F19" s="2"/>
    </row>
    <row r="20" spans="1:6" ht="13.5" thickBot="1" x14ac:dyDescent="0.25">
      <c r="A20" s="54" t="s">
        <v>152</v>
      </c>
      <c r="B20" s="54"/>
      <c r="C20" s="54"/>
      <c r="D20" s="54"/>
      <c r="E20" s="54"/>
      <c r="F20" s="2"/>
    </row>
    <row r="21" spans="1:6" x14ac:dyDescent="0.2">
      <c r="A21" s="19" t="s">
        <v>22</v>
      </c>
      <c r="B21" s="30">
        <f>8250000-650000</f>
        <v>7600000</v>
      </c>
      <c r="C21" s="30">
        <f>8250000-650000</f>
        <v>7600000</v>
      </c>
      <c r="D21" s="5">
        <f>7695720+23396</f>
        <v>7719116</v>
      </c>
      <c r="E21" s="17">
        <f>D21/C21*100</f>
        <v>101.5673157894737</v>
      </c>
      <c r="F21" s="2"/>
    </row>
    <row r="22" spans="1:6" x14ac:dyDescent="0.2">
      <c r="A22" s="19" t="s">
        <v>14</v>
      </c>
      <c r="B22" s="30">
        <f>B21*0.27</f>
        <v>2052000.0000000002</v>
      </c>
      <c r="C22" s="30">
        <f>C21*0.27</f>
        <v>2052000.0000000002</v>
      </c>
      <c r="D22" s="5">
        <v>2006103</v>
      </c>
      <c r="E22" s="17">
        <f>D22/C22*100</f>
        <v>97.763304093567243</v>
      </c>
      <c r="F22" s="2"/>
    </row>
    <row r="23" spans="1:6" x14ac:dyDescent="0.2">
      <c r="A23" s="18" t="s">
        <v>20</v>
      </c>
      <c r="B23" s="40">
        <f>SUM(B21:B22)</f>
        <v>9652000</v>
      </c>
      <c r="C23" s="40">
        <f>SUM(C21:C22)</f>
        <v>9652000</v>
      </c>
      <c r="D23" s="11">
        <f>SUM(D21:D22)</f>
        <v>9725219</v>
      </c>
      <c r="E23" s="10">
        <f>D23/C23*100</f>
        <v>100.75858889349358</v>
      </c>
      <c r="F23" s="2"/>
    </row>
    <row r="24" spans="1:6" x14ac:dyDescent="0.2">
      <c r="A24" s="103"/>
      <c r="B24" s="40"/>
      <c r="C24" s="40"/>
      <c r="D24" s="11"/>
      <c r="E24" s="5"/>
      <c r="F24" s="2"/>
    </row>
    <row r="25" spans="1:6" x14ac:dyDescent="0.2">
      <c r="A25" s="13" t="s">
        <v>5</v>
      </c>
      <c r="B25" s="40">
        <f>B23</f>
        <v>9652000</v>
      </c>
      <c r="C25" s="40">
        <f>C23</f>
        <v>9652000</v>
      </c>
      <c r="D25" s="11">
        <f>D23</f>
        <v>9725219</v>
      </c>
      <c r="E25" s="10">
        <f>D25/C25*100</f>
        <v>100.75858889349358</v>
      </c>
      <c r="F25" s="2"/>
    </row>
    <row r="26" spans="1:6" x14ac:dyDescent="0.2">
      <c r="A26" s="13"/>
      <c r="B26" s="40"/>
      <c r="C26" s="40"/>
      <c r="D26" s="11"/>
      <c r="E26" s="5"/>
      <c r="F26" s="2"/>
    </row>
    <row r="27" spans="1:6" x14ac:dyDescent="0.2">
      <c r="A27" s="15" t="s">
        <v>4</v>
      </c>
      <c r="B27" s="40">
        <f>+B25</f>
        <v>9652000</v>
      </c>
      <c r="C27" s="40">
        <f>+C25</f>
        <v>9652000</v>
      </c>
      <c r="D27" s="11">
        <f>D25</f>
        <v>9725219</v>
      </c>
      <c r="E27" s="10">
        <f>D27/C27*100</f>
        <v>100.75858889349358</v>
      </c>
      <c r="F27" s="2"/>
    </row>
    <row r="28" spans="1:6" ht="13.5" thickBot="1" x14ac:dyDescent="0.25">
      <c r="A28" s="27"/>
      <c r="B28" s="27"/>
      <c r="C28" s="52"/>
      <c r="D28" s="25"/>
      <c r="E28" s="25"/>
      <c r="F28" s="2"/>
    </row>
    <row r="29" spans="1:6" ht="13.5" thickBot="1" x14ac:dyDescent="0.25">
      <c r="A29" s="54" t="s">
        <v>151</v>
      </c>
      <c r="B29" s="54"/>
      <c r="C29" s="54"/>
      <c r="D29" s="54"/>
      <c r="E29" s="54"/>
      <c r="F29" s="2"/>
    </row>
    <row r="30" spans="1:6" x14ac:dyDescent="0.2">
      <c r="A30" s="33" t="s">
        <v>44</v>
      </c>
      <c r="B30" s="31">
        <v>814800</v>
      </c>
      <c r="C30" s="31">
        <v>814800</v>
      </c>
      <c r="D30" s="5">
        <v>814800</v>
      </c>
      <c r="E30" s="17">
        <f>D30/C30*100</f>
        <v>100</v>
      </c>
      <c r="F30" s="2"/>
    </row>
    <row r="31" spans="1:6" x14ac:dyDescent="0.2">
      <c r="A31" s="14" t="s">
        <v>3</v>
      </c>
      <c r="B31" s="56">
        <f>SUM(B30)</f>
        <v>814800</v>
      </c>
      <c r="C31" s="56">
        <f>SUM(C30)</f>
        <v>814800</v>
      </c>
      <c r="D31" s="11">
        <f>SUM(D30)</f>
        <v>814800</v>
      </c>
      <c r="E31" s="10">
        <f>D31/C31*100</f>
        <v>100</v>
      </c>
      <c r="F31" s="2"/>
    </row>
    <row r="32" spans="1:6" x14ac:dyDescent="0.2">
      <c r="A32" s="14"/>
      <c r="B32" s="56"/>
      <c r="C32" s="56"/>
      <c r="D32" s="5"/>
      <c r="E32" s="5"/>
      <c r="F32" s="2"/>
    </row>
    <row r="33" spans="1:6" x14ac:dyDescent="0.2">
      <c r="A33" s="21" t="s">
        <v>9</v>
      </c>
      <c r="B33" s="31">
        <v>164386</v>
      </c>
      <c r="C33" s="31">
        <v>164386</v>
      </c>
      <c r="D33" s="5">
        <v>164384</v>
      </c>
      <c r="E33" s="17">
        <f>D33/C33*100</f>
        <v>99.998783351380283</v>
      </c>
      <c r="F33" s="2"/>
    </row>
    <row r="34" spans="1:6" x14ac:dyDescent="0.2">
      <c r="A34" s="14" t="s">
        <v>2</v>
      </c>
      <c r="B34" s="56">
        <f>SUM(B33)</f>
        <v>164386</v>
      </c>
      <c r="C34" s="56">
        <f>SUM(C33)</f>
        <v>164386</v>
      </c>
      <c r="D34" s="11">
        <f>SUM(D33)</f>
        <v>164384</v>
      </c>
      <c r="E34" s="10">
        <f>D34/C34*100</f>
        <v>99.998783351380283</v>
      </c>
      <c r="F34" s="2"/>
    </row>
    <row r="35" spans="1:6" x14ac:dyDescent="0.2">
      <c r="A35" s="102"/>
      <c r="B35" s="31"/>
      <c r="C35" s="31"/>
      <c r="D35" s="5"/>
      <c r="E35" s="5"/>
      <c r="F35" s="2"/>
    </row>
    <row r="36" spans="1:6" x14ac:dyDescent="0.2">
      <c r="A36" s="33" t="s">
        <v>42</v>
      </c>
      <c r="B36" s="31">
        <v>20000</v>
      </c>
      <c r="C36" s="31">
        <v>20000</v>
      </c>
      <c r="D36" s="5">
        <v>9401</v>
      </c>
      <c r="E36" s="17">
        <f>D36/C36*100</f>
        <v>47.005000000000003</v>
      </c>
      <c r="F36" s="2"/>
    </row>
    <row r="37" spans="1:6" x14ac:dyDescent="0.2">
      <c r="A37" s="19" t="s">
        <v>31</v>
      </c>
      <c r="B37" s="31">
        <v>20000</v>
      </c>
      <c r="C37" s="31">
        <v>20000</v>
      </c>
      <c r="D37" s="5">
        <v>9703</v>
      </c>
      <c r="E37" s="17">
        <f>D37/C37*100</f>
        <v>48.515000000000001</v>
      </c>
      <c r="F37" s="2"/>
    </row>
    <row r="38" spans="1:6" x14ac:dyDescent="0.2">
      <c r="A38" s="19" t="s">
        <v>29</v>
      </c>
      <c r="B38" s="31">
        <v>10000</v>
      </c>
      <c r="C38" s="31">
        <v>10000</v>
      </c>
      <c r="D38" s="5">
        <v>8306</v>
      </c>
      <c r="E38" s="17">
        <f>D38/C38*100</f>
        <v>83.06</v>
      </c>
      <c r="F38" s="2"/>
    </row>
    <row r="39" spans="1:6" x14ac:dyDescent="0.2">
      <c r="A39" s="19" t="s">
        <v>129</v>
      </c>
      <c r="B39" s="31"/>
      <c r="C39" s="31"/>
      <c r="D39" s="5">
        <v>101299</v>
      </c>
      <c r="E39" s="17"/>
      <c r="F39" s="2"/>
    </row>
    <row r="40" spans="1:6" x14ac:dyDescent="0.2">
      <c r="A40" s="29" t="s">
        <v>30</v>
      </c>
      <c r="B40" s="56">
        <f>SUM(B36:B38)</f>
        <v>50000</v>
      </c>
      <c r="C40" s="56">
        <f>SUM(C36:C38)</f>
        <v>50000</v>
      </c>
      <c r="D40" s="11">
        <f>SUM(D36:D39)</f>
        <v>128709</v>
      </c>
      <c r="E40" s="10">
        <f>D40/C40*100</f>
        <v>257.41800000000001</v>
      </c>
      <c r="F40" s="2"/>
    </row>
    <row r="41" spans="1:6" x14ac:dyDescent="0.2">
      <c r="A41" s="41" t="s">
        <v>51</v>
      </c>
      <c r="B41" s="31">
        <v>100000</v>
      </c>
      <c r="C41" s="31">
        <v>100000</v>
      </c>
      <c r="D41" s="5">
        <v>98760</v>
      </c>
      <c r="E41" s="17">
        <f>D41/C41*100</f>
        <v>98.76</v>
      </c>
      <c r="F41" s="2"/>
    </row>
    <row r="42" spans="1:6" x14ac:dyDescent="0.2">
      <c r="A42" s="18" t="s">
        <v>24</v>
      </c>
      <c r="B42" s="56">
        <f>SUM(B41:B41)</f>
        <v>100000</v>
      </c>
      <c r="C42" s="56">
        <f>SUM(C41:C41)</f>
        <v>100000</v>
      </c>
      <c r="D42" s="11">
        <f>SUM(D41)</f>
        <v>98760</v>
      </c>
      <c r="E42" s="10">
        <f>D42/C42*100</f>
        <v>98.76</v>
      </c>
      <c r="F42" s="2"/>
    </row>
    <row r="43" spans="1:6" x14ac:dyDescent="0.2">
      <c r="A43" s="19" t="s">
        <v>23</v>
      </c>
      <c r="B43" s="31">
        <v>300000</v>
      </c>
      <c r="C43" s="31">
        <v>300000</v>
      </c>
      <c r="D43" s="5">
        <v>746380</v>
      </c>
      <c r="E43" s="17">
        <f>D43/C43*100</f>
        <v>248.79333333333332</v>
      </c>
      <c r="F43" s="2"/>
    </row>
    <row r="44" spans="1:6" x14ac:dyDescent="0.2">
      <c r="A44" s="19" t="s">
        <v>22</v>
      </c>
      <c r="B44" s="31">
        <v>220000</v>
      </c>
      <c r="C44" s="31">
        <v>220000</v>
      </c>
      <c r="D44" s="5">
        <v>254567</v>
      </c>
      <c r="E44" s="17">
        <f>D44/C44*100</f>
        <v>115.71227272727273</v>
      </c>
      <c r="F44" s="2"/>
    </row>
    <row r="45" spans="1:6" x14ac:dyDescent="0.2">
      <c r="A45" s="19" t="s">
        <v>21</v>
      </c>
      <c r="B45" s="31">
        <v>60000</v>
      </c>
      <c r="C45" s="31">
        <v>60000</v>
      </c>
      <c r="D45" s="5">
        <v>45578</v>
      </c>
      <c r="E45" s="17">
        <f>D45/C45*100</f>
        <v>75.963333333333338</v>
      </c>
      <c r="F45" s="2"/>
    </row>
    <row r="46" spans="1:6" x14ac:dyDescent="0.2">
      <c r="A46" s="18" t="s">
        <v>20</v>
      </c>
      <c r="B46" s="56">
        <f>SUM(B43:B45)</f>
        <v>580000</v>
      </c>
      <c r="C46" s="56">
        <f>SUM(C43:C45)</f>
        <v>580000</v>
      </c>
      <c r="D46" s="11">
        <f>SUM(D43:D45)</f>
        <v>1046525</v>
      </c>
      <c r="E46" s="10">
        <f>D46/C46*100</f>
        <v>180.43534482758622</v>
      </c>
      <c r="F46" s="2"/>
    </row>
    <row r="47" spans="1:6" x14ac:dyDescent="0.2">
      <c r="A47" s="19" t="s">
        <v>19</v>
      </c>
      <c r="B47" s="31">
        <v>50000</v>
      </c>
      <c r="C47" s="31">
        <v>50000</v>
      </c>
      <c r="D47" s="5">
        <v>0</v>
      </c>
      <c r="E47" s="17">
        <f>D47/C47*100</f>
        <v>0</v>
      </c>
      <c r="F47" s="2"/>
    </row>
    <row r="48" spans="1:6" x14ac:dyDescent="0.2">
      <c r="A48" s="19" t="s">
        <v>40</v>
      </c>
      <c r="B48" s="31">
        <f>5545000+300000</f>
        <v>5845000</v>
      </c>
      <c r="C48" s="31">
        <f>5545000+300000</f>
        <v>5845000</v>
      </c>
      <c r="D48" s="5">
        <v>5910300</v>
      </c>
      <c r="E48" s="17">
        <f>D48/C48*100</f>
        <v>101.11719418306244</v>
      </c>
      <c r="F48" s="2"/>
    </row>
    <row r="49" spans="1:6" x14ac:dyDescent="0.2">
      <c r="A49" s="19" t="s">
        <v>17</v>
      </c>
      <c r="B49" s="31">
        <v>20000</v>
      </c>
      <c r="C49" s="31">
        <v>20000</v>
      </c>
      <c r="D49" s="5">
        <v>40800</v>
      </c>
      <c r="E49" s="17">
        <f>D49/C49*100</f>
        <v>204</v>
      </c>
      <c r="F49" s="2"/>
    </row>
    <row r="50" spans="1:6" x14ac:dyDescent="0.2">
      <c r="A50" s="18" t="s">
        <v>6</v>
      </c>
      <c r="B50" s="16">
        <f>SUM(B47:B49)</f>
        <v>5915000</v>
      </c>
      <c r="C50" s="16">
        <f>SUM(C47:C49)</f>
        <v>5915000</v>
      </c>
      <c r="D50" s="11">
        <f>SUM(D47:D49)</f>
        <v>5951100</v>
      </c>
      <c r="E50" s="10">
        <f>D50/C50*100</f>
        <v>100.61031276415892</v>
      </c>
      <c r="F50" s="2"/>
    </row>
    <row r="51" spans="1:6" x14ac:dyDescent="0.2">
      <c r="A51" s="19" t="s">
        <v>14</v>
      </c>
      <c r="B51" s="20">
        <f>(B36+B37+B41+B43+B44+B47+B49+B45+B38)*0.27</f>
        <v>216000</v>
      </c>
      <c r="C51" s="20">
        <f>(C36+C37+C41+C43+C44+C47+C49+C45+C38)*0.27</f>
        <v>216000</v>
      </c>
      <c r="D51" s="5">
        <f>99899+238869</f>
        <v>338768</v>
      </c>
      <c r="E51" s="17">
        <f>D51/C51*100</f>
        <v>156.83703703703705</v>
      </c>
      <c r="F51" s="2"/>
    </row>
    <row r="52" spans="1:6" x14ac:dyDescent="0.2">
      <c r="A52" s="19" t="s">
        <v>88</v>
      </c>
      <c r="B52" s="20"/>
      <c r="C52" s="20"/>
      <c r="D52" s="5">
        <v>67053</v>
      </c>
      <c r="E52" s="17"/>
      <c r="F52" s="2"/>
    </row>
    <row r="53" spans="1:6" x14ac:dyDescent="0.2">
      <c r="A53" s="29" t="s">
        <v>13</v>
      </c>
      <c r="B53" s="16">
        <f>SUM(B51:B51)</f>
        <v>216000</v>
      </c>
      <c r="C53" s="16">
        <f>SUM(C51:C51)</f>
        <v>216000</v>
      </c>
      <c r="D53" s="5">
        <f>D51+D52</f>
        <v>405821</v>
      </c>
      <c r="E53" s="17">
        <f>D53/C53*100</f>
        <v>187.8800925925926</v>
      </c>
      <c r="F53" s="2"/>
    </row>
    <row r="54" spans="1:6" x14ac:dyDescent="0.2">
      <c r="A54" s="13" t="s">
        <v>5</v>
      </c>
      <c r="B54" s="16">
        <f>B40+B42+B46+B50+B53</f>
        <v>6861000</v>
      </c>
      <c r="C54" s="16">
        <f>C40+C42+C46+C50+C53</f>
        <v>6861000</v>
      </c>
      <c r="D54" s="11">
        <f>D40+D42+D46+D50+D53</f>
        <v>7630915</v>
      </c>
      <c r="E54" s="10">
        <f>D54/C54*100</f>
        <v>111.22161492493805</v>
      </c>
      <c r="F54" s="2"/>
    </row>
    <row r="55" spans="1:6" x14ac:dyDescent="0.2">
      <c r="A55" s="13"/>
      <c r="B55" s="16"/>
      <c r="C55" s="16"/>
      <c r="D55" s="5"/>
      <c r="E55" s="17"/>
      <c r="F55" s="2"/>
    </row>
    <row r="56" spans="1:6" x14ac:dyDescent="0.2">
      <c r="A56" s="15" t="s">
        <v>4</v>
      </c>
      <c r="B56" s="16">
        <f>B31+B34+B54</f>
        <v>7840186</v>
      </c>
      <c r="C56" s="16">
        <f>C31+C34+C54</f>
        <v>7840186</v>
      </c>
      <c r="D56" s="11">
        <f>D31+D34+D54</f>
        <v>8610099</v>
      </c>
      <c r="E56" s="10">
        <f>D56/C56*100</f>
        <v>109.82008590102326</v>
      </c>
      <c r="F56" s="2"/>
    </row>
    <row r="57" spans="1:6" ht="13.5" thickBot="1" x14ac:dyDescent="0.25">
      <c r="A57" s="57"/>
      <c r="B57" s="59"/>
      <c r="C57" s="52"/>
      <c r="D57" s="25"/>
      <c r="E57" s="25"/>
      <c r="F57" s="2"/>
    </row>
    <row r="58" spans="1:6" ht="13.5" thickBot="1" x14ac:dyDescent="0.25">
      <c r="A58" s="101" t="s">
        <v>150</v>
      </c>
      <c r="B58" s="101"/>
      <c r="C58" s="101"/>
      <c r="D58" s="101"/>
      <c r="E58" s="101"/>
      <c r="F58" s="2"/>
    </row>
    <row r="59" spans="1:6" x14ac:dyDescent="0.2">
      <c r="A59" s="15"/>
      <c r="B59" s="15"/>
      <c r="C59" s="40"/>
      <c r="D59" s="5"/>
      <c r="E59" s="5"/>
      <c r="F59" s="2"/>
    </row>
    <row r="60" spans="1:6" x14ac:dyDescent="0.2">
      <c r="A60" s="19" t="s">
        <v>23</v>
      </c>
      <c r="B60" s="31">
        <v>75000</v>
      </c>
      <c r="C60" s="31">
        <v>75000</v>
      </c>
      <c r="D60" s="5">
        <v>186597</v>
      </c>
      <c r="E60" s="17">
        <f>D60/C60*100</f>
        <v>248.79600000000002</v>
      </c>
      <c r="F60" s="2"/>
    </row>
    <row r="61" spans="1:6" x14ac:dyDescent="0.2">
      <c r="A61" s="19" t="s">
        <v>22</v>
      </c>
      <c r="B61" s="31">
        <v>60000</v>
      </c>
      <c r="C61" s="31">
        <v>60000</v>
      </c>
      <c r="D61" s="5">
        <v>63644</v>
      </c>
      <c r="E61" s="17">
        <f>D61/C61*100</f>
        <v>106.07333333333332</v>
      </c>
      <c r="F61" s="2"/>
    </row>
    <row r="62" spans="1:6" x14ac:dyDescent="0.2">
      <c r="A62" s="19" t="s">
        <v>21</v>
      </c>
      <c r="B62" s="31">
        <v>30000</v>
      </c>
      <c r="C62" s="31">
        <v>30000</v>
      </c>
      <c r="D62" s="5">
        <v>21981</v>
      </c>
      <c r="E62" s="17">
        <f>D62/C62*100</f>
        <v>73.27</v>
      </c>
      <c r="F62" s="2"/>
    </row>
    <row r="63" spans="1:6" x14ac:dyDescent="0.2">
      <c r="A63" s="18" t="s">
        <v>20</v>
      </c>
      <c r="B63" s="56">
        <f>SUM(B60:B62)</f>
        <v>165000</v>
      </c>
      <c r="C63" s="56">
        <f>SUM(C60:C62)</f>
        <v>165000</v>
      </c>
      <c r="D63" s="11">
        <f>SUM(D60:D62)</f>
        <v>272222</v>
      </c>
      <c r="E63" s="10">
        <f>D63/C63*100</f>
        <v>164.98303030303029</v>
      </c>
      <c r="F63" s="2"/>
    </row>
    <row r="64" spans="1:6" x14ac:dyDescent="0.2">
      <c r="A64" s="19" t="s">
        <v>19</v>
      </c>
      <c r="B64" s="31">
        <v>20000</v>
      </c>
      <c r="C64" s="31">
        <v>20000</v>
      </c>
      <c r="D64" s="5">
        <v>0</v>
      </c>
      <c r="E64" s="17">
        <f>D64/C64*100</f>
        <v>0</v>
      </c>
      <c r="F64" s="2"/>
    </row>
    <row r="65" spans="1:6" x14ac:dyDescent="0.2">
      <c r="A65" s="19" t="s">
        <v>17</v>
      </c>
      <c r="B65" s="31">
        <v>10000</v>
      </c>
      <c r="C65" s="31">
        <v>10000</v>
      </c>
      <c r="D65" s="5">
        <v>0</v>
      </c>
      <c r="E65" s="17">
        <f>D65/C65*100</f>
        <v>0</v>
      </c>
      <c r="F65" s="2"/>
    </row>
    <row r="66" spans="1:6" x14ac:dyDescent="0.2">
      <c r="A66" s="18" t="s">
        <v>6</v>
      </c>
      <c r="B66" s="16">
        <f>SUM(B64:B65)</f>
        <v>30000</v>
      </c>
      <c r="C66" s="16">
        <f>SUM(C64:C65)</f>
        <v>30000</v>
      </c>
      <c r="D66" s="11">
        <v>0</v>
      </c>
      <c r="E66" s="10">
        <f>D66/C66*100</f>
        <v>0</v>
      </c>
      <c r="F66" s="2"/>
    </row>
    <row r="67" spans="1:6" x14ac:dyDescent="0.2">
      <c r="A67" s="19" t="s">
        <v>14</v>
      </c>
      <c r="B67" s="20">
        <f>(B60+B61+B62+B64+B65)*0.27</f>
        <v>52650</v>
      </c>
      <c r="C67" s="20">
        <f>(C60+C61+C62+C64+C65)*0.27</f>
        <v>52650</v>
      </c>
      <c r="D67" s="5">
        <v>72581</v>
      </c>
      <c r="E67" s="17">
        <f>D67/C67*100</f>
        <v>137.85565052231718</v>
      </c>
      <c r="F67" s="2"/>
    </row>
    <row r="68" spans="1:6" x14ac:dyDescent="0.2">
      <c r="A68" s="29" t="s">
        <v>13</v>
      </c>
      <c r="B68" s="16">
        <f>SUM(B67:B67)</f>
        <v>52650</v>
      </c>
      <c r="C68" s="16">
        <f>SUM(C67:C67)</f>
        <v>52650</v>
      </c>
      <c r="D68" s="11">
        <f>D67</f>
        <v>72581</v>
      </c>
      <c r="E68" s="10">
        <f>D68/C68*100</f>
        <v>137.85565052231718</v>
      </c>
      <c r="F68" s="2"/>
    </row>
    <row r="69" spans="1:6" x14ac:dyDescent="0.2">
      <c r="A69" s="29"/>
      <c r="B69" s="20"/>
      <c r="C69" s="20"/>
      <c r="D69" s="5"/>
      <c r="E69" s="5"/>
      <c r="F69" s="2"/>
    </row>
    <row r="70" spans="1:6" x14ac:dyDescent="0.2">
      <c r="A70" s="13" t="s">
        <v>5</v>
      </c>
      <c r="B70" s="16">
        <f>+B63+B66+B68</f>
        <v>247650</v>
      </c>
      <c r="C70" s="16">
        <f>+C63+C66+C68</f>
        <v>247650</v>
      </c>
      <c r="D70" s="11">
        <f>D63+D66+D68</f>
        <v>344803</v>
      </c>
      <c r="E70" s="10">
        <f>D70/C70*100</f>
        <v>139.22996163941045</v>
      </c>
      <c r="F70" s="2"/>
    </row>
    <row r="71" spans="1:6" x14ac:dyDescent="0.2">
      <c r="A71" s="13"/>
      <c r="B71" s="16"/>
      <c r="C71" s="16"/>
      <c r="D71" s="5"/>
      <c r="E71" s="5"/>
      <c r="F71" s="2"/>
    </row>
    <row r="72" spans="1:6" x14ac:dyDescent="0.2">
      <c r="A72" s="15" t="s">
        <v>4</v>
      </c>
      <c r="B72" s="16">
        <f>B70</f>
        <v>247650</v>
      </c>
      <c r="C72" s="16">
        <f>C70</f>
        <v>247650</v>
      </c>
      <c r="D72" s="11">
        <f>D70</f>
        <v>344803</v>
      </c>
      <c r="E72" s="10">
        <f>D72/C72*100</f>
        <v>139.22996163941045</v>
      </c>
      <c r="F72" s="2"/>
    </row>
    <row r="73" spans="1:6" x14ac:dyDescent="0.2">
      <c r="A73" s="15"/>
      <c r="B73" s="15"/>
      <c r="C73" s="16"/>
      <c r="D73" s="5"/>
      <c r="E73" s="5"/>
      <c r="F73" s="2"/>
    </row>
    <row r="74" spans="1:6" ht="13.5" thickBot="1" x14ac:dyDescent="0.25">
      <c r="A74" s="27"/>
      <c r="B74" s="27"/>
      <c r="C74" s="59"/>
      <c r="D74" s="25"/>
      <c r="E74" s="25"/>
      <c r="F74" s="2"/>
    </row>
    <row r="75" spans="1:6" ht="13.5" thickBot="1" x14ac:dyDescent="0.25">
      <c r="A75" s="54" t="s">
        <v>149</v>
      </c>
      <c r="B75" s="54"/>
      <c r="C75" s="54"/>
      <c r="D75" s="54"/>
      <c r="E75" s="54"/>
      <c r="F75" s="2"/>
    </row>
    <row r="76" spans="1:6" x14ac:dyDescent="0.2">
      <c r="A76" s="15"/>
      <c r="B76" s="15"/>
      <c r="C76" s="40"/>
      <c r="D76" s="5"/>
      <c r="E76" s="5"/>
      <c r="F76" s="2"/>
    </row>
    <row r="77" spans="1:6" x14ac:dyDescent="0.2">
      <c r="A77" s="37" t="s">
        <v>55</v>
      </c>
      <c r="B77" s="30">
        <f>1999*583+50*43*583</f>
        <v>2418867</v>
      </c>
      <c r="C77" s="30">
        <f>1999*583+50*43*583</f>
        <v>2418867</v>
      </c>
      <c r="D77" s="5">
        <v>1550502</v>
      </c>
      <c r="E77" s="17">
        <f>D77/C77*100</f>
        <v>64.100341192798112</v>
      </c>
      <c r="F77" s="2"/>
    </row>
    <row r="78" spans="1:6" x14ac:dyDescent="0.2">
      <c r="A78" s="18" t="s">
        <v>6</v>
      </c>
      <c r="B78" s="40">
        <f>SUM(B74:B77)</f>
        <v>2418867</v>
      </c>
      <c r="C78" s="40">
        <f>SUM(C74:C77)</f>
        <v>2418867</v>
      </c>
      <c r="D78" s="11">
        <f>SUM(D77)</f>
        <v>1550502</v>
      </c>
      <c r="E78" s="10">
        <f>D78/C78*100</f>
        <v>64.100341192798112</v>
      </c>
      <c r="F78" s="2"/>
    </row>
    <row r="79" spans="1:6" x14ac:dyDescent="0.2">
      <c r="A79" s="19" t="s">
        <v>14</v>
      </c>
      <c r="B79" s="30">
        <f>(B77)*0.27</f>
        <v>653094.09000000008</v>
      </c>
      <c r="C79" s="30">
        <f>(C77)*0.27</f>
        <v>653094.09000000008</v>
      </c>
      <c r="D79" s="5">
        <v>418637</v>
      </c>
      <c r="E79" s="17">
        <f>D79/C79*100</f>
        <v>64.100564744047816</v>
      </c>
      <c r="F79" s="2"/>
    </row>
    <row r="80" spans="1:6" x14ac:dyDescent="0.2">
      <c r="A80" s="29" t="s">
        <v>13</v>
      </c>
      <c r="B80" s="40">
        <f>SUM(B79:B79)</f>
        <v>653094.09000000008</v>
      </c>
      <c r="C80" s="40">
        <f>SUM(C79:C79)</f>
        <v>653094.09000000008</v>
      </c>
      <c r="D80" s="11">
        <f>SUM(D79)</f>
        <v>418637</v>
      </c>
      <c r="E80" s="10">
        <f>D80/C80*100</f>
        <v>64.100564744047816</v>
      </c>
      <c r="F80" s="2"/>
    </row>
    <row r="81" spans="1:6" x14ac:dyDescent="0.2">
      <c r="A81" s="29"/>
      <c r="B81" s="30"/>
      <c r="C81" s="30"/>
      <c r="D81" s="5"/>
      <c r="E81" s="17"/>
      <c r="F81" s="2"/>
    </row>
    <row r="82" spans="1:6" x14ac:dyDescent="0.2">
      <c r="A82" s="13" t="s">
        <v>5</v>
      </c>
      <c r="B82" s="40">
        <f>B80+B78</f>
        <v>3071961.09</v>
      </c>
      <c r="C82" s="40">
        <f>C80+C78</f>
        <v>3071961.09</v>
      </c>
      <c r="D82" s="11">
        <f>D78+D80</f>
        <v>1969139</v>
      </c>
      <c r="E82" s="10">
        <f>D82/C82*100</f>
        <v>64.100388719441753</v>
      </c>
      <c r="F82" s="2"/>
    </row>
    <row r="83" spans="1:6" x14ac:dyDescent="0.2">
      <c r="A83" s="13"/>
      <c r="B83" s="40"/>
      <c r="C83" s="40"/>
      <c r="D83" s="5"/>
      <c r="E83" s="5"/>
      <c r="F83" s="2"/>
    </row>
    <row r="84" spans="1:6" x14ac:dyDescent="0.2">
      <c r="A84" s="15" t="s">
        <v>4</v>
      </c>
      <c r="B84" s="40">
        <f>B82</f>
        <v>3071961.09</v>
      </c>
      <c r="C84" s="40">
        <f>C82</f>
        <v>3071961.09</v>
      </c>
      <c r="D84" s="11">
        <f>D82</f>
        <v>1969139</v>
      </c>
      <c r="E84" s="10">
        <f>D84/C84*100</f>
        <v>64.100388719441753</v>
      </c>
      <c r="F84" s="2"/>
    </row>
    <row r="85" spans="1:6" x14ac:dyDescent="0.2">
      <c r="A85" s="15"/>
      <c r="B85" s="15"/>
      <c r="C85" s="40"/>
      <c r="D85" s="5"/>
      <c r="E85" s="5"/>
      <c r="F85" s="2"/>
    </row>
    <row r="86" spans="1:6" ht="13.5" thickBot="1" x14ac:dyDescent="0.25">
      <c r="A86" s="27"/>
      <c r="B86" s="27"/>
      <c r="C86" s="52"/>
      <c r="D86" s="25"/>
      <c r="E86" s="25"/>
      <c r="F86" s="2"/>
    </row>
    <row r="87" spans="1:6" ht="13.5" thickBot="1" x14ac:dyDescent="0.25">
      <c r="A87" s="24" t="s">
        <v>148</v>
      </c>
      <c r="B87" s="24"/>
      <c r="C87" s="24"/>
      <c r="D87" s="24"/>
      <c r="E87" s="24"/>
      <c r="F87" s="2"/>
    </row>
    <row r="88" spans="1:6" x14ac:dyDescent="0.2">
      <c r="A88" s="23"/>
      <c r="B88" s="23"/>
      <c r="C88" s="22"/>
      <c r="D88" s="5"/>
      <c r="E88" s="5"/>
      <c r="F88" s="2"/>
    </row>
    <row r="89" spans="1:6" x14ac:dyDescent="0.2">
      <c r="A89" s="21" t="s">
        <v>147</v>
      </c>
      <c r="B89" s="20">
        <v>11940910</v>
      </c>
      <c r="C89" s="20">
        <f>11940910+244590</f>
        <v>12185500</v>
      </c>
      <c r="D89" s="5">
        <v>0</v>
      </c>
      <c r="E89" s="17">
        <f>D89/C89*100</f>
        <v>0</v>
      </c>
      <c r="F89" s="2"/>
    </row>
    <row r="90" spans="1:6" x14ac:dyDescent="0.2">
      <c r="A90" s="14" t="s">
        <v>3</v>
      </c>
      <c r="B90" s="16">
        <f>SUM(B89)</f>
        <v>11940910</v>
      </c>
      <c r="C90" s="16">
        <f>SUM(C89)</f>
        <v>12185500</v>
      </c>
      <c r="D90" s="11">
        <v>0</v>
      </c>
      <c r="E90" s="10">
        <f>D90/C90*100</f>
        <v>0</v>
      </c>
      <c r="F90" s="2"/>
    </row>
    <row r="91" spans="1:6" x14ac:dyDescent="0.2">
      <c r="A91" s="14"/>
      <c r="B91" s="16"/>
      <c r="C91" s="16"/>
      <c r="D91" s="5"/>
      <c r="E91" s="17"/>
      <c r="F91" s="2"/>
    </row>
    <row r="92" spans="1:6" x14ac:dyDescent="0.2">
      <c r="A92" s="21" t="s">
        <v>9</v>
      </c>
      <c r="B92" s="20">
        <f>526624+884399</f>
        <v>1411023</v>
      </c>
      <c r="C92" s="20">
        <f>526624+884399+26905</f>
        <v>1437928</v>
      </c>
      <c r="D92" s="5">
        <v>0</v>
      </c>
      <c r="E92" s="17">
        <f>D92/C92*100</f>
        <v>0</v>
      </c>
      <c r="F92" s="2"/>
    </row>
    <row r="93" spans="1:6" x14ac:dyDescent="0.2">
      <c r="A93" s="21" t="s">
        <v>35</v>
      </c>
      <c r="B93" s="20">
        <v>50000</v>
      </c>
      <c r="C93" s="20">
        <v>50000</v>
      </c>
      <c r="D93" s="5">
        <v>0</v>
      </c>
      <c r="E93" s="17">
        <f>D93/C93*100</f>
        <v>0</v>
      </c>
      <c r="F93" s="2"/>
    </row>
    <row r="94" spans="1:6" x14ac:dyDescent="0.2">
      <c r="A94" s="14" t="s">
        <v>2</v>
      </c>
      <c r="B94" s="16">
        <f>SUM(B92:B93)</f>
        <v>1461023</v>
      </c>
      <c r="C94" s="16">
        <f>SUM(C92:C93)</f>
        <v>1487928</v>
      </c>
      <c r="D94" s="11">
        <v>0</v>
      </c>
      <c r="E94" s="10">
        <f>D94/C94*100</f>
        <v>0</v>
      </c>
      <c r="F94" s="2"/>
    </row>
    <row r="95" spans="1:6" x14ac:dyDescent="0.2">
      <c r="A95" s="14"/>
      <c r="B95" s="16"/>
      <c r="C95" s="16"/>
      <c r="D95" s="5"/>
      <c r="E95" s="5"/>
      <c r="F95" s="2"/>
    </row>
    <row r="96" spans="1:6" x14ac:dyDescent="0.2">
      <c r="A96" s="15" t="s">
        <v>4</v>
      </c>
      <c r="B96" s="16">
        <f>B90+B94</f>
        <v>13401933</v>
      </c>
      <c r="C96" s="16">
        <f>C90+C94</f>
        <v>13673428</v>
      </c>
      <c r="D96" s="11">
        <v>0</v>
      </c>
      <c r="E96" s="10">
        <f>D96/C96*100</f>
        <v>0</v>
      </c>
      <c r="F96" s="2"/>
    </row>
    <row r="97" spans="1:6" x14ac:dyDescent="0.2">
      <c r="A97" s="15"/>
      <c r="B97" s="15"/>
      <c r="C97" s="16"/>
      <c r="D97" s="5"/>
      <c r="E97" s="5"/>
      <c r="F97" s="2"/>
    </row>
    <row r="98" spans="1:6" ht="13.5" thickBot="1" x14ac:dyDescent="0.25">
      <c r="A98" s="27"/>
      <c r="B98" s="27"/>
      <c r="C98" s="59"/>
      <c r="D98" s="25"/>
      <c r="E98" s="25"/>
      <c r="F98" s="2"/>
    </row>
    <row r="99" spans="1:6" ht="13.5" thickBot="1" x14ac:dyDescent="0.25">
      <c r="A99" s="24" t="s">
        <v>146</v>
      </c>
      <c r="B99" s="24"/>
      <c r="C99" s="24"/>
      <c r="D99" s="24"/>
      <c r="E99" s="24"/>
      <c r="F99" s="2"/>
    </row>
    <row r="100" spans="1:6" x14ac:dyDescent="0.2">
      <c r="A100" s="23"/>
      <c r="B100" s="23"/>
      <c r="C100" s="22"/>
      <c r="D100" s="5"/>
      <c r="E100" s="5"/>
      <c r="F100" s="2"/>
    </row>
    <row r="101" spans="1:6" x14ac:dyDescent="0.2">
      <c r="A101" s="21" t="s">
        <v>145</v>
      </c>
      <c r="B101" s="20">
        <v>7313735</v>
      </c>
      <c r="C101" s="20">
        <f>7313735+23548635</f>
        <v>30862370</v>
      </c>
      <c r="D101" s="5">
        <f>39907631</f>
        <v>39907631</v>
      </c>
      <c r="E101" s="17">
        <f>D101/C101*100</f>
        <v>129.3083810478586</v>
      </c>
      <c r="F101" s="2"/>
    </row>
    <row r="102" spans="1:6" x14ac:dyDescent="0.2">
      <c r="A102" s="21" t="s">
        <v>144</v>
      </c>
      <c r="B102" s="20">
        <v>140605</v>
      </c>
      <c r="C102" s="20">
        <v>140605</v>
      </c>
      <c r="D102" s="5">
        <v>291745</v>
      </c>
      <c r="E102" s="17">
        <f>D102/C102*100</f>
        <v>207.49262117278903</v>
      </c>
      <c r="F102" s="2"/>
    </row>
    <row r="103" spans="1:6" x14ac:dyDescent="0.2">
      <c r="A103" s="21" t="s">
        <v>143</v>
      </c>
      <c r="B103" s="20"/>
      <c r="C103" s="20"/>
      <c r="D103" s="5">
        <v>654080</v>
      </c>
      <c r="E103" s="17"/>
      <c r="F103" s="2"/>
    </row>
    <row r="104" spans="1:6" x14ac:dyDescent="0.2">
      <c r="A104" s="14" t="s">
        <v>3</v>
      </c>
      <c r="B104" s="16">
        <f>SUM(B101:B102)</f>
        <v>7454340</v>
      </c>
      <c r="C104" s="16">
        <f>SUM(C101:C102)</f>
        <v>31002975</v>
      </c>
      <c r="D104" s="11">
        <f>SUM(D101:D103)</f>
        <v>40853456</v>
      </c>
      <c r="E104" s="10">
        <f>D104/C104*100</f>
        <v>131.7726960073993</v>
      </c>
      <c r="F104" s="2"/>
    </row>
    <row r="105" spans="1:6" x14ac:dyDescent="0.2">
      <c r="A105" s="14"/>
      <c r="B105" s="16"/>
      <c r="C105" s="16"/>
      <c r="D105" s="5"/>
      <c r="E105" s="5"/>
      <c r="F105" s="2"/>
    </row>
    <row r="106" spans="1:6" x14ac:dyDescent="0.2">
      <c r="A106" s="21" t="s">
        <v>9</v>
      </c>
      <c r="B106" s="20">
        <f>321948+542183</f>
        <v>864131</v>
      </c>
      <c r="C106" s="20">
        <f>321948+542183+2590350</f>
        <v>3454481</v>
      </c>
      <c r="D106" s="5">
        <v>4628616</v>
      </c>
      <c r="E106" s="17">
        <f>D106/C106*100</f>
        <v>133.9887525796205</v>
      </c>
      <c r="F106" s="2"/>
    </row>
    <row r="107" spans="1:6" x14ac:dyDescent="0.2">
      <c r="A107" s="21" t="s">
        <v>35</v>
      </c>
      <c r="B107" s="20">
        <v>36810</v>
      </c>
      <c r="C107" s="20">
        <v>36810</v>
      </c>
      <c r="D107" s="5"/>
      <c r="E107" s="17">
        <f>D107/C107*100</f>
        <v>0</v>
      </c>
      <c r="F107" s="2"/>
    </row>
    <row r="108" spans="1:6" x14ac:dyDescent="0.2">
      <c r="A108" s="21" t="s">
        <v>8</v>
      </c>
      <c r="B108" s="20">
        <v>50000</v>
      </c>
      <c r="C108" s="20">
        <v>50000</v>
      </c>
      <c r="D108" s="5">
        <v>83817</v>
      </c>
      <c r="E108" s="17">
        <f>D108/C108*100</f>
        <v>167.63399999999999</v>
      </c>
      <c r="F108" s="2"/>
    </row>
    <row r="109" spans="1:6" x14ac:dyDescent="0.2">
      <c r="A109" s="21" t="s">
        <v>43</v>
      </c>
      <c r="B109" s="20">
        <v>25098</v>
      </c>
      <c r="C109" s="20">
        <v>25098</v>
      </c>
      <c r="D109" s="5"/>
      <c r="E109" s="17">
        <f>D109/C109*100</f>
        <v>0</v>
      </c>
      <c r="F109" s="2"/>
    </row>
    <row r="110" spans="1:6" x14ac:dyDescent="0.2">
      <c r="A110" s="14" t="s">
        <v>2</v>
      </c>
      <c r="B110" s="16">
        <f>SUM(B106:B109)</f>
        <v>976039</v>
      </c>
      <c r="C110" s="16">
        <f>SUM(C106:C109)</f>
        <v>3566389</v>
      </c>
      <c r="D110" s="11">
        <f>SUM(D106:D109)</f>
        <v>4712433</v>
      </c>
      <c r="E110" s="10">
        <f>D110/C110*100</f>
        <v>132.13457645814856</v>
      </c>
      <c r="F110" s="2"/>
    </row>
    <row r="111" spans="1:6" x14ac:dyDescent="0.2">
      <c r="A111" s="14"/>
      <c r="B111" s="16"/>
      <c r="C111" s="16"/>
      <c r="D111" s="11"/>
      <c r="E111" s="10"/>
      <c r="F111" s="2"/>
    </row>
    <row r="112" spans="1:6" x14ac:dyDescent="0.2">
      <c r="A112" s="14"/>
      <c r="B112" s="14"/>
      <c r="C112" s="16"/>
      <c r="D112" s="5"/>
      <c r="E112" s="5"/>
      <c r="F112" s="2"/>
    </row>
    <row r="113" spans="1:8" x14ac:dyDescent="0.2">
      <c r="A113" s="19" t="s">
        <v>31</v>
      </c>
      <c r="B113" s="19"/>
      <c r="C113" s="20">
        <f>10703997-3062385+496622+888000-3339130-1034240-30188</f>
        <v>4622676</v>
      </c>
      <c r="D113" s="5">
        <f>10992+91339+151949+251290+3332438</f>
        <v>3838008</v>
      </c>
      <c r="E113" s="17">
        <f>D113/C113*100</f>
        <v>83.025676036996757</v>
      </c>
      <c r="F113" s="2"/>
    </row>
    <row r="114" spans="1:8" x14ac:dyDescent="0.2">
      <c r="A114" s="29" t="s">
        <v>30</v>
      </c>
      <c r="B114" s="29"/>
      <c r="C114" s="16">
        <f>C113</f>
        <v>4622676</v>
      </c>
      <c r="D114" s="11">
        <f>SUM(D113)</f>
        <v>3838008</v>
      </c>
      <c r="E114" s="10">
        <f>D114/C114*100</f>
        <v>83.025676036996757</v>
      </c>
      <c r="F114" s="2"/>
    </row>
    <row r="115" spans="1:8" x14ac:dyDescent="0.2">
      <c r="A115" s="19" t="s">
        <v>23</v>
      </c>
      <c r="B115" s="29"/>
      <c r="C115" s="16"/>
      <c r="D115" s="5">
        <v>320042</v>
      </c>
      <c r="E115" s="17"/>
      <c r="F115" s="2"/>
    </row>
    <row r="116" spans="1:8" x14ac:dyDescent="0.2">
      <c r="A116" s="19" t="s">
        <v>22</v>
      </c>
      <c r="B116" s="29"/>
      <c r="C116" s="16"/>
      <c r="D116" s="5">
        <v>22902</v>
      </c>
      <c r="E116" s="17"/>
      <c r="F116" s="2"/>
    </row>
    <row r="117" spans="1:8" x14ac:dyDescent="0.2">
      <c r="A117" s="18" t="s">
        <v>20</v>
      </c>
      <c r="B117" s="29"/>
      <c r="C117" s="16"/>
      <c r="D117" s="11">
        <f>SUM(D115:D116)</f>
        <v>342944</v>
      </c>
      <c r="E117" s="17"/>
      <c r="F117" s="2"/>
    </row>
    <row r="118" spans="1:8" x14ac:dyDescent="0.2">
      <c r="A118" s="19" t="s">
        <v>139</v>
      </c>
      <c r="B118" s="29"/>
      <c r="C118" s="16"/>
      <c r="D118" s="5">
        <f>15000+137088</f>
        <v>152088</v>
      </c>
      <c r="E118" s="17"/>
      <c r="F118" s="2"/>
    </row>
    <row r="119" spans="1:8" x14ac:dyDescent="0.2">
      <c r="A119" s="18" t="s">
        <v>6</v>
      </c>
      <c r="B119" s="29"/>
      <c r="C119" s="16"/>
      <c r="D119" s="11">
        <f>SUM(D118)</f>
        <v>152088</v>
      </c>
      <c r="E119" s="17"/>
      <c r="F119" s="2"/>
    </row>
    <row r="120" spans="1:8" x14ac:dyDescent="0.2">
      <c r="A120" s="19" t="s">
        <v>14</v>
      </c>
      <c r="B120" s="19"/>
      <c r="C120" s="20">
        <f>2890080-817844+134088+239332-901565-279245-8151</f>
        <v>1256695</v>
      </c>
      <c r="D120" s="5">
        <v>1120678</v>
      </c>
      <c r="E120" s="17">
        <f>D120/C120*100</f>
        <v>89.176610076430634</v>
      </c>
      <c r="F120" s="2"/>
    </row>
    <row r="121" spans="1:8" x14ac:dyDescent="0.2">
      <c r="A121" s="29" t="s">
        <v>13</v>
      </c>
      <c r="B121" s="29"/>
      <c r="C121" s="16">
        <f>C120</f>
        <v>1256695</v>
      </c>
      <c r="D121" s="11">
        <f>SUM(D120)</f>
        <v>1120678</v>
      </c>
      <c r="E121" s="10">
        <f>D121/C121*100</f>
        <v>89.176610076430634</v>
      </c>
      <c r="F121" s="2"/>
    </row>
    <row r="122" spans="1:8" x14ac:dyDescent="0.2">
      <c r="A122" s="29"/>
      <c r="B122" s="29"/>
      <c r="C122" s="16"/>
      <c r="D122" s="5"/>
      <c r="E122" s="17"/>
      <c r="F122" s="2"/>
    </row>
    <row r="123" spans="1:8" x14ac:dyDescent="0.2">
      <c r="A123" s="13" t="s">
        <v>5</v>
      </c>
      <c r="B123" s="13"/>
      <c r="C123" s="16">
        <f>C114+C121</f>
        <v>5879371</v>
      </c>
      <c r="D123" s="11">
        <f>D114+D117+D119+D121</f>
        <v>5453718</v>
      </c>
      <c r="E123" s="10">
        <f>D123/C123*100</f>
        <v>92.760228942858006</v>
      </c>
      <c r="F123" s="2"/>
    </row>
    <row r="124" spans="1:8" x14ac:dyDescent="0.2">
      <c r="A124" s="29"/>
      <c r="B124" s="29"/>
      <c r="C124" s="16"/>
      <c r="D124" s="5"/>
      <c r="E124" s="5"/>
      <c r="F124" s="2"/>
    </row>
    <row r="125" spans="1:8" x14ac:dyDescent="0.2">
      <c r="A125" s="15" t="s">
        <v>4</v>
      </c>
      <c r="B125" s="100">
        <f>B104+B110</f>
        <v>8430379</v>
      </c>
      <c r="C125" s="16">
        <f>C110+C104+C123</f>
        <v>40448735</v>
      </c>
      <c r="D125" s="11">
        <f>D104+D110+D123</f>
        <v>51019607</v>
      </c>
      <c r="E125" s="10">
        <f>D125/C125*100</f>
        <v>126.13399899897982</v>
      </c>
      <c r="F125" s="2"/>
      <c r="H125" s="2"/>
    </row>
    <row r="126" spans="1:8" x14ac:dyDescent="0.2">
      <c r="A126" s="15"/>
      <c r="B126" s="100"/>
      <c r="C126" s="16"/>
      <c r="D126" s="11"/>
      <c r="E126" s="10"/>
      <c r="F126" s="2"/>
      <c r="H126" s="2"/>
    </row>
    <row r="127" spans="1:8" x14ac:dyDescent="0.2">
      <c r="A127" s="23"/>
      <c r="B127" s="23"/>
      <c r="C127" s="22"/>
      <c r="D127" s="5"/>
      <c r="E127" s="5"/>
      <c r="F127" s="2"/>
    </row>
    <row r="128" spans="1:8" x14ac:dyDescent="0.2">
      <c r="A128" s="99" t="s">
        <v>142</v>
      </c>
      <c r="B128" s="99"/>
      <c r="C128" s="99"/>
      <c r="D128" s="99"/>
      <c r="E128" s="99"/>
      <c r="F128" s="2"/>
    </row>
    <row r="129" spans="1:6" ht="13.5" thickBot="1" x14ac:dyDescent="0.25">
      <c r="A129" s="27"/>
      <c r="B129" s="27"/>
      <c r="C129" s="59"/>
      <c r="D129" s="25"/>
      <c r="E129" s="25"/>
      <c r="F129" s="2"/>
    </row>
    <row r="130" spans="1:6" ht="13.5" thickBot="1" x14ac:dyDescent="0.25">
      <c r="A130" s="54" t="s">
        <v>141</v>
      </c>
      <c r="B130" s="54"/>
      <c r="C130" s="54"/>
      <c r="D130" s="54"/>
      <c r="E130" s="54"/>
      <c r="F130" s="2"/>
    </row>
    <row r="131" spans="1:6" x14ac:dyDescent="0.2">
      <c r="A131" s="33" t="s">
        <v>112</v>
      </c>
      <c r="B131" s="31">
        <v>1620000</v>
      </c>
      <c r="C131" s="31">
        <v>1620000</v>
      </c>
      <c r="D131" s="5">
        <v>1485000</v>
      </c>
      <c r="E131" s="17">
        <f>D131/C131*100</f>
        <v>91.666666666666657</v>
      </c>
      <c r="F131" s="2"/>
    </row>
    <row r="132" spans="1:6" x14ac:dyDescent="0.2">
      <c r="A132" s="14" t="s">
        <v>3</v>
      </c>
      <c r="B132" s="56">
        <f>SUM(B131:B131)</f>
        <v>1620000</v>
      </c>
      <c r="C132" s="56">
        <f>SUM(C131:C131)</f>
        <v>1620000</v>
      </c>
      <c r="D132" s="11">
        <f>SUM(D131)</f>
        <v>1485000</v>
      </c>
      <c r="E132" s="10">
        <f>D132/C132*100</f>
        <v>91.666666666666657</v>
      </c>
      <c r="F132" s="2"/>
    </row>
    <row r="133" spans="1:6" x14ac:dyDescent="0.2">
      <c r="A133" s="14"/>
      <c r="B133" s="56"/>
      <c r="C133" s="56"/>
      <c r="D133" s="5"/>
      <c r="E133" s="17"/>
      <c r="F133" s="2"/>
    </row>
    <row r="134" spans="1:6" x14ac:dyDescent="0.2">
      <c r="A134" s="21" t="s">
        <v>9</v>
      </c>
      <c r="B134" s="31">
        <v>326835</v>
      </c>
      <c r="C134" s="31">
        <v>326835</v>
      </c>
      <c r="D134" s="5">
        <v>300105</v>
      </c>
      <c r="E134" s="17">
        <f>D134/C134*100</f>
        <v>91.821561338289953</v>
      </c>
      <c r="F134" s="2"/>
    </row>
    <row r="135" spans="1:6" x14ac:dyDescent="0.2">
      <c r="A135" s="14" t="s">
        <v>2</v>
      </c>
      <c r="B135" s="56">
        <f>SUM(B134:B134)</f>
        <v>326835</v>
      </c>
      <c r="C135" s="56">
        <f>SUM(C134:C134)</f>
        <v>326835</v>
      </c>
      <c r="D135" s="11">
        <f>SUM(D134)</f>
        <v>300105</v>
      </c>
      <c r="E135" s="10">
        <f>D135/C135*100</f>
        <v>91.821561338289953</v>
      </c>
      <c r="F135" s="2"/>
    </row>
    <row r="136" spans="1:6" x14ac:dyDescent="0.2">
      <c r="A136" s="14"/>
      <c r="B136" s="56"/>
      <c r="C136" s="56"/>
      <c r="D136" s="5"/>
      <c r="E136" s="5"/>
      <c r="F136" s="2"/>
    </row>
    <row r="137" spans="1:6" x14ac:dyDescent="0.2">
      <c r="A137" s="41" t="s">
        <v>140</v>
      </c>
      <c r="B137" s="31">
        <v>7950000</v>
      </c>
      <c r="C137" s="31">
        <v>7950000</v>
      </c>
      <c r="D137" s="5">
        <f>4950712+4637119</f>
        <v>9587831</v>
      </c>
      <c r="E137" s="17">
        <f>D137/C137*100</f>
        <v>120.60164779874214</v>
      </c>
      <c r="F137" s="2"/>
    </row>
    <row r="138" spans="1:6" x14ac:dyDescent="0.2">
      <c r="A138" s="41" t="s">
        <v>123</v>
      </c>
      <c r="B138" s="31">
        <v>500000</v>
      </c>
      <c r="C138" s="31">
        <v>500000</v>
      </c>
      <c r="D138" s="5"/>
      <c r="E138" s="5"/>
      <c r="F138" s="2"/>
    </row>
    <row r="139" spans="1:6" x14ac:dyDescent="0.2">
      <c r="A139" s="19" t="s">
        <v>139</v>
      </c>
      <c r="B139" s="31">
        <v>600000</v>
      </c>
      <c r="C139" s="31">
        <v>600000</v>
      </c>
      <c r="D139" s="5">
        <v>2032598</v>
      </c>
      <c r="E139" s="17">
        <f>D139/C139*100</f>
        <v>338.76633333333331</v>
      </c>
      <c r="F139" s="2"/>
    </row>
    <row r="140" spans="1:6" x14ac:dyDescent="0.2">
      <c r="A140" s="19" t="s">
        <v>138</v>
      </c>
      <c r="B140" s="31"/>
      <c r="C140" s="31"/>
      <c r="D140" s="5">
        <v>145000</v>
      </c>
      <c r="E140" s="17"/>
      <c r="F140" s="2"/>
    </row>
    <row r="141" spans="1:6" x14ac:dyDescent="0.2">
      <c r="A141" s="18" t="s">
        <v>6</v>
      </c>
      <c r="B141" s="56">
        <f>SUM(B137:B139)</f>
        <v>9050000</v>
      </c>
      <c r="C141" s="56">
        <f>SUM(C137:C139)</f>
        <v>9050000</v>
      </c>
      <c r="D141" s="11">
        <f>SUM(D137:D140)</f>
        <v>11765429</v>
      </c>
      <c r="E141" s="10">
        <f>D141/C141*100</f>
        <v>130.00474033149172</v>
      </c>
      <c r="F141" s="2"/>
    </row>
    <row r="142" spans="1:6" x14ac:dyDescent="0.2">
      <c r="A142" s="19" t="s">
        <v>14</v>
      </c>
      <c r="B142" s="31">
        <f>(+B139+B137+B138)*0.27</f>
        <v>2443500</v>
      </c>
      <c r="C142" s="31">
        <f>(+C139+C137+C138)*0.27</f>
        <v>2443500</v>
      </c>
      <c r="D142" s="5">
        <f>2235907+540940</f>
        <v>2776847</v>
      </c>
      <c r="E142" s="17">
        <f>D142/C142*100</f>
        <v>113.64219357479027</v>
      </c>
      <c r="F142" s="2"/>
    </row>
    <row r="143" spans="1:6" x14ac:dyDescent="0.2">
      <c r="A143" s="19" t="s">
        <v>137</v>
      </c>
      <c r="B143" s="31"/>
      <c r="C143" s="31"/>
      <c r="D143" s="5">
        <f>96149+50000+105600</f>
        <v>251749</v>
      </c>
      <c r="E143" s="17"/>
      <c r="F143" s="2"/>
    </row>
    <row r="144" spans="1:6" x14ac:dyDescent="0.2">
      <c r="A144" s="29" t="s">
        <v>13</v>
      </c>
      <c r="B144" s="56">
        <f>SUM(B142)</f>
        <v>2443500</v>
      </c>
      <c r="C144" s="56">
        <f>SUM(C142)</f>
        <v>2443500</v>
      </c>
      <c r="D144" s="11">
        <f>SUM(D142:D143)</f>
        <v>3028596</v>
      </c>
      <c r="E144" s="10">
        <f>D144/C144*100</f>
        <v>123.9449969306323</v>
      </c>
      <c r="F144" s="2"/>
    </row>
    <row r="145" spans="1:6" x14ac:dyDescent="0.2">
      <c r="A145" s="13" t="s">
        <v>5</v>
      </c>
      <c r="B145" s="16">
        <f>B144+B141</f>
        <v>11493500</v>
      </c>
      <c r="C145" s="16">
        <f>C144+C141</f>
        <v>11493500</v>
      </c>
      <c r="D145" s="11">
        <f>D141+D144</f>
        <v>14794025</v>
      </c>
      <c r="E145" s="10">
        <f>D145/C145*100</f>
        <v>128.716448427372</v>
      </c>
      <c r="F145" s="2"/>
    </row>
    <row r="146" spans="1:6" x14ac:dyDescent="0.2">
      <c r="A146" s="13"/>
      <c r="B146" s="20"/>
      <c r="C146" s="20"/>
      <c r="D146" s="5"/>
      <c r="E146" s="5"/>
      <c r="F146" s="2"/>
    </row>
    <row r="147" spans="1:6" x14ac:dyDescent="0.2">
      <c r="A147" s="15" t="s">
        <v>4</v>
      </c>
      <c r="B147" s="16">
        <f>B132+B135+B145</f>
        <v>13440335</v>
      </c>
      <c r="C147" s="16">
        <f>C132+C135+C145</f>
        <v>13440335</v>
      </c>
      <c r="D147" s="11">
        <f>D132+D135+D145</f>
        <v>16579130</v>
      </c>
      <c r="E147" s="10">
        <f>D147/C147*100</f>
        <v>123.35354736321678</v>
      </c>
      <c r="F147" s="2"/>
    </row>
    <row r="148" spans="1:6" ht="13.5" thickBot="1" x14ac:dyDescent="0.25">
      <c r="A148" s="98"/>
      <c r="B148" s="98"/>
      <c r="C148" s="52"/>
      <c r="D148" s="63"/>
      <c r="E148" s="63"/>
      <c r="F148" s="2"/>
    </row>
    <row r="149" spans="1:6" ht="13.5" customHeight="1" thickBot="1" x14ac:dyDescent="0.25">
      <c r="A149" s="85" t="s">
        <v>136</v>
      </c>
      <c r="B149" s="85"/>
      <c r="C149" s="85"/>
      <c r="D149" s="85"/>
      <c r="E149" s="85"/>
      <c r="F149" s="2"/>
    </row>
    <row r="150" spans="1:6" x14ac:dyDescent="0.2">
      <c r="A150" s="21" t="s">
        <v>135</v>
      </c>
      <c r="B150" s="55">
        <v>23704078</v>
      </c>
      <c r="C150" s="55">
        <f>23704078+1020000</f>
        <v>24724078</v>
      </c>
      <c r="D150" s="5">
        <v>27241192</v>
      </c>
      <c r="E150" s="17">
        <f>D150/C150*100</f>
        <v>110.18082049409486</v>
      </c>
      <c r="F150" s="2"/>
    </row>
    <row r="151" spans="1:6" x14ac:dyDescent="0.2">
      <c r="A151" s="33" t="s">
        <v>134</v>
      </c>
      <c r="B151" s="55">
        <v>3200000</v>
      </c>
      <c r="C151" s="55">
        <v>3200000</v>
      </c>
      <c r="D151" s="5"/>
      <c r="E151" s="17">
        <f>D151/C151*100</f>
        <v>0</v>
      </c>
      <c r="F151" s="2"/>
    </row>
    <row r="152" spans="1:6" x14ac:dyDescent="0.2">
      <c r="A152" s="33" t="s">
        <v>36</v>
      </c>
      <c r="B152" s="55">
        <v>342855</v>
      </c>
      <c r="C152" s="55">
        <v>342855</v>
      </c>
      <c r="D152" s="5"/>
      <c r="E152" s="17">
        <f>D152/C152*100</f>
        <v>0</v>
      </c>
      <c r="F152" s="2"/>
    </row>
    <row r="153" spans="1:6" x14ac:dyDescent="0.2">
      <c r="A153" s="33" t="s">
        <v>133</v>
      </c>
      <c r="B153" s="55"/>
      <c r="C153" s="55"/>
      <c r="D153" s="5">
        <v>640000</v>
      </c>
      <c r="E153" s="17"/>
      <c r="F153" s="2"/>
    </row>
    <row r="154" spans="1:6" x14ac:dyDescent="0.2">
      <c r="A154" s="33" t="s">
        <v>45</v>
      </c>
      <c r="B154" s="55">
        <v>300000</v>
      </c>
      <c r="C154" s="55">
        <v>300000</v>
      </c>
      <c r="D154" s="5">
        <f>621822+89586</f>
        <v>711408</v>
      </c>
      <c r="E154" s="17">
        <f>D154/C154*100</f>
        <v>237.13600000000002</v>
      </c>
      <c r="F154" s="2"/>
    </row>
    <row r="155" spans="1:6" x14ac:dyDescent="0.2">
      <c r="A155" s="33" t="s">
        <v>44</v>
      </c>
      <c r="B155" s="55"/>
      <c r="C155" s="55"/>
      <c r="D155" s="5">
        <v>441320</v>
      </c>
      <c r="E155" s="17"/>
      <c r="F155" s="2"/>
    </row>
    <row r="156" spans="1:6" x14ac:dyDescent="0.2">
      <c r="A156" s="14" t="s">
        <v>3</v>
      </c>
      <c r="B156" s="48">
        <f>SUM(B150:B154)</f>
        <v>27546933</v>
      </c>
      <c r="C156" s="48">
        <f>SUM(C150:C154)</f>
        <v>28566933</v>
      </c>
      <c r="D156" s="11">
        <f>SUM(D150:D155)</f>
        <v>29033920</v>
      </c>
      <c r="E156" s="10">
        <f>D156/C156*100</f>
        <v>101.63471171371458</v>
      </c>
      <c r="F156" s="2"/>
    </row>
    <row r="157" spans="1:6" x14ac:dyDescent="0.2">
      <c r="A157" s="14"/>
      <c r="B157" s="48"/>
      <c r="C157" s="48"/>
      <c r="D157" s="5"/>
      <c r="E157" s="17"/>
      <c r="F157" s="2"/>
    </row>
    <row r="158" spans="1:6" x14ac:dyDescent="0.2">
      <c r="A158" s="21" t="s">
        <v>9</v>
      </c>
      <c r="B158" s="55">
        <v>6095149</v>
      </c>
      <c r="C158" s="55">
        <f>6095149+224400</f>
        <v>6319549</v>
      </c>
      <c r="D158" s="5">
        <v>6290070</v>
      </c>
      <c r="E158" s="17">
        <f>D158/C158*100</f>
        <v>99.533526838703196</v>
      </c>
      <c r="F158" s="2"/>
    </row>
    <row r="159" spans="1:6" x14ac:dyDescent="0.2">
      <c r="A159" s="21" t="s">
        <v>35</v>
      </c>
      <c r="B159" s="55">
        <v>77880</v>
      </c>
      <c r="C159" s="55">
        <v>77880</v>
      </c>
      <c r="D159" s="5">
        <v>187594</v>
      </c>
      <c r="E159" s="17">
        <f>D159/C159*100</f>
        <v>240.87570621468925</v>
      </c>
      <c r="F159" s="2"/>
    </row>
    <row r="160" spans="1:6" x14ac:dyDescent="0.2">
      <c r="A160" s="21" t="s">
        <v>77</v>
      </c>
      <c r="B160" s="55">
        <v>20000</v>
      </c>
      <c r="C160" s="55">
        <v>20000</v>
      </c>
      <c r="D160" s="5">
        <v>30606</v>
      </c>
      <c r="E160" s="17">
        <f>D160/C160*100</f>
        <v>153.03</v>
      </c>
      <c r="F160" s="2"/>
    </row>
    <row r="161" spans="1:6" x14ac:dyDescent="0.2">
      <c r="A161" s="21" t="s">
        <v>34</v>
      </c>
      <c r="B161" s="55">
        <v>53100</v>
      </c>
      <c r="C161" s="55">
        <v>53100</v>
      </c>
      <c r="D161" s="5">
        <v>113280</v>
      </c>
      <c r="E161" s="17">
        <f>D161/C161*100</f>
        <v>213.33333333333334</v>
      </c>
      <c r="F161" s="2"/>
    </row>
    <row r="162" spans="1:6" x14ac:dyDescent="0.2">
      <c r="A162" s="14" t="s">
        <v>2</v>
      </c>
      <c r="B162" s="48">
        <f>SUM(B158:B161)</f>
        <v>6246129</v>
      </c>
      <c r="C162" s="48">
        <f>SUM(C158:C161)</f>
        <v>6470529</v>
      </c>
      <c r="D162" s="11">
        <f>SUM(D158:D161)</f>
        <v>6621550</v>
      </c>
      <c r="E162" s="10">
        <f>D162/C162*100</f>
        <v>102.33398227563775</v>
      </c>
      <c r="F162" s="2"/>
    </row>
    <row r="163" spans="1:6" x14ac:dyDescent="0.2">
      <c r="A163" s="14"/>
      <c r="B163" s="48"/>
      <c r="C163" s="48"/>
      <c r="D163" s="5"/>
      <c r="E163" s="17"/>
      <c r="F163" s="2"/>
    </row>
    <row r="164" spans="1:6" x14ac:dyDescent="0.2">
      <c r="A164" s="19" t="s">
        <v>42</v>
      </c>
      <c r="B164" s="31">
        <v>10000</v>
      </c>
      <c r="C164" s="31">
        <v>10000</v>
      </c>
      <c r="D164" s="5">
        <v>9872</v>
      </c>
      <c r="E164" s="17">
        <f>D164/C164*100</f>
        <v>98.72</v>
      </c>
      <c r="F164" s="2"/>
    </row>
    <row r="165" spans="1:6" x14ac:dyDescent="0.2">
      <c r="A165" s="19" t="s">
        <v>31</v>
      </c>
      <c r="B165" s="20">
        <v>100000</v>
      </c>
      <c r="C165" s="20">
        <v>100000</v>
      </c>
      <c r="D165" s="5">
        <v>0</v>
      </c>
      <c r="E165" s="17">
        <f>D165/C165*100</f>
        <v>0</v>
      </c>
      <c r="F165" s="2"/>
    </row>
    <row r="166" spans="1:6" x14ac:dyDescent="0.2">
      <c r="A166" s="29" t="s">
        <v>30</v>
      </c>
      <c r="B166" s="16">
        <f>SUM(B164:B165)</f>
        <v>110000</v>
      </c>
      <c r="C166" s="16">
        <f>SUM(C164:C165)</f>
        <v>110000</v>
      </c>
      <c r="D166" s="11">
        <f>SUM(D164:D165)</f>
        <v>9872</v>
      </c>
      <c r="E166" s="10">
        <f>D166/C166*100</f>
        <v>8.9745454545454546</v>
      </c>
      <c r="F166" s="2"/>
    </row>
    <row r="167" spans="1:6" x14ac:dyDescent="0.2">
      <c r="A167" s="19" t="s">
        <v>29</v>
      </c>
      <c r="B167" s="20">
        <v>60000</v>
      </c>
      <c r="C167" s="20">
        <v>60000</v>
      </c>
      <c r="D167" s="5">
        <v>39032</v>
      </c>
      <c r="E167" s="17">
        <f>D167/C167*100</f>
        <v>65.053333333333327</v>
      </c>
      <c r="F167" s="2"/>
    </row>
    <row r="168" spans="1:6" x14ac:dyDescent="0.2">
      <c r="A168" s="19" t="s">
        <v>132</v>
      </c>
      <c r="B168" s="20">
        <v>10000</v>
      </c>
      <c r="C168" s="20">
        <v>10000</v>
      </c>
      <c r="D168" s="5">
        <v>25250</v>
      </c>
      <c r="E168" s="17">
        <f>D168/C168*100</f>
        <v>252.5</v>
      </c>
      <c r="F168" s="2"/>
    </row>
    <row r="169" spans="1:6" x14ac:dyDescent="0.2">
      <c r="A169" s="19" t="s">
        <v>102</v>
      </c>
      <c r="B169" s="20">
        <v>400000</v>
      </c>
      <c r="C169" s="20">
        <v>400000</v>
      </c>
      <c r="D169" s="5">
        <v>370142</v>
      </c>
      <c r="E169" s="17">
        <f>D169/C169*100</f>
        <v>92.535499999999999</v>
      </c>
      <c r="F169" s="2"/>
    </row>
    <row r="170" spans="1:6" x14ac:dyDescent="0.2">
      <c r="A170" s="19" t="s">
        <v>27</v>
      </c>
      <c r="B170" s="20">
        <v>2800000</v>
      </c>
      <c r="C170" s="20">
        <v>2800000</v>
      </c>
      <c r="D170" s="5">
        <v>2614279</v>
      </c>
      <c r="E170" s="17">
        <f>D170/C170*100</f>
        <v>93.367107142857137</v>
      </c>
      <c r="F170" s="2"/>
    </row>
    <row r="171" spans="1:6" x14ac:dyDescent="0.2">
      <c r="A171" s="29" t="s">
        <v>26</v>
      </c>
      <c r="B171" s="16">
        <f>SUM(B167:B170)</f>
        <v>3270000</v>
      </c>
      <c r="C171" s="16">
        <f>SUM(C167:C170)</f>
        <v>3270000</v>
      </c>
      <c r="D171" s="11">
        <f>SUM(D167:D170)</f>
        <v>3048703</v>
      </c>
      <c r="E171" s="10">
        <f>D171/C171*100</f>
        <v>93.232507645259943</v>
      </c>
      <c r="F171" s="2"/>
    </row>
    <row r="172" spans="1:6" x14ac:dyDescent="0.2">
      <c r="A172" s="41" t="s">
        <v>51</v>
      </c>
      <c r="B172" s="20">
        <v>270000</v>
      </c>
      <c r="C172" s="20">
        <v>270000</v>
      </c>
      <c r="D172" s="5">
        <v>288700</v>
      </c>
      <c r="E172" s="17">
        <f>D172/C172*100</f>
        <v>106.92592592592594</v>
      </c>
      <c r="F172" s="2"/>
    </row>
    <row r="173" spans="1:6" x14ac:dyDescent="0.2">
      <c r="A173" s="18" t="s">
        <v>24</v>
      </c>
      <c r="B173" s="16">
        <f>SUM(B172:B172)</f>
        <v>270000</v>
      </c>
      <c r="C173" s="16">
        <f>SUM(C172:C172)</f>
        <v>270000</v>
      </c>
      <c r="D173" s="11">
        <f>SUM(D172)</f>
        <v>288700</v>
      </c>
      <c r="E173" s="10">
        <f>D173/C173*100</f>
        <v>106.92592592592594</v>
      </c>
      <c r="F173" s="2"/>
    </row>
    <row r="174" spans="1:6" x14ac:dyDescent="0.2">
      <c r="A174" s="19" t="s">
        <v>22</v>
      </c>
      <c r="B174" s="20">
        <v>11760000</v>
      </c>
      <c r="C174" s="20">
        <v>11760000</v>
      </c>
      <c r="D174" s="5">
        <v>9882175</v>
      </c>
      <c r="E174" s="17">
        <f>D174/C174*100</f>
        <v>84.032100340136054</v>
      </c>
      <c r="F174" s="2"/>
    </row>
    <row r="175" spans="1:6" x14ac:dyDescent="0.2">
      <c r="A175" s="19" t="s">
        <v>21</v>
      </c>
      <c r="B175" s="20">
        <v>3400000</v>
      </c>
      <c r="C175" s="20">
        <v>3400000</v>
      </c>
      <c r="D175" s="5">
        <v>2026000</v>
      </c>
      <c r="E175" s="17">
        <f>D175/C175*100</f>
        <v>59.588235294117645</v>
      </c>
      <c r="F175" s="2"/>
    </row>
    <row r="176" spans="1:6" x14ac:dyDescent="0.2">
      <c r="A176" s="18" t="s">
        <v>20</v>
      </c>
      <c r="B176" s="16">
        <f>SUM(B174:B175)</f>
        <v>15160000</v>
      </c>
      <c r="C176" s="16">
        <f>SUM(C174:C175)</f>
        <v>15160000</v>
      </c>
      <c r="D176" s="11">
        <f>SUM(D174:D175)</f>
        <v>11908175</v>
      </c>
      <c r="E176" s="10">
        <f>D176/C176*100</f>
        <v>78.549967018469658</v>
      </c>
      <c r="F176" s="2"/>
    </row>
    <row r="177" spans="1:6" x14ac:dyDescent="0.2">
      <c r="A177" s="19" t="s">
        <v>19</v>
      </c>
      <c r="B177" s="20">
        <v>1000000</v>
      </c>
      <c r="C177" s="20">
        <v>1000000</v>
      </c>
      <c r="D177" s="5">
        <f>3629532</f>
        <v>3629532</v>
      </c>
      <c r="E177" s="17">
        <f>D177/C177*100</f>
        <v>362.95320000000004</v>
      </c>
      <c r="F177" s="2"/>
    </row>
    <row r="178" spans="1:6" x14ac:dyDescent="0.2">
      <c r="A178" s="19" t="s">
        <v>40</v>
      </c>
      <c r="B178" s="20">
        <v>600000</v>
      </c>
      <c r="C178" s="20">
        <v>600000</v>
      </c>
      <c r="D178" s="5">
        <v>759000</v>
      </c>
      <c r="E178" s="17">
        <f>D178/C178*100</f>
        <v>126.49999999999999</v>
      </c>
      <c r="F178" s="2"/>
    </row>
    <row r="179" spans="1:6" x14ac:dyDescent="0.2">
      <c r="A179" s="19" t="s">
        <v>17</v>
      </c>
      <c r="B179" s="20">
        <v>500000</v>
      </c>
      <c r="C179" s="20">
        <v>500000</v>
      </c>
      <c r="D179" s="5">
        <f>2112672+28575</f>
        <v>2141247</v>
      </c>
      <c r="E179" s="17">
        <f>D179/C179*100</f>
        <v>428.24939999999998</v>
      </c>
      <c r="F179" s="2"/>
    </row>
    <row r="180" spans="1:6" x14ac:dyDescent="0.2">
      <c r="A180" s="18" t="s">
        <v>6</v>
      </c>
      <c r="B180" s="16">
        <f>SUM(B177:B179)</f>
        <v>2100000</v>
      </c>
      <c r="C180" s="16">
        <f>SUM(C177:C179)</f>
        <v>2100000</v>
      </c>
      <c r="D180" s="11">
        <f>SUM(D177:D179)</f>
        <v>6529779</v>
      </c>
      <c r="E180" s="10">
        <f>D180/C180*100</f>
        <v>310.94185714285715</v>
      </c>
      <c r="F180" s="2"/>
    </row>
    <row r="181" spans="1:6" x14ac:dyDescent="0.2">
      <c r="A181" s="37" t="s">
        <v>80</v>
      </c>
      <c r="B181" s="20">
        <v>30000</v>
      </c>
      <c r="C181" s="20">
        <v>30000</v>
      </c>
      <c r="D181" s="5">
        <v>0</v>
      </c>
      <c r="E181" s="17">
        <f>D181/C181*100</f>
        <v>0</v>
      </c>
      <c r="F181" s="2"/>
    </row>
    <row r="182" spans="1:6" x14ac:dyDescent="0.2">
      <c r="A182" s="37" t="s">
        <v>131</v>
      </c>
      <c r="B182" s="20">
        <v>800000</v>
      </c>
      <c r="C182" s="20">
        <v>800000</v>
      </c>
      <c r="D182" s="5">
        <v>610613</v>
      </c>
      <c r="E182" s="17">
        <f>D182/C182*100</f>
        <v>76.326625000000007</v>
      </c>
      <c r="F182" s="2"/>
    </row>
    <row r="183" spans="1:6" x14ac:dyDescent="0.2">
      <c r="A183" s="19" t="s">
        <v>14</v>
      </c>
      <c r="B183" s="20">
        <f>(B164+B165+B167+B168+B169+B170+B172+B174+B175+B177+B178+B179)*0.27</f>
        <v>5645700</v>
      </c>
      <c r="C183" s="20">
        <f>(C164+C165+C167+C168+C169+C170+C172+C174+C175+C177+C178+C179)*0.27</f>
        <v>5645700</v>
      </c>
      <c r="D183" s="5">
        <f>5662073+6816</f>
        <v>5668889</v>
      </c>
      <c r="E183" s="17">
        <f>D183/C183*100</f>
        <v>100.41073737534761</v>
      </c>
      <c r="F183" s="2"/>
    </row>
    <row r="184" spans="1:6" x14ac:dyDescent="0.2">
      <c r="A184" s="19" t="s">
        <v>109</v>
      </c>
      <c r="B184" s="20"/>
      <c r="C184" s="20"/>
      <c r="D184" s="5">
        <v>368576</v>
      </c>
      <c r="E184" s="17"/>
      <c r="F184" s="2"/>
    </row>
    <row r="185" spans="1:6" x14ac:dyDescent="0.2">
      <c r="A185" s="19" t="s">
        <v>88</v>
      </c>
      <c r="B185" s="20"/>
      <c r="C185" s="20"/>
      <c r="D185" s="5">
        <v>69080</v>
      </c>
      <c r="E185" s="17"/>
      <c r="F185" s="2"/>
    </row>
    <row r="186" spans="1:6" x14ac:dyDescent="0.2">
      <c r="A186" s="29" t="s">
        <v>13</v>
      </c>
      <c r="B186" s="16">
        <f>SUM(B181:B183)</f>
        <v>6475700</v>
      </c>
      <c r="C186" s="16">
        <f>SUM(C181:C183)</f>
        <v>6475700</v>
      </c>
      <c r="D186" s="5">
        <f>SUM(D181:D185)</f>
        <v>6717158</v>
      </c>
      <c r="E186" s="17">
        <f>D186/C186*100</f>
        <v>103.72867798075885</v>
      </c>
      <c r="F186" s="2"/>
    </row>
    <row r="187" spans="1:6" x14ac:dyDescent="0.2">
      <c r="A187" s="13" t="s">
        <v>5</v>
      </c>
      <c r="B187" s="16">
        <f>B166+B171+B173+B176+B180+B186</f>
        <v>27385700</v>
      </c>
      <c r="C187" s="16">
        <f>C166+C171+C173+C176+C180+C186</f>
        <v>27385700</v>
      </c>
      <c r="D187" s="11">
        <f>D166+D171+D176+D180+D186+D173</f>
        <v>28502387</v>
      </c>
      <c r="E187" s="10">
        <f>D187/C187*100</f>
        <v>104.07762810517897</v>
      </c>
      <c r="F187" s="2"/>
    </row>
    <row r="188" spans="1:6" x14ac:dyDescent="0.2">
      <c r="A188" s="13"/>
      <c r="B188" s="16"/>
      <c r="C188" s="16"/>
      <c r="D188" s="5"/>
      <c r="E188" s="17"/>
      <c r="F188" s="2"/>
    </row>
    <row r="189" spans="1:6" x14ac:dyDescent="0.2">
      <c r="A189" s="15" t="s">
        <v>4</v>
      </c>
      <c r="B189" s="94">
        <f>B156+B162+B187</f>
        <v>61178762</v>
      </c>
      <c r="C189" s="94">
        <f>C156+C162+C187</f>
        <v>62423162</v>
      </c>
      <c r="D189" s="11">
        <f>D156+D162+D187</f>
        <v>64157857</v>
      </c>
      <c r="E189" s="10">
        <f>D189/C189*100</f>
        <v>102.7789284368517</v>
      </c>
      <c r="F189" s="2"/>
    </row>
    <row r="190" spans="1:6" x14ac:dyDescent="0.2">
      <c r="A190" s="15"/>
      <c r="B190" s="15"/>
      <c r="C190" s="94"/>
      <c r="D190" s="5"/>
      <c r="E190" s="17"/>
      <c r="F190" s="2"/>
    </row>
    <row r="191" spans="1:6" ht="13.5" thickBot="1" x14ac:dyDescent="0.25">
      <c r="A191" s="27"/>
      <c r="B191" s="27"/>
      <c r="C191" s="97"/>
      <c r="D191" s="25"/>
      <c r="E191" s="25"/>
      <c r="F191" s="2"/>
    </row>
    <row r="192" spans="1:6" ht="15.75" customHeight="1" thickBot="1" x14ac:dyDescent="0.25">
      <c r="A192" s="85" t="s">
        <v>130</v>
      </c>
      <c r="B192" s="85"/>
      <c r="C192" s="85"/>
      <c r="D192" s="85"/>
      <c r="E192" s="85"/>
      <c r="F192" s="2"/>
    </row>
    <row r="193" spans="1:6" x14ac:dyDescent="0.2">
      <c r="A193" s="96" t="s">
        <v>129</v>
      </c>
      <c r="B193" s="15"/>
      <c r="C193" s="94"/>
      <c r="D193" s="5">
        <v>15591</v>
      </c>
      <c r="E193" s="17"/>
      <c r="F193" s="2"/>
    </row>
    <row r="194" spans="1:6" x14ac:dyDescent="0.2">
      <c r="A194" s="19" t="s">
        <v>128</v>
      </c>
      <c r="B194" s="19"/>
      <c r="C194" s="95">
        <v>1000000</v>
      </c>
      <c r="D194" s="5">
        <v>787402</v>
      </c>
      <c r="E194" s="17">
        <f>D194/C194*100</f>
        <v>78.740200000000002</v>
      </c>
      <c r="F194" s="2"/>
    </row>
    <row r="195" spans="1:6" x14ac:dyDescent="0.2">
      <c r="A195" s="18" t="s">
        <v>6</v>
      </c>
      <c r="B195" s="18"/>
      <c r="C195" s="94">
        <f>C194</f>
        <v>1000000</v>
      </c>
      <c r="D195" s="11">
        <f>D193+D194</f>
        <v>802993</v>
      </c>
      <c r="E195" s="10">
        <f>D195/C195*100</f>
        <v>80.299300000000002</v>
      </c>
      <c r="F195" s="2"/>
    </row>
    <row r="196" spans="1:6" x14ac:dyDescent="0.2">
      <c r="A196" s="19" t="s">
        <v>14</v>
      </c>
      <c r="B196" s="18"/>
      <c r="C196" s="94"/>
      <c r="D196" s="5">
        <v>216807</v>
      </c>
      <c r="E196" s="10"/>
      <c r="F196" s="2"/>
    </row>
    <row r="197" spans="1:6" x14ac:dyDescent="0.2">
      <c r="A197" s="29" t="s">
        <v>13</v>
      </c>
      <c r="B197" s="15"/>
      <c r="C197" s="94"/>
      <c r="D197" s="11">
        <f>D196</f>
        <v>216807</v>
      </c>
      <c r="E197" s="10"/>
      <c r="F197" s="2"/>
    </row>
    <row r="198" spans="1:6" x14ac:dyDescent="0.2">
      <c r="A198" s="29"/>
      <c r="B198" s="15"/>
      <c r="C198" s="94"/>
      <c r="D198" s="5"/>
      <c r="E198" s="10"/>
      <c r="F198" s="2"/>
    </row>
    <row r="199" spans="1:6" x14ac:dyDescent="0.2">
      <c r="A199" s="13" t="s">
        <v>5</v>
      </c>
      <c r="B199" s="13"/>
      <c r="C199" s="94">
        <f>C195</f>
        <v>1000000</v>
      </c>
      <c r="D199" s="11">
        <f>D195+D197</f>
        <v>1019800</v>
      </c>
      <c r="E199" s="10">
        <f>D199/C199*100</f>
        <v>101.98</v>
      </c>
      <c r="F199" s="2"/>
    </row>
    <row r="200" spans="1:6" x14ac:dyDescent="0.2">
      <c r="A200" s="15"/>
      <c r="B200" s="15"/>
      <c r="C200" s="94"/>
      <c r="D200" s="11"/>
      <c r="E200" s="10"/>
      <c r="F200" s="2"/>
    </row>
    <row r="201" spans="1:6" x14ac:dyDescent="0.2">
      <c r="A201" s="15" t="s">
        <v>4</v>
      </c>
      <c r="B201" s="15"/>
      <c r="C201" s="94">
        <f>C199</f>
        <v>1000000</v>
      </c>
      <c r="D201" s="11">
        <f>D199</f>
        <v>1019800</v>
      </c>
      <c r="E201" s="10">
        <f>D201/C201*100</f>
        <v>101.98</v>
      </c>
      <c r="F201" s="2"/>
    </row>
    <row r="202" spans="1:6" x14ac:dyDescent="0.2">
      <c r="A202" s="15"/>
      <c r="B202" s="15"/>
      <c r="C202" s="94"/>
      <c r="D202" s="11"/>
      <c r="E202" s="5"/>
      <c r="F202" s="2"/>
    </row>
    <row r="203" spans="1:6" x14ac:dyDescent="0.2">
      <c r="A203" s="86" t="s">
        <v>108</v>
      </c>
      <c r="B203" s="86"/>
      <c r="C203" s="86"/>
      <c r="D203" s="86"/>
      <c r="E203" s="86"/>
      <c r="F203" s="2"/>
    </row>
    <row r="204" spans="1:6" ht="13.5" thickBot="1" x14ac:dyDescent="0.25">
      <c r="A204" s="27"/>
      <c r="B204" s="27"/>
      <c r="C204" s="52"/>
      <c r="D204" s="25"/>
      <c r="E204" s="25"/>
      <c r="F204" s="2"/>
    </row>
    <row r="205" spans="1:6" ht="15" customHeight="1" thickBot="1" x14ac:dyDescent="0.25">
      <c r="A205" s="85" t="s">
        <v>107</v>
      </c>
      <c r="B205" s="85"/>
      <c r="C205" s="85"/>
      <c r="D205" s="85"/>
      <c r="E205" s="85"/>
      <c r="F205" s="2"/>
    </row>
    <row r="206" spans="1:6" x14ac:dyDescent="0.2">
      <c r="A206" s="33" t="s">
        <v>127</v>
      </c>
      <c r="B206" s="31">
        <v>15501640</v>
      </c>
      <c r="C206" s="31">
        <f>15501640+246840</f>
        <v>15748480</v>
      </c>
      <c r="D206" s="61">
        <v>15877783</v>
      </c>
      <c r="E206" s="17">
        <f>D206/C206*100</f>
        <v>100.82105066647702</v>
      </c>
      <c r="F206" s="2"/>
    </row>
    <row r="207" spans="1:6" x14ac:dyDescent="0.2">
      <c r="A207" s="33" t="s">
        <v>126</v>
      </c>
      <c r="B207" s="5"/>
      <c r="C207" s="31">
        <f>1147500+573750-573750</f>
        <v>1147500</v>
      </c>
      <c r="D207" s="61">
        <v>1147504</v>
      </c>
      <c r="E207" s="17">
        <f>D207/C207*100</f>
        <v>100.00034858387798</v>
      </c>
      <c r="F207" s="2"/>
    </row>
    <row r="208" spans="1:6" x14ac:dyDescent="0.2">
      <c r="A208" s="33" t="s">
        <v>105</v>
      </c>
      <c r="B208" s="56"/>
      <c r="C208" s="31">
        <v>149009</v>
      </c>
      <c r="D208" s="61"/>
      <c r="E208" s="17">
        <f>D208/C208*100</f>
        <v>0</v>
      </c>
      <c r="F208" s="2"/>
    </row>
    <row r="209" spans="1:6" x14ac:dyDescent="0.2">
      <c r="A209" s="33" t="s">
        <v>36</v>
      </c>
      <c r="B209" s="5"/>
      <c r="C209" s="31">
        <v>25000</v>
      </c>
      <c r="D209" s="61">
        <f>9022+25000</f>
        <v>34022</v>
      </c>
      <c r="E209" s="17">
        <f>D209/C209*100</f>
        <v>136.08800000000002</v>
      </c>
      <c r="F209" s="2"/>
    </row>
    <row r="210" spans="1:6" x14ac:dyDescent="0.2">
      <c r="A210" s="33" t="s">
        <v>44</v>
      </c>
      <c r="B210" s="5"/>
      <c r="C210" s="31">
        <v>175292</v>
      </c>
      <c r="D210" s="61">
        <v>195865</v>
      </c>
      <c r="E210" s="17">
        <f>D210/C210*100</f>
        <v>111.73641695000343</v>
      </c>
      <c r="F210" s="2"/>
    </row>
    <row r="211" spans="1:6" x14ac:dyDescent="0.2">
      <c r="A211" s="14" t="s">
        <v>3</v>
      </c>
      <c r="B211" s="56">
        <f>SUM(B206:B206)</f>
        <v>15501640</v>
      </c>
      <c r="C211" s="56">
        <f>SUM(C206:C210)</f>
        <v>17245281</v>
      </c>
      <c r="D211" s="60">
        <f>SUM(D206:D210)</f>
        <v>17255174</v>
      </c>
      <c r="E211" s="10">
        <f>D211/C211*100</f>
        <v>100.05736641809433</v>
      </c>
      <c r="F211" s="2"/>
    </row>
    <row r="212" spans="1:6" x14ac:dyDescent="0.2">
      <c r="A212" s="14"/>
      <c r="B212" s="5"/>
      <c r="C212" s="56"/>
      <c r="D212" s="61"/>
      <c r="E212" s="17"/>
      <c r="F212" s="2"/>
    </row>
    <row r="213" spans="1:6" x14ac:dyDescent="0.2">
      <c r="A213" s="21" t="s">
        <v>9</v>
      </c>
      <c r="B213" s="31">
        <v>3468094</v>
      </c>
      <c r="C213" s="31">
        <f>3468094+34708+54305+252456+126228-126228</f>
        <v>3809563</v>
      </c>
      <c r="D213" s="61">
        <v>3485528</v>
      </c>
      <c r="E213" s="17">
        <f>D213/C213*100</f>
        <v>91.494168753738947</v>
      </c>
      <c r="F213" s="2"/>
    </row>
    <row r="214" spans="1:6" x14ac:dyDescent="0.2">
      <c r="A214" s="21" t="s">
        <v>35</v>
      </c>
      <c r="B214" s="5"/>
      <c r="C214" s="31">
        <v>31106</v>
      </c>
      <c r="D214" s="61">
        <v>166022</v>
      </c>
      <c r="E214" s="17">
        <f>D214/C214*100</f>
        <v>533.72982704301421</v>
      </c>
      <c r="F214" s="2"/>
    </row>
    <row r="215" spans="1:6" x14ac:dyDescent="0.2">
      <c r="A215" s="21" t="s">
        <v>34</v>
      </c>
      <c r="B215" s="5"/>
      <c r="C215" s="31">
        <v>30800</v>
      </c>
      <c r="D215" s="61">
        <v>30800</v>
      </c>
      <c r="E215" s="17">
        <f>D215/C215*100</f>
        <v>100</v>
      </c>
      <c r="F215" s="2"/>
    </row>
    <row r="216" spans="1:6" x14ac:dyDescent="0.2">
      <c r="A216" s="14" t="s">
        <v>2</v>
      </c>
      <c r="B216" s="56">
        <f>SUM(B213:B213)</f>
        <v>3468094</v>
      </c>
      <c r="C216" s="56">
        <f>SUM(C213:C215)</f>
        <v>3871469</v>
      </c>
      <c r="D216" s="60">
        <f>SUM(D213:D215)</f>
        <v>3682350</v>
      </c>
      <c r="E216" s="10">
        <f>D216/C216*100</f>
        <v>95.11505839256364</v>
      </c>
      <c r="F216" s="2"/>
    </row>
    <row r="217" spans="1:6" x14ac:dyDescent="0.2">
      <c r="A217" s="11"/>
      <c r="B217" s="5"/>
      <c r="C217" s="5"/>
      <c r="D217" s="61"/>
      <c r="E217" s="17"/>
      <c r="F217" s="2"/>
    </row>
    <row r="218" spans="1:6" x14ac:dyDescent="0.2">
      <c r="A218" s="5" t="s">
        <v>29</v>
      </c>
      <c r="B218" s="5"/>
      <c r="C218" s="5"/>
      <c r="D218" s="61">
        <v>96892</v>
      </c>
      <c r="E218" s="17"/>
      <c r="F218" s="2"/>
    </row>
    <row r="219" spans="1:6" x14ac:dyDescent="0.2">
      <c r="A219" s="19" t="s">
        <v>27</v>
      </c>
      <c r="B219" s="20">
        <v>100000</v>
      </c>
      <c r="C219" s="20">
        <v>100000</v>
      </c>
      <c r="D219" s="61">
        <v>114301</v>
      </c>
      <c r="E219" s="17">
        <f>D219/C219*100</f>
        <v>114.301</v>
      </c>
      <c r="F219" s="2"/>
    </row>
    <row r="220" spans="1:6" x14ac:dyDescent="0.2">
      <c r="A220" s="18" t="s">
        <v>125</v>
      </c>
      <c r="B220" s="16">
        <f>SUM(B219)</f>
        <v>100000</v>
      </c>
      <c r="C220" s="16">
        <f>SUM(C219)</f>
        <v>100000</v>
      </c>
      <c r="D220" s="16">
        <f>SUM(D218:D219)</f>
        <v>211193</v>
      </c>
      <c r="E220" s="10">
        <f>D220/C220*100</f>
        <v>211.19300000000001</v>
      </c>
      <c r="F220" s="2"/>
    </row>
    <row r="221" spans="1:6" x14ac:dyDescent="0.2">
      <c r="A221" s="37" t="s">
        <v>124</v>
      </c>
      <c r="B221" s="16"/>
      <c r="C221" s="16"/>
      <c r="D221" s="20">
        <v>105000</v>
      </c>
      <c r="E221" s="17"/>
      <c r="F221" s="2"/>
    </row>
    <row r="222" spans="1:6" x14ac:dyDescent="0.2">
      <c r="A222" s="19" t="s">
        <v>123</v>
      </c>
      <c r="B222" s="20">
        <v>300000</v>
      </c>
      <c r="C222" s="20">
        <f>300000+2700000</f>
        <v>3000000</v>
      </c>
      <c r="D222" s="61">
        <f>1242520</f>
        <v>1242520</v>
      </c>
      <c r="E222" s="17">
        <f>D222/C222*100</f>
        <v>41.417333333333332</v>
      </c>
      <c r="F222" s="2"/>
    </row>
    <row r="223" spans="1:6" x14ac:dyDescent="0.2">
      <c r="A223" s="19" t="s">
        <v>122</v>
      </c>
      <c r="B223" s="20">
        <f>2700000+100000</f>
        <v>2800000</v>
      </c>
      <c r="C223" s="20">
        <f>2700000+100000+165000+63000-510</f>
        <v>3027490</v>
      </c>
      <c r="D223" s="61">
        <v>2346706</v>
      </c>
      <c r="E223" s="17">
        <f>D223/C223*100</f>
        <v>77.513253553273515</v>
      </c>
      <c r="F223" s="2"/>
    </row>
    <row r="224" spans="1:6" x14ac:dyDescent="0.2">
      <c r="A224" s="18" t="s">
        <v>6</v>
      </c>
      <c r="B224" s="56">
        <f>SUM(B219:B223)</f>
        <v>3300000</v>
      </c>
      <c r="C224" s="56">
        <f>SUM(C222:C223)</f>
        <v>6027490</v>
      </c>
      <c r="D224" s="60">
        <f>SUM(D221:D223)</f>
        <v>3694226</v>
      </c>
      <c r="E224" s="10">
        <f>D224/C224*100</f>
        <v>61.289624702819914</v>
      </c>
      <c r="F224" s="2"/>
    </row>
    <row r="225" spans="1:6" x14ac:dyDescent="0.2">
      <c r="A225" s="37" t="s">
        <v>121</v>
      </c>
      <c r="B225" s="56"/>
      <c r="C225" s="56"/>
      <c r="D225" s="61">
        <v>55000</v>
      </c>
      <c r="E225" s="17"/>
      <c r="F225" s="2"/>
    </row>
    <row r="226" spans="1:6" x14ac:dyDescent="0.2">
      <c r="A226" s="19" t="s">
        <v>14</v>
      </c>
      <c r="B226" s="20">
        <f>(B222+B219)*0.27+100000</f>
        <v>208000</v>
      </c>
      <c r="C226" s="20">
        <f>(C222+C219)*0.27+100000-2700000*0.27+730000+45000-212490+17000</f>
        <v>787510</v>
      </c>
      <c r="D226" s="61">
        <v>162951</v>
      </c>
      <c r="E226" s="17">
        <f>D226/C226*100</f>
        <v>20.691927721552741</v>
      </c>
      <c r="F226" s="2"/>
    </row>
    <row r="227" spans="1:6" x14ac:dyDescent="0.2">
      <c r="A227" s="19" t="s">
        <v>99</v>
      </c>
      <c r="B227" s="5">
        <v>1099449</v>
      </c>
      <c r="C227" s="5">
        <v>1312449</v>
      </c>
      <c r="D227" s="61"/>
      <c r="E227" s="17">
        <f>D227/C227*100</f>
        <v>0</v>
      </c>
      <c r="F227" s="2"/>
    </row>
    <row r="228" spans="1:6" x14ac:dyDescent="0.2">
      <c r="A228" s="93" t="s">
        <v>120</v>
      </c>
      <c r="B228" s="20">
        <v>10523000</v>
      </c>
      <c r="C228" s="20">
        <v>10523000</v>
      </c>
      <c r="D228" s="61">
        <f>9740144</f>
        <v>9740144</v>
      </c>
      <c r="E228" s="17">
        <f>D228/C228*100</f>
        <v>92.56052456523804</v>
      </c>
      <c r="F228" s="2"/>
    </row>
    <row r="229" spans="1:6" x14ac:dyDescent="0.2">
      <c r="A229" s="93" t="s">
        <v>119</v>
      </c>
      <c r="B229" s="20">
        <v>1500000</v>
      </c>
      <c r="C229" s="20">
        <v>1080000</v>
      </c>
      <c r="D229" s="61">
        <v>1080000</v>
      </c>
      <c r="E229" s="17">
        <f>D229/C229*100</f>
        <v>100</v>
      </c>
      <c r="F229" s="2"/>
    </row>
    <row r="230" spans="1:6" x14ac:dyDescent="0.2">
      <c r="A230" s="93" t="s">
        <v>118</v>
      </c>
      <c r="B230" s="20"/>
      <c r="C230" s="20"/>
      <c r="D230" s="61">
        <v>199513</v>
      </c>
      <c r="E230" s="17"/>
      <c r="F230" s="2"/>
    </row>
    <row r="231" spans="1:6" x14ac:dyDescent="0.2">
      <c r="A231" s="19" t="s">
        <v>98</v>
      </c>
      <c r="B231" s="16"/>
      <c r="C231" s="20">
        <v>1500000</v>
      </c>
      <c r="D231" s="61">
        <f>1030049+10000+375441</f>
        <v>1415490</v>
      </c>
      <c r="E231" s="17">
        <f>D231/C231*100</f>
        <v>94.366</v>
      </c>
      <c r="F231" s="2"/>
    </row>
    <row r="232" spans="1:6" x14ac:dyDescent="0.2">
      <c r="A232" s="29" t="s">
        <v>13</v>
      </c>
      <c r="B232" s="40">
        <f>SUM(B226:B231)</f>
        <v>13330449</v>
      </c>
      <c r="C232" s="16">
        <f>SUM(C226:C231)</f>
        <v>15202959</v>
      </c>
      <c r="D232" s="60">
        <f>D225+D226+D227+D228+D229+D230+D231</f>
        <v>12653098</v>
      </c>
      <c r="E232" s="10">
        <f>D232/C232*100</f>
        <v>83.227863733632375</v>
      </c>
      <c r="F232" s="2"/>
    </row>
    <row r="233" spans="1:6" x14ac:dyDescent="0.2">
      <c r="A233" s="29"/>
      <c r="B233" s="84"/>
      <c r="C233" s="40"/>
      <c r="D233" s="61"/>
      <c r="E233" s="17"/>
      <c r="F233" s="2"/>
    </row>
    <row r="234" spans="1:6" x14ac:dyDescent="0.2">
      <c r="A234" s="13" t="s">
        <v>5</v>
      </c>
      <c r="B234" s="84">
        <f>B224+B231</f>
        <v>3300000</v>
      </c>
      <c r="C234" s="84">
        <f>C232+C224+C220</f>
        <v>21330449</v>
      </c>
      <c r="D234" s="60">
        <f>D220+D224+D232</f>
        <v>16558517</v>
      </c>
      <c r="E234" s="10">
        <f>D234/C234*100</f>
        <v>77.628544059246011</v>
      </c>
      <c r="F234" s="2"/>
    </row>
    <row r="235" spans="1:6" x14ac:dyDescent="0.2">
      <c r="A235" s="13"/>
      <c r="B235" s="84"/>
      <c r="C235" s="84"/>
      <c r="D235" s="61"/>
      <c r="E235" s="17"/>
      <c r="F235" s="2"/>
    </row>
    <row r="236" spans="1:6" x14ac:dyDescent="0.2">
      <c r="A236" s="15" t="s">
        <v>4</v>
      </c>
      <c r="B236" s="15">
        <f>B211+B216+B234</f>
        <v>22269734</v>
      </c>
      <c r="C236" s="84">
        <f>C234+C211+C216</f>
        <v>42447199</v>
      </c>
      <c r="D236" s="60">
        <f>D211+D216+D232</f>
        <v>33590622</v>
      </c>
      <c r="E236" s="17">
        <f>D236/C236*100</f>
        <v>79.135073200000789</v>
      </c>
      <c r="F236" s="2"/>
    </row>
    <row r="237" spans="1:6" x14ac:dyDescent="0.2">
      <c r="A237" s="15"/>
      <c r="B237" s="15"/>
      <c r="C237" s="84"/>
      <c r="D237" s="61"/>
      <c r="E237" s="17"/>
      <c r="F237" s="2"/>
    </row>
    <row r="238" spans="1:6" x14ac:dyDescent="0.2">
      <c r="A238" s="14" t="s">
        <v>3</v>
      </c>
      <c r="B238" s="40">
        <f>B31+B90+B104+B132+B156+B211</f>
        <v>64878623</v>
      </c>
      <c r="C238" s="40">
        <f>C31+C90+C132+C211+C156+C104</f>
        <v>91435489</v>
      </c>
      <c r="D238" s="60">
        <f>D31+D104+D132+D156+D211</f>
        <v>89442350</v>
      </c>
      <c r="E238" s="10">
        <f>D238/C238*100</f>
        <v>97.820169146795948</v>
      </c>
      <c r="F238" s="2"/>
    </row>
    <row r="239" spans="1:6" x14ac:dyDescent="0.2">
      <c r="A239" s="14" t="s">
        <v>2</v>
      </c>
      <c r="B239" s="40">
        <f>B34+B94+B110+B135+B162+B216</f>
        <v>12642506</v>
      </c>
      <c r="C239" s="40">
        <f>C34+C94+C135+C216+C162+C110</f>
        <v>15887536</v>
      </c>
      <c r="D239" s="60">
        <f>D34+D94+D110+D135+D162+D216</f>
        <v>15480822</v>
      </c>
      <c r="E239" s="10">
        <f>D239/C239*100</f>
        <v>97.440043566227004</v>
      </c>
      <c r="F239" s="2"/>
    </row>
    <row r="240" spans="1:6" x14ac:dyDescent="0.2">
      <c r="A240" s="13" t="s">
        <v>1</v>
      </c>
      <c r="B240" s="40">
        <f>B16+B25+B54+B70+B82++B145+B187+B234</f>
        <v>62519811.090000004</v>
      </c>
      <c r="C240" s="40">
        <f>C16+C25+C54+C70+C145+C234+C187+C84+C123+C199</f>
        <v>87429631.090000004</v>
      </c>
      <c r="D240" s="60">
        <f>D25+D54+D70+D82+D123+D145+D187+D199+D234</f>
        <v>85998523</v>
      </c>
      <c r="E240" s="10">
        <f>D240/C240*100</f>
        <v>98.363131501119085</v>
      </c>
      <c r="F240" s="2"/>
    </row>
    <row r="241" spans="1:6" x14ac:dyDescent="0.2">
      <c r="A241" s="13" t="s">
        <v>117</v>
      </c>
      <c r="B241" s="40">
        <f>'[2]4_ melléklet'!B7</f>
        <v>82215760</v>
      </c>
      <c r="C241" s="40">
        <f>'[2]4_ melléklet'!C7</f>
        <v>87457221</v>
      </c>
      <c r="D241" s="60">
        <f>'[2]4_ melléklet'!D11</f>
        <v>81840802</v>
      </c>
      <c r="E241" s="10">
        <f>D241/C241*100</f>
        <v>93.57809574123101</v>
      </c>
      <c r="F241" s="2"/>
    </row>
    <row r="242" spans="1:6" ht="22.5" x14ac:dyDescent="0.2">
      <c r="A242" s="9" t="s">
        <v>116</v>
      </c>
      <c r="B242" s="71">
        <f>SUM(B238:B241)</f>
        <v>222256700.09</v>
      </c>
      <c r="C242" s="71">
        <f>SUM(C238:C241)</f>
        <v>282209877.09000003</v>
      </c>
      <c r="D242" s="92">
        <f>D238+D239+D240+D241</f>
        <v>272762497</v>
      </c>
      <c r="E242" s="6">
        <f>D242/C242*100</f>
        <v>96.652356683112416</v>
      </c>
      <c r="F242" s="2"/>
    </row>
    <row r="243" spans="1:6" x14ac:dyDescent="0.2">
      <c r="A243" s="9"/>
      <c r="B243" s="9"/>
      <c r="C243" s="40"/>
      <c r="D243" s="5"/>
      <c r="E243" s="5"/>
      <c r="F243" s="2"/>
    </row>
    <row r="244" spans="1:6" x14ac:dyDescent="0.2">
      <c r="A244" s="9"/>
      <c r="B244" s="9"/>
      <c r="C244" s="40"/>
      <c r="D244" s="5"/>
      <c r="E244" s="5"/>
      <c r="F244" s="2"/>
    </row>
    <row r="245" spans="1:6" x14ac:dyDescent="0.2">
      <c r="A245" s="91"/>
      <c r="B245" s="91"/>
      <c r="C245" s="89"/>
      <c r="D245" s="4"/>
      <c r="E245" s="4"/>
      <c r="F245" s="2"/>
    </row>
    <row r="246" spans="1:6" x14ac:dyDescent="0.2">
      <c r="A246" s="86" t="s">
        <v>115</v>
      </c>
      <c r="B246" s="86"/>
      <c r="C246" s="86"/>
      <c r="D246" s="86"/>
      <c r="E246" s="86"/>
      <c r="F246" s="2"/>
    </row>
    <row r="247" spans="1:6" x14ac:dyDescent="0.2">
      <c r="A247" s="90"/>
      <c r="B247" s="90"/>
      <c r="C247" s="89"/>
      <c r="D247" s="4"/>
      <c r="E247" s="4"/>
      <c r="F247" s="2"/>
    </row>
    <row r="248" spans="1:6" x14ac:dyDescent="0.2">
      <c r="A248" s="67" t="s">
        <v>57</v>
      </c>
      <c r="B248" s="67"/>
      <c r="C248" s="67"/>
      <c r="D248" s="67"/>
      <c r="E248" s="67"/>
      <c r="F248" s="2"/>
    </row>
    <row r="249" spans="1:6" ht="13.5" thickBot="1" x14ac:dyDescent="0.25">
      <c r="A249" s="88"/>
      <c r="B249" s="88"/>
      <c r="C249" s="52"/>
      <c r="D249" s="25"/>
      <c r="E249" s="25"/>
      <c r="F249" s="2"/>
    </row>
    <row r="250" spans="1:6" ht="13.5" thickBot="1" x14ac:dyDescent="0.25">
      <c r="A250" s="54" t="s">
        <v>114</v>
      </c>
      <c r="B250" s="54"/>
      <c r="C250" s="54"/>
      <c r="D250" s="54"/>
      <c r="E250" s="54"/>
      <c r="F250" s="2"/>
    </row>
    <row r="251" spans="1:6" x14ac:dyDescent="0.2">
      <c r="A251" s="21" t="s">
        <v>113</v>
      </c>
      <c r="B251" s="55">
        <v>861071</v>
      </c>
      <c r="C251" s="55">
        <f>861071</f>
        <v>861071</v>
      </c>
      <c r="D251" s="5">
        <f>705784+47606</f>
        <v>753390</v>
      </c>
      <c r="E251" s="17">
        <f>D251/C251*100</f>
        <v>87.494527164426628</v>
      </c>
      <c r="F251" s="2"/>
    </row>
    <row r="252" spans="1:6" x14ac:dyDescent="0.2">
      <c r="A252" s="33" t="s">
        <v>112</v>
      </c>
      <c r="B252" s="55">
        <v>700000</v>
      </c>
      <c r="C252" s="55">
        <v>700000</v>
      </c>
      <c r="D252" s="5">
        <v>720020</v>
      </c>
      <c r="E252" s="17">
        <f>D252/C252*100</f>
        <v>102.86</v>
      </c>
      <c r="F252" s="2"/>
    </row>
    <row r="253" spans="1:6" x14ac:dyDescent="0.2">
      <c r="A253" s="33" t="s">
        <v>63</v>
      </c>
      <c r="B253" s="55"/>
      <c r="C253" s="55">
        <v>23800</v>
      </c>
      <c r="D253" s="5">
        <v>182371</v>
      </c>
      <c r="E253" s="17">
        <f>D253/C253*100</f>
        <v>766.26470588235293</v>
      </c>
      <c r="F253" s="2"/>
    </row>
    <row r="254" spans="1:6" x14ac:dyDescent="0.2">
      <c r="A254" s="14" t="s">
        <v>3</v>
      </c>
      <c r="B254" s="48">
        <f>SUM(B251:B252)</f>
        <v>1561071</v>
      </c>
      <c r="C254" s="48">
        <f>SUM(C251:C253)</f>
        <v>1584871</v>
      </c>
      <c r="D254" s="11">
        <f>SUM(D251:D253)</f>
        <v>1655781</v>
      </c>
      <c r="E254" s="10">
        <f>D254/C254*100</f>
        <v>104.4741811794146</v>
      </c>
      <c r="F254" s="2"/>
    </row>
    <row r="255" spans="1:6" x14ac:dyDescent="0.2">
      <c r="A255" s="14"/>
      <c r="B255" s="48"/>
      <c r="C255" s="48"/>
      <c r="D255" s="5"/>
      <c r="E255" s="17"/>
      <c r="F255" s="2"/>
    </row>
    <row r="256" spans="1:6" x14ac:dyDescent="0.2">
      <c r="A256" s="21" t="s">
        <v>9</v>
      </c>
      <c r="B256" s="55">
        <v>232489</v>
      </c>
      <c r="C256" s="55">
        <f>232489+6426</f>
        <v>238915</v>
      </c>
      <c r="D256" s="5">
        <f>374436+10473</f>
        <v>384909</v>
      </c>
      <c r="E256" s="17">
        <f>D256/C256*100</f>
        <v>161.10708829500032</v>
      </c>
      <c r="F256" s="2"/>
    </row>
    <row r="257" spans="1:6" x14ac:dyDescent="0.2">
      <c r="A257" s="14" t="s">
        <v>2</v>
      </c>
      <c r="B257" s="48">
        <f>SUM(B256:B256)</f>
        <v>232489</v>
      </c>
      <c r="C257" s="48">
        <f>SUM(C256:C256)</f>
        <v>238915</v>
      </c>
      <c r="D257" s="11">
        <f>SUM(D256)</f>
        <v>384909</v>
      </c>
      <c r="E257" s="10">
        <f>D257/C257*100</f>
        <v>161.10708829500032</v>
      </c>
      <c r="F257" s="2"/>
    </row>
    <row r="258" spans="1:6" x14ac:dyDescent="0.2">
      <c r="A258" s="14"/>
      <c r="B258" s="40"/>
      <c r="C258" s="40"/>
      <c r="D258" s="5"/>
      <c r="E258" s="17"/>
      <c r="F258" s="2"/>
    </row>
    <row r="259" spans="1:6" x14ac:dyDescent="0.2">
      <c r="A259" s="41" t="s">
        <v>50</v>
      </c>
      <c r="B259" s="20">
        <v>250000</v>
      </c>
      <c r="C259" s="20">
        <v>250000</v>
      </c>
      <c r="D259" s="5">
        <v>280533</v>
      </c>
      <c r="E259" s="17">
        <f>D259/C259*100</f>
        <v>112.21319999999999</v>
      </c>
      <c r="F259" s="2"/>
    </row>
    <row r="260" spans="1:6" x14ac:dyDescent="0.2">
      <c r="A260" s="19" t="s">
        <v>23</v>
      </c>
      <c r="B260" s="20">
        <f>1250000+1934000+600000</f>
        <v>3784000</v>
      </c>
      <c r="C260" s="20">
        <f>1250000+1934000+600000+2875000</f>
        <v>6659000</v>
      </c>
      <c r="D260" s="5">
        <v>7783356</v>
      </c>
      <c r="E260" s="17">
        <f>D260/C260*100</f>
        <v>116.88475747109175</v>
      </c>
      <c r="F260" s="2"/>
    </row>
    <row r="261" spans="1:6" x14ac:dyDescent="0.2">
      <c r="A261" s="19" t="s">
        <v>22</v>
      </c>
      <c r="B261" s="20">
        <v>280000</v>
      </c>
      <c r="C261" s="20">
        <v>280000</v>
      </c>
      <c r="D261" s="5">
        <v>317513</v>
      </c>
      <c r="E261" s="17">
        <f>D261/C261*100</f>
        <v>113.39749999999999</v>
      </c>
      <c r="F261" s="2"/>
    </row>
    <row r="262" spans="1:6" x14ac:dyDescent="0.2">
      <c r="A262" s="19" t="s">
        <v>21</v>
      </c>
      <c r="B262" s="20">
        <v>90000</v>
      </c>
      <c r="C262" s="20">
        <v>90000</v>
      </c>
      <c r="D262" s="5">
        <v>427685</v>
      </c>
      <c r="E262" s="17">
        <f>D262/C262*100</f>
        <v>475.20555555555558</v>
      </c>
      <c r="F262" s="2"/>
    </row>
    <row r="263" spans="1:6" x14ac:dyDescent="0.2">
      <c r="A263" s="18" t="s">
        <v>20</v>
      </c>
      <c r="B263" s="16">
        <f>SUM(B259:B262)</f>
        <v>4404000</v>
      </c>
      <c r="C263" s="16">
        <f>SUM(C259:C262)</f>
        <v>7279000</v>
      </c>
      <c r="D263" s="11">
        <f>SUM(D259:D262)</f>
        <v>8809087</v>
      </c>
      <c r="E263" s="10">
        <f>D263/C263*100</f>
        <v>121.02056601181481</v>
      </c>
      <c r="F263" s="2"/>
    </row>
    <row r="264" spans="1:6" x14ac:dyDescent="0.2">
      <c r="A264" s="19" t="s">
        <v>62</v>
      </c>
      <c r="B264" s="20">
        <v>100000</v>
      </c>
      <c r="C264" s="20">
        <v>100000</v>
      </c>
      <c r="D264" s="5">
        <v>50417</v>
      </c>
      <c r="E264" s="17">
        <f>D264/C264*100</f>
        <v>50.417000000000002</v>
      </c>
      <c r="F264" s="2"/>
    </row>
    <row r="265" spans="1:6" x14ac:dyDescent="0.2">
      <c r="A265" s="18" t="s">
        <v>6</v>
      </c>
      <c r="B265" s="16">
        <f>SUM(B264)</f>
        <v>100000</v>
      </c>
      <c r="C265" s="16">
        <f>SUM(C264)</f>
        <v>100000</v>
      </c>
      <c r="D265" s="11">
        <f>SUM(D264)</f>
        <v>50417</v>
      </c>
      <c r="E265" s="10">
        <f>D265/C265*100</f>
        <v>50.417000000000002</v>
      </c>
      <c r="F265" s="2"/>
    </row>
    <row r="266" spans="1:6" x14ac:dyDescent="0.2">
      <c r="A266" s="19" t="s">
        <v>14</v>
      </c>
      <c r="B266" s="20">
        <f>(B259+B260+B261+B262+B264)*0.27</f>
        <v>1216080</v>
      </c>
      <c r="C266" s="20">
        <f>(C259+C260+C261+C262+C264)*0.27-2875000*0.27+775000</f>
        <v>1991080.0000000002</v>
      </c>
      <c r="D266" s="5">
        <f>563720+1761817</f>
        <v>2325537</v>
      </c>
      <c r="E266" s="17">
        <f>D266/C266*100</f>
        <v>116.79776804548283</v>
      </c>
      <c r="F266" s="2"/>
    </row>
    <row r="267" spans="1:6" x14ac:dyDescent="0.2">
      <c r="A267" s="19" t="s">
        <v>109</v>
      </c>
      <c r="B267" s="20"/>
      <c r="C267" s="20"/>
      <c r="D267" s="5">
        <v>118000</v>
      </c>
      <c r="E267" s="17"/>
      <c r="F267" s="2"/>
    </row>
    <row r="268" spans="1:6" x14ac:dyDescent="0.2">
      <c r="A268" s="29" t="s">
        <v>13</v>
      </c>
      <c r="B268" s="16">
        <f>SUM(B266)</f>
        <v>1216080</v>
      </c>
      <c r="C268" s="16">
        <f>SUM(C266)</f>
        <v>1991080.0000000002</v>
      </c>
      <c r="D268" s="11">
        <f>SUM(D266:D267)</f>
        <v>2443537</v>
      </c>
      <c r="E268" s="10">
        <f>D268/C268*100</f>
        <v>122.72419993169534</v>
      </c>
      <c r="F268" s="2"/>
    </row>
    <row r="269" spans="1:6" x14ac:dyDescent="0.2">
      <c r="A269" s="13" t="s">
        <v>5</v>
      </c>
      <c r="B269" s="16">
        <f>B268+B265+B263</f>
        <v>5720080</v>
      </c>
      <c r="C269" s="16">
        <f>C268+C265+C263</f>
        <v>9370080</v>
      </c>
      <c r="D269" s="11">
        <f>D263+D265+D268</f>
        <v>11303041</v>
      </c>
      <c r="E269" s="10">
        <f>D269/C269*100</f>
        <v>120.62907680617454</v>
      </c>
      <c r="F269" s="2"/>
    </row>
    <row r="270" spans="1:6" x14ac:dyDescent="0.2">
      <c r="A270" s="13"/>
      <c r="B270" s="16"/>
      <c r="C270" s="16"/>
      <c r="D270" s="11"/>
      <c r="E270" s="10"/>
      <c r="F270" s="2"/>
    </row>
    <row r="271" spans="1:6" x14ac:dyDescent="0.2">
      <c r="A271" s="15" t="s">
        <v>4</v>
      </c>
      <c r="B271" s="16">
        <f>B254+B257+B269</f>
        <v>7513640</v>
      </c>
      <c r="C271" s="16">
        <f>C254+C257+C269</f>
        <v>11193866</v>
      </c>
      <c r="D271" s="11">
        <f>D254+D257+D269</f>
        <v>13343731</v>
      </c>
      <c r="E271" s="10">
        <f>D271/C271*100</f>
        <v>119.20574178751113</v>
      </c>
      <c r="F271" s="2"/>
    </row>
    <row r="272" spans="1:6" ht="13.5" thickBot="1" x14ac:dyDescent="0.25">
      <c r="A272" s="27"/>
      <c r="B272" s="27"/>
      <c r="C272" s="83"/>
      <c r="D272" s="25"/>
      <c r="E272" s="25"/>
      <c r="F272" s="2"/>
    </row>
    <row r="273" spans="1:6" ht="13.5" thickBot="1" x14ac:dyDescent="0.25">
      <c r="A273" s="54" t="s">
        <v>111</v>
      </c>
      <c r="B273" s="54"/>
      <c r="C273" s="54"/>
      <c r="D273" s="54"/>
      <c r="E273" s="54"/>
      <c r="F273" s="2"/>
    </row>
    <row r="274" spans="1:6" x14ac:dyDescent="0.2">
      <c r="A274" s="53"/>
      <c r="B274" s="53"/>
      <c r="C274" s="87"/>
      <c r="D274" s="5"/>
      <c r="E274" s="5"/>
      <c r="F274" s="2"/>
    </row>
    <row r="275" spans="1:6" x14ac:dyDescent="0.2">
      <c r="A275" s="19" t="s">
        <v>76</v>
      </c>
      <c r="B275" s="31">
        <v>1200000</v>
      </c>
      <c r="C275" s="31">
        <v>1200000</v>
      </c>
      <c r="D275" s="5">
        <f>11787+483452+295233+241999</f>
        <v>1032471</v>
      </c>
      <c r="E275" s="17">
        <f>D275/C275*100</f>
        <v>86.039249999999996</v>
      </c>
      <c r="F275" s="2"/>
    </row>
    <row r="276" spans="1:6" x14ac:dyDescent="0.2">
      <c r="A276" s="19" t="s">
        <v>27</v>
      </c>
      <c r="B276" s="31">
        <v>150000</v>
      </c>
      <c r="C276" s="31">
        <v>150000</v>
      </c>
      <c r="D276" s="5">
        <v>188644</v>
      </c>
      <c r="E276" s="17">
        <f>D276/C276*100</f>
        <v>125.76266666666666</v>
      </c>
      <c r="F276" s="2"/>
    </row>
    <row r="277" spans="1:6" x14ac:dyDescent="0.2">
      <c r="A277" s="29" t="s">
        <v>26</v>
      </c>
      <c r="B277" s="56">
        <f>SUM(B275:B276)</f>
        <v>1350000</v>
      </c>
      <c r="C277" s="56">
        <f>SUM(C275:C276)</f>
        <v>1350000</v>
      </c>
      <c r="D277" s="11">
        <f>SUM(D275:D276)</f>
        <v>1221115</v>
      </c>
      <c r="E277" s="10">
        <f>D277/C277*100</f>
        <v>90.452962962962971</v>
      </c>
      <c r="F277" s="2"/>
    </row>
    <row r="278" spans="1:6" x14ac:dyDescent="0.2">
      <c r="A278" s="19" t="s">
        <v>23</v>
      </c>
      <c r="B278" s="31">
        <v>500000</v>
      </c>
      <c r="C278" s="31">
        <v>500000</v>
      </c>
      <c r="D278" s="5">
        <v>186809</v>
      </c>
      <c r="E278" s="17">
        <f>D278/C278*100</f>
        <v>37.361800000000002</v>
      </c>
      <c r="F278" s="2"/>
    </row>
    <row r="279" spans="1:6" x14ac:dyDescent="0.2">
      <c r="A279" s="19" t="s">
        <v>22</v>
      </c>
      <c r="B279" s="31">
        <v>600000</v>
      </c>
      <c r="C279" s="31">
        <v>600000</v>
      </c>
      <c r="D279" s="5">
        <v>1057031</v>
      </c>
      <c r="E279" s="17">
        <f>D279/C279*100</f>
        <v>176.17183333333332</v>
      </c>
      <c r="F279" s="2"/>
    </row>
    <row r="280" spans="1:6" x14ac:dyDescent="0.2">
      <c r="A280" s="19" t="s">
        <v>21</v>
      </c>
      <c r="B280" s="31">
        <v>400000</v>
      </c>
      <c r="C280" s="31">
        <v>400000</v>
      </c>
      <c r="D280" s="5">
        <v>240781</v>
      </c>
      <c r="E280" s="17">
        <f>D280/C280*100</f>
        <v>60.195250000000001</v>
      </c>
      <c r="F280" s="2"/>
    </row>
    <row r="281" spans="1:6" x14ac:dyDescent="0.2">
      <c r="A281" s="18" t="s">
        <v>20</v>
      </c>
      <c r="B281" s="16">
        <f>SUM(B278:B280)</f>
        <v>1500000</v>
      </c>
      <c r="C281" s="16">
        <f>SUM(C278:C280)</f>
        <v>1500000</v>
      </c>
      <c r="D281" s="11">
        <f>SUM(D278:D280)</f>
        <v>1484621</v>
      </c>
      <c r="E281" s="10">
        <f>D281/C281*100</f>
        <v>98.974733333333333</v>
      </c>
      <c r="F281" s="2"/>
    </row>
    <row r="282" spans="1:6" x14ac:dyDescent="0.2">
      <c r="A282" s="19" t="s">
        <v>19</v>
      </c>
      <c r="B282" s="20">
        <v>200000</v>
      </c>
      <c r="C282" s="20">
        <v>200000</v>
      </c>
      <c r="D282" s="5">
        <v>101768</v>
      </c>
      <c r="E282" s="17">
        <f>D282/C282*100</f>
        <v>50.883999999999993</v>
      </c>
      <c r="F282" s="2"/>
    </row>
    <row r="283" spans="1:6" x14ac:dyDescent="0.2">
      <c r="A283" s="19" t="s">
        <v>110</v>
      </c>
      <c r="B283" s="20">
        <v>200000</v>
      </c>
      <c r="C283" s="20">
        <v>200000</v>
      </c>
      <c r="D283" s="5">
        <v>210555</v>
      </c>
      <c r="E283" s="17">
        <f>D283/C283*100</f>
        <v>105.2775</v>
      </c>
      <c r="F283" s="2"/>
    </row>
    <row r="284" spans="1:6" x14ac:dyDescent="0.2">
      <c r="A284" s="18" t="s">
        <v>6</v>
      </c>
      <c r="B284" s="16">
        <f>SUM(B282:B283)</f>
        <v>400000</v>
      </c>
      <c r="C284" s="16">
        <f>SUM(C282:C283)</f>
        <v>400000</v>
      </c>
      <c r="D284" s="11">
        <f>SUM(D282:D283)</f>
        <v>312323</v>
      </c>
      <c r="E284" s="10">
        <f>D284/C284*100</f>
        <v>78.080749999999995</v>
      </c>
      <c r="F284" s="2"/>
    </row>
    <row r="285" spans="1:6" x14ac:dyDescent="0.2">
      <c r="A285" s="19" t="s">
        <v>14</v>
      </c>
      <c r="B285" s="20">
        <f>(+B275+B278+B279+B280+B282+B276+B283)*0.27</f>
        <v>877500</v>
      </c>
      <c r="C285" s="20">
        <f>(+C275+C278+C279+C280+C282+C276+C283)*0.27</f>
        <v>877500</v>
      </c>
      <c r="D285" s="5">
        <f>178037+611926</f>
        <v>789963</v>
      </c>
      <c r="E285" s="17">
        <f>D285/C285*100</f>
        <v>90.024273504273495</v>
      </c>
      <c r="F285" s="2"/>
    </row>
    <row r="286" spans="1:6" x14ac:dyDescent="0.2">
      <c r="A286" s="19" t="s">
        <v>109</v>
      </c>
      <c r="B286" s="20"/>
      <c r="C286" s="20"/>
      <c r="D286" s="5">
        <v>158000</v>
      </c>
      <c r="E286" s="17"/>
      <c r="F286" s="2"/>
    </row>
    <row r="287" spans="1:6" x14ac:dyDescent="0.2">
      <c r="A287" s="19" t="s">
        <v>98</v>
      </c>
      <c r="B287" s="20">
        <v>500000</v>
      </c>
      <c r="C287" s="20">
        <v>500000</v>
      </c>
      <c r="D287" s="5">
        <f>522849+1079</f>
        <v>523928</v>
      </c>
      <c r="E287" s="17">
        <f>D287/C287*100</f>
        <v>104.78559999999999</v>
      </c>
      <c r="F287" s="2"/>
    </row>
    <row r="288" spans="1:6" x14ac:dyDescent="0.2">
      <c r="A288" s="29" t="s">
        <v>13</v>
      </c>
      <c r="B288" s="16">
        <f>SUM(B285:B287)</f>
        <v>1377500</v>
      </c>
      <c r="C288" s="16">
        <f>SUM(C285:C287)</f>
        <v>1377500</v>
      </c>
      <c r="D288" s="11">
        <f>SUM(D285:D287)</f>
        <v>1471891</v>
      </c>
      <c r="E288" s="10">
        <f>D288/C288*100</f>
        <v>106.85234119782214</v>
      </c>
      <c r="F288" s="2"/>
    </row>
    <row r="289" spans="1:6" x14ac:dyDescent="0.2">
      <c r="A289" s="13" t="s">
        <v>5</v>
      </c>
      <c r="B289" s="13">
        <f>B277+B281+B284+B288</f>
        <v>4627500</v>
      </c>
      <c r="C289" s="40">
        <f>+C277+C281+C284+C288</f>
        <v>4627500</v>
      </c>
      <c r="D289" s="11">
        <f>D288+D277+D281+D284</f>
        <v>4489950</v>
      </c>
      <c r="E289" s="10">
        <f>D289/C289*100</f>
        <v>97.027552674230151</v>
      </c>
      <c r="F289" s="2"/>
    </row>
    <row r="290" spans="1:6" x14ac:dyDescent="0.2">
      <c r="A290" s="15" t="s">
        <v>4</v>
      </c>
      <c r="B290" s="15">
        <f>B289</f>
        <v>4627500</v>
      </c>
      <c r="C290" s="40">
        <f>C289</f>
        <v>4627500</v>
      </c>
      <c r="D290" s="11">
        <f>D289</f>
        <v>4489950</v>
      </c>
      <c r="E290" s="10">
        <f>D290/C290*100</f>
        <v>97.027552674230151</v>
      </c>
      <c r="F290" s="2"/>
    </row>
    <row r="291" spans="1:6" x14ac:dyDescent="0.2">
      <c r="A291" s="15"/>
      <c r="B291" s="15"/>
      <c r="C291" s="40"/>
      <c r="D291" s="5"/>
      <c r="E291" s="5"/>
      <c r="F291" s="2"/>
    </row>
    <row r="292" spans="1:6" x14ac:dyDescent="0.2">
      <c r="A292" s="86" t="s">
        <v>108</v>
      </c>
      <c r="B292" s="86"/>
      <c r="C292" s="86"/>
      <c r="D292" s="86"/>
      <c r="E292" s="86"/>
      <c r="F292" s="2"/>
    </row>
    <row r="293" spans="1:6" ht="13.5" thickBot="1" x14ac:dyDescent="0.25">
      <c r="A293" s="27"/>
      <c r="B293" s="27"/>
      <c r="C293" s="52"/>
      <c r="D293" s="25"/>
      <c r="E293" s="25"/>
      <c r="F293" s="2"/>
    </row>
    <row r="294" spans="1:6" ht="18" customHeight="1" thickBot="1" x14ac:dyDescent="0.25">
      <c r="A294" s="85" t="s">
        <v>107</v>
      </c>
      <c r="B294" s="85"/>
      <c r="C294" s="85"/>
      <c r="D294" s="85"/>
      <c r="E294" s="85"/>
      <c r="F294" s="2"/>
    </row>
    <row r="295" spans="1:6" x14ac:dyDescent="0.2">
      <c r="A295" s="21"/>
      <c r="B295" s="21"/>
      <c r="C295" s="55"/>
      <c r="D295" s="5"/>
      <c r="E295" s="5"/>
      <c r="F295" s="2"/>
    </row>
    <row r="296" spans="1:6" x14ac:dyDescent="0.2">
      <c r="A296" s="21" t="s">
        <v>106</v>
      </c>
      <c r="B296" s="55">
        <v>52707279</v>
      </c>
      <c r="C296" s="55">
        <f>52707279+664000</f>
        <v>53371279</v>
      </c>
      <c r="D296" s="5">
        <v>51945414</v>
      </c>
      <c r="E296" s="17">
        <f>D296/C296*100</f>
        <v>97.328403915521676</v>
      </c>
      <c r="F296" s="2"/>
    </row>
    <row r="297" spans="1:6" x14ac:dyDescent="0.2">
      <c r="A297" s="33" t="s">
        <v>46</v>
      </c>
      <c r="B297" s="55">
        <v>2623800</v>
      </c>
      <c r="C297" s="55">
        <v>2623800</v>
      </c>
      <c r="D297" s="5">
        <v>2623800</v>
      </c>
      <c r="E297" s="17">
        <f>D297/C297*100</f>
        <v>100</v>
      </c>
      <c r="F297" s="2"/>
    </row>
    <row r="298" spans="1:6" x14ac:dyDescent="0.2">
      <c r="A298" s="33" t="s">
        <v>105</v>
      </c>
      <c r="B298" s="55">
        <v>2682144</v>
      </c>
      <c r="C298" s="55">
        <f>2682144+99339</f>
        <v>2781483</v>
      </c>
      <c r="D298" s="5">
        <f>1368040+1207919</f>
        <v>2575959</v>
      </c>
      <c r="E298" s="17">
        <f>D298/C298*100</f>
        <v>92.610992049924448</v>
      </c>
      <c r="F298" s="2"/>
    </row>
    <row r="299" spans="1:6" x14ac:dyDescent="0.2">
      <c r="A299" s="33" t="s">
        <v>36</v>
      </c>
      <c r="B299" s="55">
        <v>955025</v>
      </c>
      <c r="C299" s="55">
        <v>955025</v>
      </c>
      <c r="D299" s="5">
        <v>253771</v>
      </c>
      <c r="E299" s="17">
        <f>D299/C299*100</f>
        <v>26.572183974241515</v>
      </c>
      <c r="F299" s="2"/>
    </row>
    <row r="300" spans="1:6" x14ac:dyDescent="0.2">
      <c r="A300" s="33" t="s">
        <v>45</v>
      </c>
      <c r="B300" s="55">
        <v>96000</v>
      </c>
      <c r="C300" s="55">
        <f>96000+582400+175300</f>
        <v>853700</v>
      </c>
      <c r="D300" s="5">
        <v>1598143</v>
      </c>
      <c r="E300" s="17">
        <f>D300/C300*100</f>
        <v>187.20194447698256</v>
      </c>
      <c r="F300" s="2"/>
    </row>
    <row r="301" spans="1:6" x14ac:dyDescent="0.2">
      <c r="A301" s="33" t="s">
        <v>37</v>
      </c>
      <c r="B301" s="55"/>
      <c r="C301" s="55"/>
      <c r="D301" s="5">
        <v>1235039</v>
      </c>
      <c r="E301" s="17"/>
      <c r="F301" s="2"/>
    </row>
    <row r="302" spans="1:6" x14ac:dyDescent="0.2">
      <c r="A302" s="33" t="s">
        <v>104</v>
      </c>
      <c r="B302" s="55"/>
      <c r="C302" s="55"/>
      <c r="D302" s="5">
        <v>517331</v>
      </c>
      <c r="E302" s="17"/>
      <c r="F302" s="2"/>
    </row>
    <row r="303" spans="1:6" x14ac:dyDescent="0.2">
      <c r="A303" s="33" t="s">
        <v>103</v>
      </c>
      <c r="B303" s="55">
        <v>145500</v>
      </c>
      <c r="C303" s="55">
        <v>145500</v>
      </c>
      <c r="D303" s="5">
        <v>179227</v>
      </c>
      <c r="E303" s="17">
        <f>D303/C303*100</f>
        <v>123.18006872852234</v>
      </c>
      <c r="F303" s="2"/>
    </row>
    <row r="304" spans="1:6" x14ac:dyDescent="0.2">
      <c r="A304" s="33" t="s">
        <v>73</v>
      </c>
      <c r="B304" s="55">
        <f>950000+550000</f>
        <v>1500000</v>
      </c>
      <c r="C304" s="55">
        <f>950000+550000</f>
        <v>1500000</v>
      </c>
      <c r="D304" s="5">
        <v>1379397</v>
      </c>
      <c r="E304" s="17">
        <f>D304/C304*100</f>
        <v>91.959800000000001</v>
      </c>
      <c r="F304" s="2"/>
    </row>
    <row r="305" spans="1:6" x14ac:dyDescent="0.2">
      <c r="A305" s="33" t="s">
        <v>44</v>
      </c>
      <c r="B305" s="55">
        <v>500000</v>
      </c>
      <c r="C305" s="55">
        <f>500000</f>
        <v>500000</v>
      </c>
      <c r="D305" s="5">
        <v>345113</v>
      </c>
      <c r="E305" s="17">
        <f>D305/C305*100</f>
        <v>69.022599999999997</v>
      </c>
      <c r="F305" s="2"/>
    </row>
    <row r="306" spans="1:6" x14ac:dyDescent="0.2">
      <c r="A306" s="14" t="s">
        <v>3</v>
      </c>
      <c r="B306" s="48">
        <f>SUM(B296:B305)</f>
        <v>61209748</v>
      </c>
      <c r="C306" s="48">
        <f>SUM(C296:C305)</f>
        <v>62730787</v>
      </c>
      <c r="D306" s="11">
        <f>SUM(D296:D305)</f>
        <v>62653194</v>
      </c>
      <c r="E306" s="10">
        <f>D306/C306*100</f>
        <v>99.876307944295363</v>
      </c>
      <c r="F306" s="2"/>
    </row>
    <row r="307" spans="1:6" x14ac:dyDescent="0.2">
      <c r="A307" s="14"/>
      <c r="B307" s="48"/>
      <c r="C307" s="48"/>
      <c r="D307" s="5"/>
      <c r="E307" s="17"/>
      <c r="F307" s="2"/>
    </row>
    <row r="308" spans="1:6" x14ac:dyDescent="0.2">
      <c r="A308" s="21" t="s">
        <v>9</v>
      </c>
      <c r="B308" s="55">
        <v>13351341</v>
      </c>
      <c r="C308" s="55">
        <f>13351341+131133+141680+38566</f>
        <v>13662720</v>
      </c>
      <c r="D308" s="5">
        <v>12876695</v>
      </c>
      <c r="E308" s="17">
        <f>D308/C308*100</f>
        <v>94.246936188401719</v>
      </c>
      <c r="F308" s="2"/>
    </row>
    <row r="309" spans="1:6" x14ac:dyDescent="0.2">
      <c r="A309" s="21" t="s">
        <v>35</v>
      </c>
      <c r="B309" s="55">
        <v>1118186</v>
      </c>
      <c r="C309" s="55">
        <f>1118186+16411</f>
        <v>1134597</v>
      </c>
      <c r="D309" s="5">
        <v>821425</v>
      </c>
      <c r="E309" s="17">
        <f>D309/C309*100</f>
        <v>72.397952753268342</v>
      </c>
      <c r="F309" s="2"/>
    </row>
    <row r="310" spans="1:6" x14ac:dyDescent="0.2">
      <c r="A310" s="21" t="s">
        <v>8</v>
      </c>
      <c r="B310" s="55">
        <v>20000</v>
      </c>
      <c r="C310" s="55">
        <f>20000</f>
        <v>20000</v>
      </c>
      <c r="D310" s="5">
        <v>352322</v>
      </c>
      <c r="E310" s="17">
        <f>D310/C310*100</f>
        <v>1761.61</v>
      </c>
      <c r="F310" s="2"/>
    </row>
    <row r="311" spans="1:6" x14ac:dyDescent="0.2">
      <c r="A311" s="21" t="s">
        <v>34</v>
      </c>
      <c r="B311" s="55">
        <f>909279</f>
        <v>909279</v>
      </c>
      <c r="C311" s="55">
        <f>909279+17583</f>
        <v>926862</v>
      </c>
      <c r="D311" s="5">
        <v>725877</v>
      </c>
      <c r="E311" s="17">
        <f>D311/C311*100</f>
        <v>78.315542119538833</v>
      </c>
      <c r="F311" s="2"/>
    </row>
    <row r="312" spans="1:6" x14ac:dyDescent="0.2">
      <c r="A312" s="14" t="s">
        <v>2</v>
      </c>
      <c r="B312" s="48">
        <f>SUM(B308:B311)</f>
        <v>15398806</v>
      </c>
      <c r="C312" s="48">
        <f>SUM(C308:C311)</f>
        <v>15744179</v>
      </c>
      <c r="D312" s="11">
        <f>SUM(D308:D311)</f>
        <v>14776319</v>
      </c>
      <c r="E312" s="10">
        <f>D312/C312*100</f>
        <v>93.852585136385954</v>
      </c>
      <c r="F312" s="2"/>
    </row>
    <row r="313" spans="1:6" x14ac:dyDescent="0.2">
      <c r="A313" s="14"/>
      <c r="B313" s="48"/>
      <c r="C313" s="48"/>
      <c r="D313" s="5"/>
      <c r="E313" s="17"/>
      <c r="F313" s="2"/>
    </row>
    <row r="314" spans="1:6" x14ac:dyDescent="0.2">
      <c r="A314" s="19" t="s">
        <v>41</v>
      </c>
      <c r="B314" s="31">
        <v>200000</v>
      </c>
      <c r="C314" s="31">
        <v>200000</v>
      </c>
      <c r="D314" s="5">
        <v>121959</v>
      </c>
      <c r="E314" s="17">
        <f>D314/C314*100</f>
        <v>60.979499999999994</v>
      </c>
      <c r="F314" s="2"/>
    </row>
    <row r="315" spans="1:6" x14ac:dyDescent="0.2">
      <c r="A315" s="19" t="s">
        <v>32</v>
      </c>
      <c r="B315" s="31">
        <v>550000</v>
      </c>
      <c r="C315" s="31">
        <v>550000</v>
      </c>
      <c r="D315" s="5">
        <v>620253</v>
      </c>
      <c r="E315" s="17">
        <f>D315/C315*100</f>
        <v>112.77327272727274</v>
      </c>
      <c r="F315" s="2"/>
    </row>
    <row r="316" spans="1:6" x14ac:dyDescent="0.2">
      <c r="A316" s="19" t="s">
        <v>31</v>
      </c>
      <c r="B316" s="20">
        <f>100000+200000</f>
        <v>300000</v>
      </c>
      <c r="C316" s="20">
        <f>100000+200000</f>
        <v>300000</v>
      </c>
      <c r="D316" s="5">
        <v>74015</v>
      </c>
      <c r="E316" s="17">
        <f>D316/C316*100</f>
        <v>24.671666666666667</v>
      </c>
      <c r="F316" s="2"/>
    </row>
    <row r="317" spans="1:6" x14ac:dyDescent="0.2">
      <c r="A317" s="19" t="s">
        <v>81</v>
      </c>
      <c r="B317" s="20"/>
      <c r="C317" s="20"/>
      <c r="D317" s="5">
        <v>17922</v>
      </c>
      <c r="E317" s="17"/>
      <c r="F317" s="2"/>
    </row>
    <row r="318" spans="1:6" x14ac:dyDescent="0.2">
      <c r="A318" s="29" t="s">
        <v>30</v>
      </c>
      <c r="B318" s="16">
        <f>SUM(B314:B316)</f>
        <v>1050000</v>
      </c>
      <c r="C318" s="16">
        <f>SUM(C314:C316)</f>
        <v>1050000</v>
      </c>
      <c r="D318" s="11">
        <f>SUM(D314:D317)</f>
        <v>834149</v>
      </c>
      <c r="E318" s="10">
        <f>D318/C318*100</f>
        <v>79.442761904761909</v>
      </c>
      <c r="F318" s="2"/>
    </row>
    <row r="319" spans="1:6" x14ac:dyDescent="0.2">
      <c r="A319" s="19" t="s">
        <v>29</v>
      </c>
      <c r="B319" s="20">
        <v>1000000</v>
      </c>
      <c r="C319" s="20">
        <v>1000000</v>
      </c>
      <c r="D319" s="5">
        <v>819681</v>
      </c>
      <c r="E319" s="17">
        <f>D319/C319*100</f>
        <v>81.968099999999993</v>
      </c>
      <c r="F319" s="2"/>
    </row>
    <row r="320" spans="1:6" x14ac:dyDescent="0.2">
      <c r="A320" s="19" t="s">
        <v>102</v>
      </c>
      <c r="B320" s="20"/>
      <c r="C320" s="20"/>
      <c r="D320" s="5">
        <v>11807</v>
      </c>
      <c r="E320" s="17"/>
      <c r="F320" s="2"/>
    </row>
    <row r="321" spans="1:6" x14ac:dyDescent="0.2">
      <c r="A321" s="19" t="s">
        <v>27</v>
      </c>
      <c r="B321" s="20">
        <v>1000000</v>
      </c>
      <c r="C321" s="20">
        <v>1000000</v>
      </c>
      <c r="D321" s="5">
        <v>631404</v>
      </c>
      <c r="E321" s="17">
        <f>D321/C321*100</f>
        <v>63.1404</v>
      </c>
      <c r="F321" s="2"/>
    </row>
    <row r="322" spans="1:6" x14ac:dyDescent="0.2">
      <c r="A322" s="29" t="s">
        <v>26</v>
      </c>
      <c r="B322" s="16">
        <f>SUM(B319:B321)</f>
        <v>2000000</v>
      </c>
      <c r="C322" s="16">
        <f>SUM(C319:C321)</f>
        <v>2000000</v>
      </c>
      <c r="D322" s="11">
        <f>SUM(D319:D321)</f>
        <v>1462892</v>
      </c>
      <c r="E322" s="10">
        <f>D322/C322*100</f>
        <v>73.144599999999997</v>
      </c>
      <c r="F322" s="2"/>
    </row>
    <row r="323" spans="1:6" x14ac:dyDescent="0.2">
      <c r="A323" s="41" t="s">
        <v>51</v>
      </c>
      <c r="B323" s="20">
        <f>2800000+360000</f>
        <v>3160000</v>
      </c>
      <c r="C323" s="20">
        <f>2800000+360000</f>
        <v>3160000</v>
      </c>
      <c r="D323" s="5">
        <f>2573242+362124</f>
        <v>2935366</v>
      </c>
      <c r="E323" s="17">
        <f>D323/C323*100</f>
        <v>92.891329113924044</v>
      </c>
      <c r="F323" s="2"/>
    </row>
    <row r="324" spans="1:6" x14ac:dyDescent="0.2">
      <c r="A324" s="19" t="s">
        <v>25</v>
      </c>
      <c r="B324" s="20">
        <v>300000</v>
      </c>
      <c r="C324" s="20">
        <v>300000</v>
      </c>
      <c r="D324" s="5">
        <v>266851</v>
      </c>
      <c r="E324" s="17">
        <f>D324/C324*100</f>
        <v>88.950333333333333</v>
      </c>
      <c r="F324" s="2"/>
    </row>
    <row r="325" spans="1:6" x14ac:dyDescent="0.2">
      <c r="A325" s="18" t="s">
        <v>24</v>
      </c>
      <c r="B325" s="16">
        <f>SUM(B323:B324)</f>
        <v>3460000</v>
      </c>
      <c r="C325" s="16">
        <f>SUM(C323:C324)</f>
        <v>3460000</v>
      </c>
      <c r="D325" s="11">
        <f>SUM(D323:D324)</f>
        <v>3202217</v>
      </c>
      <c r="E325" s="10">
        <f>D325/C325*100</f>
        <v>92.549624277456644</v>
      </c>
      <c r="F325" s="2"/>
    </row>
    <row r="326" spans="1:6" x14ac:dyDescent="0.2">
      <c r="A326" s="19" t="s">
        <v>50</v>
      </c>
      <c r="B326" s="20">
        <v>810000</v>
      </c>
      <c r="C326" s="20">
        <v>810000</v>
      </c>
      <c r="D326" s="5">
        <v>681817</v>
      </c>
      <c r="E326" s="17">
        <f>D326/C326*100</f>
        <v>84.174938271604944</v>
      </c>
      <c r="F326" s="2"/>
    </row>
    <row r="327" spans="1:6" x14ac:dyDescent="0.2">
      <c r="A327" s="19" t="s">
        <v>22</v>
      </c>
      <c r="B327" s="20">
        <v>500000</v>
      </c>
      <c r="C327" s="20">
        <v>500000</v>
      </c>
      <c r="D327" s="5">
        <v>580567</v>
      </c>
      <c r="E327" s="17">
        <f>D327/C327*100</f>
        <v>116.11340000000001</v>
      </c>
      <c r="F327" s="2"/>
    </row>
    <row r="328" spans="1:6" x14ac:dyDescent="0.2">
      <c r="A328" s="19" t="s">
        <v>21</v>
      </c>
      <c r="B328" s="20">
        <v>160000</v>
      </c>
      <c r="C328" s="20">
        <v>160000</v>
      </c>
      <c r="D328" s="5">
        <v>91437</v>
      </c>
      <c r="E328" s="17">
        <f>D328/C328*100</f>
        <v>57.148125000000007</v>
      </c>
      <c r="F328" s="2"/>
    </row>
    <row r="329" spans="1:6" x14ac:dyDescent="0.2">
      <c r="A329" s="18" t="s">
        <v>20</v>
      </c>
      <c r="B329" s="16">
        <f>SUM(B326:B328)</f>
        <v>1470000</v>
      </c>
      <c r="C329" s="16">
        <f>SUM(C326:C328)</f>
        <v>1470000</v>
      </c>
      <c r="D329" s="11">
        <f>SUM(D326:D328)</f>
        <v>1353821</v>
      </c>
      <c r="E329" s="10">
        <f>D329/C329*100</f>
        <v>92.096666666666664</v>
      </c>
      <c r="F329" s="2"/>
    </row>
    <row r="330" spans="1:6" x14ac:dyDescent="0.2">
      <c r="A330" s="19" t="s">
        <v>101</v>
      </c>
      <c r="B330" s="20">
        <v>500000</v>
      </c>
      <c r="C330" s="20">
        <v>500000</v>
      </c>
      <c r="D330" s="5">
        <v>707824</v>
      </c>
      <c r="E330" s="17">
        <f>D330/C330*100</f>
        <v>141.56479999999999</v>
      </c>
      <c r="F330" s="2"/>
    </row>
    <row r="331" spans="1:6" x14ac:dyDescent="0.2">
      <c r="A331" s="19" t="s">
        <v>19</v>
      </c>
      <c r="B331" s="20">
        <v>600000</v>
      </c>
      <c r="C331" s="20">
        <v>600000</v>
      </c>
      <c r="D331" s="5">
        <v>408442</v>
      </c>
      <c r="E331" s="17">
        <f>D331/C331*100</f>
        <v>68.073666666666668</v>
      </c>
      <c r="F331" s="2"/>
    </row>
    <row r="332" spans="1:6" x14ac:dyDescent="0.2">
      <c r="A332" s="19" t="s">
        <v>91</v>
      </c>
      <c r="B332" s="30">
        <v>2400000</v>
      </c>
      <c r="C332" s="30">
        <v>2400000</v>
      </c>
      <c r="D332" s="5">
        <v>2630174</v>
      </c>
      <c r="E332" s="17">
        <f>D332/C332*100</f>
        <v>109.59058333333334</v>
      </c>
      <c r="F332" s="2"/>
    </row>
    <row r="333" spans="1:6" x14ac:dyDescent="0.2">
      <c r="A333" s="19" t="s">
        <v>40</v>
      </c>
      <c r="B333" s="30">
        <v>1410000</v>
      </c>
      <c r="C333" s="30">
        <f>1410000</f>
        <v>1410000</v>
      </c>
      <c r="D333" s="5">
        <v>469590</v>
      </c>
      <c r="E333" s="17">
        <f>D333/C333*100</f>
        <v>33.304255319148936</v>
      </c>
      <c r="F333" s="2"/>
    </row>
    <row r="334" spans="1:6" x14ac:dyDescent="0.2">
      <c r="A334" s="19" t="s">
        <v>100</v>
      </c>
      <c r="B334" s="30">
        <v>2100000</v>
      </c>
      <c r="C334" s="30">
        <f>2100000</f>
        <v>2100000</v>
      </c>
      <c r="D334" s="5">
        <v>2345583</v>
      </c>
      <c r="E334" s="17">
        <f>D334/C334*100</f>
        <v>111.69442857142857</v>
      </c>
      <c r="F334" s="2"/>
    </row>
    <row r="335" spans="1:6" x14ac:dyDescent="0.2">
      <c r="A335" s="18" t="s">
        <v>6</v>
      </c>
      <c r="B335" s="40">
        <f>SUM(B330:B334)</f>
        <v>7010000</v>
      </c>
      <c r="C335" s="40">
        <f>SUM(C330:C334)</f>
        <v>7010000</v>
      </c>
      <c r="D335" s="11">
        <f>SUM(D330:D334)</f>
        <v>6561613</v>
      </c>
      <c r="E335" s="10">
        <f>D335/C335*100</f>
        <v>93.603609129814544</v>
      </c>
      <c r="F335" s="2"/>
    </row>
    <row r="336" spans="1:6" x14ac:dyDescent="0.2">
      <c r="A336" s="18"/>
      <c r="B336" s="40"/>
      <c r="C336" s="40"/>
      <c r="D336" s="5"/>
      <c r="E336" s="17"/>
      <c r="F336" s="2"/>
    </row>
    <row r="337" spans="1:6" x14ac:dyDescent="0.2">
      <c r="A337" s="19" t="s">
        <v>14</v>
      </c>
      <c r="B337" s="30">
        <f>(B314+B315+B316+B319+B323+B324+B327+B328+B330+B331+B332+B333+B334+B321)*0.27+B326*0.05-167000</f>
        <v>3702100.0000000005</v>
      </c>
      <c r="C337" s="30">
        <f>(C314+C315+C316+C319+C323+C324+C327+C328+C330+C331+C332+C333+C334+C321)*0.27+C326*0.05-167000-219237</f>
        <v>3482863.0000000005</v>
      </c>
      <c r="D337" s="5">
        <f>636734+2022157</f>
        <v>2658891</v>
      </c>
      <c r="E337" s="17">
        <f>D337/C337*100</f>
        <v>76.342107053880653</v>
      </c>
      <c r="F337" s="2"/>
    </row>
    <row r="338" spans="1:6" x14ac:dyDescent="0.2">
      <c r="A338" s="19" t="s">
        <v>99</v>
      </c>
      <c r="B338" s="30">
        <v>372600</v>
      </c>
      <c r="C338" s="30">
        <f>'[1]3_melléklet'!B73*0.27+'[1]3_melléklet'!B83*0.27</f>
        <v>372600</v>
      </c>
      <c r="D338" s="5">
        <v>0</v>
      </c>
      <c r="E338" s="17">
        <f>D338/C338*100</f>
        <v>0</v>
      </c>
      <c r="F338" s="2"/>
    </row>
    <row r="339" spans="1:6" x14ac:dyDescent="0.2">
      <c r="A339" s="19" t="s">
        <v>98</v>
      </c>
      <c r="B339" s="30">
        <v>1500000</v>
      </c>
      <c r="C339" s="30">
        <v>1500000</v>
      </c>
      <c r="D339" s="5">
        <f>1202888+4</f>
        <v>1202892</v>
      </c>
      <c r="E339" s="17">
        <f>D339/C339*100</f>
        <v>80.192799999999991</v>
      </c>
      <c r="F339" s="2"/>
    </row>
    <row r="340" spans="1:6" x14ac:dyDescent="0.2">
      <c r="A340" s="29" t="s">
        <v>13</v>
      </c>
      <c r="B340" s="16">
        <f>SUM(B337:B339)</f>
        <v>5574700</v>
      </c>
      <c r="C340" s="16">
        <f>SUM(C337:C339)</f>
        <v>5355463</v>
      </c>
      <c r="D340" s="11">
        <f>SUM(D337:D339)</f>
        <v>3861783</v>
      </c>
      <c r="E340" s="10">
        <f>D340/C340*100</f>
        <v>72.10922753084094</v>
      </c>
      <c r="F340" s="2"/>
    </row>
    <row r="341" spans="1:6" x14ac:dyDescent="0.2">
      <c r="A341" s="13" t="s">
        <v>5</v>
      </c>
      <c r="B341" s="16">
        <f>B318+B322+B325+B329+B335+B340</f>
        <v>20564700</v>
      </c>
      <c r="C341" s="16">
        <f>C318+C322+C325+C329+C335+C340</f>
        <v>20345463</v>
      </c>
      <c r="D341" s="11">
        <f>D318+D322+D325+D329+D335+D340</f>
        <v>17276475</v>
      </c>
      <c r="E341" s="10">
        <f>D341/C341*100</f>
        <v>84.915614847398658</v>
      </c>
      <c r="F341" s="2"/>
    </row>
    <row r="342" spans="1:6" x14ac:dyDescent="0.2">
      <c r="A342" s="13"/>
      <c r="B342" s="40"/>
      <c r="C342" s="40"/>
      <c r="D342" s="5"/>
      <c r="E342" s="10"/>
      <c r="F342" s="2"/>
    </row>
    <row r="343" spans="1:6" x14ac:dyDescent="0.2">
      <c r="A343" s="15" t="s">
        <v>4</v>
      </c>
      <c r="B343" s="84">
        <f>B306+B312+B341</f>
        <v>97173254</v>
      </c>
      <c r="C343" s="84">
        <f>C306+C312+C341</f>
        <v>98820429</v>
      </c>
      <c r="D343" s="11">
        <f>D306+D312+D341</f>
        <v>94705988</v>
      </c>
      <c r="E343" s="10">
        <f>D343/C343*100</f>
        <v>95.83644693548132</v>
      </c>
      <c r="F343" s="2"/>
    </row>
    <row r="344" spans="1:6" ht="13.5" thickBot="1" x14ac:dyDescent="0.25">
      <c r="A344" s="27"/>
      <c r="B344" s="27"/>
      <c r="C344" s="83"/>
      <c r="D344" s="25"/>
      <c r="E344" s="25"/>
      <c r="F344" s="2"/>
    </row>
    <row r="345" spans="1:6" ht="13.5" customHeight="1" thickBot="1" x14ac:dyDescent="0.25">
      <c r="A345" s="82" t="s">
        <v>97</v>
      </c>
      <c r="B345" s="82"/>
      <c r="C345" s="82"/>
      <c r="D345" s="82"/>
      <c r="E345" s="82"/>
      <c r="F345" s="2"/>
    </row>
    <row r="346" spans="1:6" x14ac:dyDescent="0.2">
      <c r="A346" s="81"/>
      <c r="B346" s="81"/>
      <c r="C346" s="80"/>
      <c r="D346" s="5"/>
      <c r="E346" s="5"/>
      <c r="F346" s="2"/>
    </row>
    <row r="347" spans="1:6" x14ac:dyDescent="0.2">
      <c r="A347" s="79" t="s">
        <v>96</v>
      </c>
      <c r="B347" s="79"/>
      <c r="C347" s="78">
        <v>287400</v>
      </c>
      <c r="D347" s="5">
        <v>287400</v>
      </c>
      <c r="E347" s="17">
        <f>D347/C347*100</f>
        <v>100</v>
      </c>
      <c r="F347" s="2"/>
    </row>
    <row r="348" spans="1:6" x14ac:dyDescent="0.2">
      <c r="A348" s="74" t="s">
        <v>3</v>
      </c>
      <c r="B348" s="74"/>
      <c r="C348" s="77">
        <f>SUM(C347:C347)</f>
        <v>287400</v>
      </c>
      <c r="D348" s="11">
        <f>SUM(D347)</f>
        <v>287400</v>
      </c>
      <c r="E348" s="10">
        <f>D348/C348*100</f>
        <v>100</v>
      </c>
      <c r="F348" s="2"/>
    </row>
    <row r="349" spans="1:6" x14ac:dyDescent="0.2">
      <c r="A349" s="74"/>
      <c r="B349" s="74"/>
      <c r="C349" s="77"/>
      <c r="D349" s="5"/>
      <c r="E349" s="17"/>
      <c r="F349" s="2"/>
    </row>
    <row r="350" spans="1:6" x14ac:dyDescent="0.2">
      <c r="A350" s="76" t="s">
        <v>9</v>
      </c>
      <c r="B350" s="76"/>
      <c r="C350" s="75">
        <v>69838</v>
      </c>
      <c r="D350" s="5">
        <v>69838</v>
      </c>
      <c r="E350" s="17">
        <f>D350/C350*100</f>
        <v>100</v>
      </c>
      <c r="F350" s="2"/>
    </row>
    <row r="351" spans="1:6" x14ac:dyDescent="0.2">
      <c r="A351" s="74" t="s">
        <v>2</v>
      </c>
      <c r="B351" s="74"/>
      <c r="C351" s="72">
        <f>SUM(C350)</f>
        <v>69838</v>
      </c>
      <c r="D351" s="11">
        <f>SUM(D350)</f>
        <v>69838</v>
      </c>
      <c r="E351" s="10">
        <f>D351/C351*100</f>
        <v>100</v>
      </c>
      <c r="F351" s="2"/>
    </row>
    <row r="352" spans="1:6" x14ac:dyDescent="0.2">
      <c r="A352" s="74"/>
      <c r="B352" s="74"/>
      <c r="C352" s="5"/>
      <c r="D352" s="5"/>
      <c r="E352" s="10"/>
      <c r="F352" s="2"/>
    </row>
    <row r="353" spans="1:6" x14ac:dyDescent="0.2">
      <c r="A353" s="73" t="s">
        <v>4</v>
      </c>
      <c r="B353" s="73"/>
      <c r="C353" s="72">
        <f>C348+C351</f>
        <v>357238</v>
      </c>
      <c r="D353" s="11">
        <f>D348+D351</f>
        <v>357238</v>
      </c>
      <c r="E353" s="10">
        <f>D353/C353*100</f>
        <v>100</v>
      </c>
      <c r="F353" s="2"/>
    </row>
    <row r="354" spans="1:6" x14ac:dyDescent="0.2">
      <c r="A354" s="49"/>
      <c r="B354" s="49"/>
      <c r="C354" s="72"/>
      <c r="D354" s="5"/>
      <c r="E354" s="10"/>
      <c r="F354" s="2"/>
    </row>
    <row r="355" spans="1:6" x14ac:dyDescent="0.2">
      <c r="A355" s="9"/>
      <c r="B355" s="9"/>
      <c r="C355" s="72"/>
      <c r="D355" s="5"/>
      <c r="E355" s="10"/>
      <c r="F355" s="2"/>
    </row>
    <row r="356" spans="1:6" x14ac:dyDescent="0.2">
      <c r="A356" s="14" t="s">
        <v>3</v>
      </c>
      <c r="B356" s="56">
        <f>B254+B306</f>
        <v>62770819</v>
      </c>
      <c r="C356" s="56">
        <f>C254+C306+C348</f>
        <v>64603058</v>
      </c>
      <c r="D356" s="11">
        <f>D254+D306+D348</f>
        <v>64596375</v>
      </c>
      <c r="E356" s="10">
        <f>D356/C356*100</f>
        <v>99.989655288453989</v>
      </c>
      <c r="F356" s="2"/>
    </row>
    <row r="357" spans="1:6" x14ac:dyDescent="0.2">
      <c r="A357" s="14" t="s">
        <v>2</v>
      </c>
      <c r="B357" s="40">
        <f>B257+B312+B351</f>
        <v>15631295</v>
      </c>
      <c r="C357" s="40">
        <f>C257+C312+C351</f>
        <v>16052932</v>
      </c>
      <c r="D357" s="11">
        <f>D257+D312+D351</f>
        <v>15231066</v>
      </c>
      <c r="E357" s="10">
        <f>D357/C357*100</f>
        <v>94.880274830791038</v>
      </c>
      <c r="F357" s="2"/>
    </row>
    <row r="358" spans="1:6" x14ac:dyDescent="0.2">
      <c r="A358" s="13" t="s">
        <v>1</v>
      </c>
      <c r="B358" s="40">
        <f>B269+B289+B341</f>
        <v>30912280</v>
      </c>
      <c r="C358" s="40">
        <f>C269+C289+C341</f>
        <v>34343043</v>
      </c>
      <c r="D358" s="11">
        <f>D269+D289+D341</f>
        <v>33069466</v>
      </c>
      <c r="E358" s="10">
        <f>D358/C358*100</f>
        <v>96.291601183971963</v>
      </c>
      <c r="F358" s="2"/>
    </row>
    <row r="359" spans="1:6" ht="22.5" x14ac:dyDescent="0.2">
      <c r="A359" s="9" t="s">
        <v>95</v>
      </c>
      <c r="B359" s="71">
        <f>SUM(B356:B358)</f>
        <v>109314394</v>
      </c>
      <c r="C359" s="71">
        <f>SUM(C356:C358)</f>
        <v>114999033</v>
      </c>
      <c r="D359" s="7">
        <f>D356+D357+D358</f>
        <v>112896907</v>
      </c>
      <c r="E359" s="6">
        <f>D359/C359*100</f>
        <v>98.172048977142268</v>
      </c>
      <c r="F359" s="2"/>
    </row>
    <row r="360" spans="1:6" x14ac:dyDescent="0.2">
      <c r="A360" s="9"/>
      <c r="B360" s="9"/>
      <c r="C360" s="40"/>
      <c r="D360" s="5"/>
      <c r="E360" s="5"/>
      <c r="F360" s="2"/>
    </row>
    <row r="361" spans="1:6" x14ac:dyDescent="0.2">
      <c r="A361" s="9"/>
      <c r="B361" s="9"/>
      <c r="C361" s="40"/>
      <c r="D361" s="5"/>
      <c r="E361" s="5"/>
      <c r="F361" s="2"/>
    </row>
    <row r="362" spans="1:6" x14ac:dyDescent="0.2">
      <c r="A362" s="70" t="s">
        <v>94</v>
      </c>
      <c r="B362" s="70"/>
      <c r="C362" s="70"/>
      <c r="D362" s="70"/>
      <c r="E362" s="70"/>
      <c r="F362" s="2"/>
    </row>
    <row r="363" spans="1:6" x14ac:dyDescent="0.2">
      <c r="A363" s="69"/>
      <c r="B363" s="69"/>
      <c r="C363" s="68"/>
      <c r="D363" s="4"/>
      <c r="E363" s="4"/>
      <c r="F363" s="2"/>
    </row>
    <row r="364" spans="1:6" x14ac:dyDescent="0.2">
      <c r="A364" s="67" t="s">
        <v>57</v>
      </c>
      <c r="B364" s="67"/>
      <c r="C364" s="67"/>
      <c r="D364" s="67"/>
      <c r="E364" s="67"/>
      <c r="F364" s="2"/>
    </row>
    <row r="365" spans="1:6" ht="13.5" thickBot="1" x14ac:dyDescent="0.25">
      <c r="A365" s="66"/>
      <c r="B365" s="66"/>
      <c r="C365" s="65"/>
      <c r="D365" s="25"/>
      <c r="E365" s="25"/>
      <c r="F365" s="2"/>
    </row>
    <row r="366" spans="1:6" ht="13.5" thickBot="1" x14ac:dyDescent="0.25">
      <c r="A366" s="54" t="s">
        <v>93</v>
      </c>
      <c r="B366" s="54"/>
      <c r="C366" s="54"/>
      <c r="D366" s="54"/>
      <c r="E366" s="64"/>
      <c r="F366" s="2"/>
    </row>
    <row r="367" spans="1:6" x14ac:dyDescent="0.2">
      <c r="A367" s="21"/>
      <c r="B367" s="21"/>
      <c r="C367" s="22"/>
      <c r="D367" s="5"/>
      <c r="E367" s="5"/>
      <c r="F367" s="2"/>
    </row>
    <row r="368" spans="1:6" x14ac:dyDescent="0.2">
      <c r="A368" s="21" t="s">
        <v>92</v>
      </c>
      <c r="B368" s="55">
        <v>6645040</v>
      </c>
      <c r="C368" s="55">
        <f>6645040</f>
        <v>6645040</v>
      </c>
      <c r="D368" s="5">
        <v>6717965</v>
      </c>
      <c r="E368" s="17">
        <f>D368/C368*100</f>
        <v>101.09743507939757</v>
      </c>
      <c r="F368" s="2"/>
    </row>
    <row r="369" spans="1:6" x14ac:dyDescent="0.2">
      <c r="A369" s="33" t="s">
        <v>37</v>
      </c>
      <c r="B369" s="55">
        <v>132900</v>
      </c>
      <c r="C369" s="55">
        <v>132900</v>
      </c>
      <c r="D369" s="5">
        <v>151000</v>
      </c>
      <c r="E369" s="17">
        <f>D369/C369*100</f>
        <v>113.61926260346125</v>
      </c>
      <c r="F369" s="2"/>
    </row>
    <row r="370" spans="1:6" x14ac:dyDescent="0.2">
      <c r="A370" s="33" t="s">
        <v>85</v>
      </c>
      <c r="B370" s="55">
        <v>86090</v>
      </c>
      <c r="C370" s="55">
        <v>86090</v>
      </c>
      <c r="D370" s="5">
        <f>4650+18044</f>
        <v>22694</v>
      </c>
      <c r="E370" s="17">
        <f>D370/C370*100</f>
        <v>26.360785224764783</v>
      </c>
      <c r="F370" s="2"/>
    </row>
    <row r="371" spans="1:6" x14ac:dyDescent="0.2">
      <c r="A371" s="33" t="s">
        <v>63</v>
      </c>
      <c r="B371" s="55"/>
      <c r="C371" s="55">
        <f>39800+11700</f>
        <v>51500</v>
      </c>
      <c r="D371" s="5">
        <v>73393</v>
      </c>
      <c r="E371" s="17">
        <f>D371/C371*100</f>
        <v>142.51067961165049</v>
      </c>
      <c r="F371" s="2"/>
    </row>
    <row r="372" spans="1:6" x14ac:dyDescent="0.2">
      <c r="A372" s="14" t="s">
        <v>3</v>
      </c>
      <c r="B372" s="48">
        <f>SUM(B368:B370)</f>
        <v>6864030</v>
      </c>
      <c r="C372" s="48">
        <f>SUM(C368:C371)</f>
        <v>6915530</v>
      </c>
      <c r="D372" s="11">
        <f>SUM(D368:D371)</f>
        <v>6965052</v>
      </c>
      <c r="E372" s="10">
        <f>D372/C372*100</f>
        <v>100.71609840460529</v>
      </c>
      <c r="F372" s="2"/>
    </row>
    <row r="373" spans="1:6" x14ac:dyDescent="0.2">
      <c r="A373" s="14"/>
      <c r="B373" s="48"/>
      <c r="C373" s="48"/>
      <c r="D373" s="5"/>
      <c r="E373" s="17"/>
      <c r="F373" s="2"/>
    </row>
    <row r="374" spans="1:6" x14ac:dyDescent="0.2">
      <c r="A374" s="21" t="s">
        <v>9</v>
      </c>
      <c r="B374" s="55">
        <f>145454+1480849</f>
        <v>1626303</v>
      </c>
      <c r="C374" s="55">
        <f>145454+1480849+9186+2574</f>
        <v>1638063</v>
      </c>
      <c r="D374" s="5">
        <v>1520231</v>
      </c>
      <c r="E374" s="17">
        <f>D374/C374*100</f>
        <v>92.806625874584796</v>
      </c>
      <c r="F374" s="2"/>
    </row>
    <row r="375" spans="1:6" x14ac:dyDescent="0.2">
      <c r="A375" s="21" t="s">
        <v>35</v>
      </c>
      <c r="B375" s="55">
        <v>21955</v>
      </c>
      <c r="C375" s="55">
        <v>21955</v>
      </c>
      <c r="D375" s="5">
        <v>39200</v>
      </c>
      <c r="E375" s="17">
        <f>D375/C375*100</f>
        <v>178.5470280118424</v>
      </c>
      <c r="F375" s="2"/>
    </row>
    <row r="376" spans="1:6" x14ac:dyDescent="0.2">
      <c r="A376" s="21" t="s">
        <v>8</v>
      </c>
      <c r="B376" s="55">
        <v>20000</v>
      </c>
      <c r="C376" s="55">
        <v>20000</v>
      </c>
      <c r="D376" s="5">
        <v>0</v>
      </c>
      <c r="E376" s="17">
        <f>D376/C376*100</f>
        <v>0</v>
      </c>
      <c r="F376" s="2"/>
    </row>
    <row r="377" spans="1:6" x14ac:dyDescent="0.2">
      <c r="A377" s="21" t="s">
        <v>34</v>
      </c>
      <c r="B377" s="55">
        <v>23523</v>
      </c>
      <c r="C377" s="55">
        <v>23523</v>
      </c>
      <c r="D377" s="5">
        <v>26727</v>
      </c>
      <c r="E377" s="17">
        <f>D377/C377*100</f>
        <v>113.62071164392297</v>
      </c>
      <c r="F377" s="2"/>
    </row>
    <row r="378" spans="1:6" x14ac:dyDescent="0.2">
      <c r="A378" s="14" t="s">
        <v>2</v>
      </c>
      <c r="B378" s="48">
        <f>SUM(B374:B377)</f>
        <v>1691781</v>
      </c>
      <c r="C378" s="48">
        <f>SUM(C374:C377)</f>
        <v>1703541</v>
      </c>
      <c r="D378" s="11">
        <f>SUM(D374:D377)</f>
        <v>1586158</v>
      </c>
      <c r="E378" s="10">
        <f>D378/C378*100</f>
        <v>93.109470215275124</v>
      </c>
      <c r="F378" s="2"/>
    </row>
    <row r="379" spans="1:6" x14ac:dyDescent="0.2">
      <c r="A379" s="14"/>
      <c r="B379" s="48"/>
      <c r="C379" s="48"/>
      <c r="D379" s="5"/>
      <c r="E379" s="17"/>
      <c r="F379" s="2"/>
    </row>
    <row r="380" spans="1:6" x14ac:dyDescent="0.2">
      <c r="A380" s="33" t="s">
        <v>42</v>
      </c>
      <c r="B380" s="31">
        <v>20000</v>
      </c>
      <c r="C380" s="31">
        <v>20000</v>
      </c>
      <c r="D380" s="5">
        <v>10141</v>
      </c>
      <c r="E380" s="17">
        <f>D380/C380*100</f>
        <v>50.704999999999998</v>
      </c>
      <c r="F380" s="2"/>
    </row>
    <row r="381" spans="1:6" x14ac:dyDescent="0.2">
      <c r="A381" s="19" t="s">
        <v>41</v>
      </c>
      <c r="B381" s="31">
        <v>5000</v>
      </c>
      <c r="C381" s="31">
        <v>5000</v>
      </c>
      <c r="D381" s="5">
        <v>0</v>
      </c>
      <c r="E381" s="17">
        <f>D381/C381*100</f>
        <v>0</v>
      </c>
      <c r="F381" s="2"/>
    </row>
    <row r="382" spans="1:6" x14ac:dyDescent="0.2">
      <c r="A382" s="19" t="s">
        <v>31</v>
      </c>
      <c r="B382" s="20">
        <v>20000</v>
      </c>
      <c r="C382" s="20">
        <v>20000</v>
      </c>
      <c r="D382" s="5">
        <v>0</v>
      </c>
      <c r="E382" s="17">
        <f>D382/C382*100</f>
        <v>0</v>
      </c>
      <c r="F382" s="2"/>
    </row>
    <row r="383" spans="1:6" x14ac:dyDescent="0.2">
      <c r="A383" s="29" t="s">
        <v>30</v>
      </c>
      <c r="B383" s="16">
        <f>SUM(B380:B382)</f>
        <v>45000</v>
      </c>
      <c r="C383" s="16">
        <f>SUM(C380:C382)</f>
        <v>45000</v>
      </c>
      <c r="D383" s="11">
        <f>SUM(D380:D382)</f>
        <v>10141</v>
      </c>
      <c r="E383" s="10">
        <f>D383/C383*100</f>
        <v>22.535555555555558</v>
      </c>
      <c r="F383" s="2"/>
    </row>
    <row r="384" spans="1:6" x14ac:dyDescent="0.2">
      <c r="A384" s="19" t="s">
        <v>29</v>
      </c>
      <c r="B384" s="20">
        <v>100000</v>
      </c>
      <c r="C384" s="20">
        <v>100000</v>
      </c>
      <c r="D384" s="5">
        <v>36049</v>
      </c>
      <c r="E384" s="17">
        <f>D384/C384*100</f>
        <v>36.048999999999999</v>
      </c>
      <c r="F384" s="2"/>
    </row>
    <row r="385" spans="1:6" x14ac:dyDescent="0.2">
      <c r="A385" s="19" t="s">
        <v>28</v>
      </c>
      <c r="B385" s="20">
        <v>24000</v>
      </c>
      <c r="C385" s="20">
        <v>24000</v>
      </c>
      <c r="D385" s="5">
        <v>23622</v>
      </c>
      <c r="E385" s="17">
        <f>D385/C385*100</f>
        <v>98.424999999999997</v>
      </c>
      <c r="F385" s="2"/>
    </row>
    <row r="386" spans="1:6" x14ac:dyDescent="0.2">
      <c r="A386" s="19" t="s">
        <v>27</v>
      </c>
      <c r="B386" s="20">
        <v>70000</v>
      </c>
      <c r="C386" s="20">
        <v>70000</v>
      </c>
      <c r="D386" s="5">
        <v>159090</v>
      </c>
      <c r="E386" s="17">
        <f>D386/C386*100</f>
        <v>227.27142857142857</v>
      </c>
      <c r="F386" s="2"/>
    </row>
    <row r="387" spans="1:6" x14ac:dyDescent="0.2">
      <c r="A387" s="29" t="s">
        <v>26</v>
      </c>
      <c r="B387" s="16">
        <f>SUM(B384:B386)</f>
        <v>194000</v>
      </c>
      <c r="C387" s="16">
        <f>SUM(C384:C386)</f>
        <v>194000</v>
      </c>
      <c r="D387" s="11">
        <f>SUM(D384:D386)</f>
        <v>218761</v>
      </c>
      <c r="E387" s="10">
        <f>D387/C387*100</f>
        <v>112.76340206185567</v>
      </c>
      <c r="F387" s="2"/>
    </row>
    <row r="388" spans="1:6" x14ac:dyDescent="0.2">
      <c r="A388" s="41" t="s">
        <v>51</v>
      </c>
      <c r="B388" s="30">
        <v>244000</v>
      </c>
      <c r="C388" s="30">
        <v>244000</v>
      </c>
      <c r="D388" s="5">
        <v>246180</v>
      </c>
      <c r="E388" s="17">
        <f>D388/C388*100</f>
        <v>100.89344262295081</v>
      </c>
      <c r="F388" s="2"/>
    </row>
    <row r="389" spans="1:6" x14ac:dyDescent="0.2">
      <c r="A389" s="19" t="s">
        <v>25</v>
      </c>
      <c r="B389" s="30">
        <v>160000</v>
      </c>
      <c r="C389" s="30">
        <v>160000</v>
      </c>
      <c r="D389" s="5">
        <v>120442</v>
      </c>
      <c r="E389" s="17">
        <f>D389/C389*100</f>
        <v>75.276250000000005</v>
      </c>
      <c r="F389" s="2"/>
    </row>
    <row r="390" spans="1:6" x14ac:dyDescent="0.2">
      <c r="A390" s="18" t="s">
        <v>24</v>
      </c>
      <c r="B390" s="16">
        <f>SUM(B388:B389)</f>
        <v>404000</v>
      </c>
      <c r="C390" s="16">
        <f>SUM(C388:C389)</f>
        <v>404000</v>
      </c>
      <c r="D390" s="11">
        <f>SUM(D388:D389)</f>
        <v>366622</v>
      </c>
      <c r="E390" s="10">
        <f>D390/C390*100</f>
        <v>90.748019801980192</v>
      </c>
      <c r="F390" s="2"/>
    </row>
    <row r="391" spans="1:6" x14ac:dyDescent="0.2">
      <c r="A391" s="37" t="s">
        <v>50</v>
      </c>
      <c r="B391" s="20">
        <v>538000</v>
      </c>
      <c r="C391" s="20">
        <v>538000</v>
      </c>
      <c r="D391" s="5">
        <v>166913</v>
      </c>
      <c r="E391" s="17">
        <f>D391/C391*100</f>
        <v>31.024721189591077</v>
      </c>
      <c r="F391" s="2"/>
    </row>
    <row r="392" spans="1:6" x14ac:dyDescent="0.2">
      <c r="A392" s="19" t="s">
        <v>23</v>
      </c>
      <c r="B392" s="20">
        <v>150000</v>
      </c>
      <c r="C392" s="20">
        <v>150000</v>
      </c>
      <c r="D392" s="5">
        <v>373190</v>
      </c>
      <c r="E392" s="17">
        <f>D392/C392*100</f>
        <v>248.79333333333332</v>
      </c>
      <c r="F392" s="2"/>
    </row>
    <row r="393" spans="1:6" x14ac:dyDescent="0.2">
      <c r="A393" s="19" t="s">
        <v>22</v>
      </c>
      <c r="B393" s="20">
        <v>110000</v>
      </c>
      <c r="C393" s="20">
        <v>110000</v>
      </c>
      <c r="D393" s="5">
        <v>127283</v>
      </c>
      <c r="E393" s="17">
        <f>D393/C393*100</f>
        <v>115.71181818181817</v>
      </c>
      <c r="F393" s="2"/>
    </row>
    <row r="394" spans="1:6" x14ac:dyDescent="0.2">
      <c r="A394" s="19" t="s">
        <v>21</v>
      </c>
      <c r="B394" s="20">
        <v>20000</v>
      </c>
      <c r="C394" s="20">
        <v>20000</v>
      </c>
      <c r="D394" s="5">
        <v>10861</v>
      </c>
      <c r="E394" s="17">
        <f>D394/C394*100</f>
        <v>54.305000000000007</v>
      </c>
      <c r="F394" s="2"/>
    </row>
    <row r="395" spans="1:6" x14ac:dyDescent="0.2">
      <c r="A395" s="18" t="s">
        <v>20</v>
      </c>
      <c r="B395" s="16">
        <f>SUM(B391:B394)</f>
        <v>818000</v>
      </c>
      <c r="C395" s="16">
        <f>SUM(C391:C394)</f>
        <v>818000</v>
      </c>
      <c r="D395" s="11">
        <f>SUM(D391:D394)</f>
        <v>678247</v>
      </c>
      <c r="E395" s="10">
        <f>D395/C395*100</f>
        <v>82.915281173594138</v>
      </c>
      <c r="F395" s="2"/>
    </row>
    <row r="396" spans="1:6" x14ac:dyDescent="0.2">
      <c r="A396" s="19" t="s">
        <v>19</v>
      </c>
      <c r="B396" s="20">
        <v>50000</v>
      </c>
      <c r="C396" s="20">
        <v>50000</v>
      </c>
      <c r="D396" s="5">
        <v>0</v>
      </c>
      <c r="E396" s="17">
        <f>D396/C396*100</f>
        <v>0</v>
      </c>
      <c r="F396" s="2"/>
    </row>
    <row r="397" spans="1:6" x14ac:dyDescent="0.2">
      <c r="A397" s="19" t="s">
        <v>91</v>
      </c>
      <c r="B397" s="20">
        <v>2400000</v>
      </c>
      <c r="C397" s="20">
        <v>2400000</v>
      </c>
      <c r="D397" s="5">
        <v>2154731</v>
      </c>
      <c r="E397" s="17">
        <f>D397/C397*100</f>
        <v>89.780458333333328</v>
      </c>
      <c r="F397" s="2"/>
    </row>
    <row r="398" spans="1:6" x14ac:dyDescent="0.2">
      <c r="A398" s="19" t="s">
        <v>17</v>
      </c>
      <c r="B398" s="20">
        <v>500000</v>
      </c>
      <c r="C398" s="20">
        <f>500000</f>
        <v>500000</v>
      </c>
      <c r="D398" s="5">
        <f>35900+691120</f>
        <v>727020</v>
      </c>
      <c r="E398" s="17">
        <f>D398/C398*100</f>
        <v>145.404</v>
      </c>
      <c r="F398" s="2"/>
    </row>
    <row r="399" spans="1:6" x14ac:dyDescent="0.2">
      <c r="A399" s="18" t="s">
        <v>6</v>
      </c>
      <c r="B399" s="16">
        <f>SUM(B396:B398)</f>
        <v>2950000</v>
      </c>
      <c r="C399" s="16">
        <f>SUM(C396:C398)</f>
        <v>2950000</v>
      </c>
      <c r="D399" s="11">
        <f>SUM(D396:D398)</f>
        <v>2881751</v>
      </c>
      <c r="E399" s="10">
        <f>D399/C399*100</f>
        <v>97.686474576271181</v>
      </c>
      <c r="F399" s="2"/>
    </row>
    <row r="400" spans="1:6" x14ac:dyDescent="0.2">
      <c r="A400" s="19" t="s">
        <v>90</v>
      </c>
      <c r="B400" s="20">
        <f>B397*0.27</f>
        <v>648000</v>
      </c>
      <c r="C400" s="20">
        <f>C397*0.27</f>
        <v>648000</v>
      </c>
      <c r="D400" s="5">
        <v>581778</v>
      </c>
      <c r="E400" s="17">
        <f>D400/C400*100</f>
        <v>89.780555555555551</v>
      </c>
      <c r="F400" s="2"/>
    </row>
    <row r="401" spans="1:6" x14ac:dyDescent="0.2">
      <c r="A401" s="19" t="s">
        <v>89</v>
      </c>
      <c r="B401" s="20">
        <f>(B380+B381+B382+B384+B385+B386+B388+B389+B392+B393+B394+B396+B398)*0.27+B391*0.05</f>
        <v>424610</v>
      </c>
      <c r="C401" s="20">
        <f>(C380+C381+C382+C384+C385+C386+C388+C389+C392+C393+C394+C396+C398)*0.27+C391*0.05</f>
        <v>424610</v>
      </c>
      <c r="D401" s="5">
        <v>332760</v>
      </c>
      <c r="E401" s="17">
        <f>D401/C401*100</f>
        <v>78.368385106332866</v>
      </c>
      <c r="F401" s="2"/>
    </row>
    <row r="402" spans="1:6" x14ac:dyDescent="0.2">
      <c r="A402" s="19" t="s">
        <v>88</v>
      </c>
      <c r="B402" s="20"/>
      <c r="C402" s="20"/>
      <c r="D402" s="5">
        <f>73606+18</f>
        <v>73624</v>
      </c>
      <c r="E402" s="17"/>
      <c r="F402" s="2"/>
    </row>
    <row r="403" spans="1:6" x14ac:dyDescent="0.2">
      <c r="A403" s="19" t="s">
        <v>87</v>
      </c>
      <c r="B403" s="20"/>
      <c r="C403" s="20"/>
      <c r="D403" s="5">
        <v>35000</v>
      </c>
      <c r="E403" s="17"/>
      <c r="F403" s="2"/>
    </row>
    <row r="404" spans="1:6" x14ac:dyDescent="0.2">
      <c r="A404" s="29" t="s">
        <v>13</v>
      </c>
      <c r="B404" s="16">
        <f>SUM(B400:B401)</f>
        <v>1072610</v>
      </c>
      <c r="C404" s="16">
        <f>SUM(C400:C401)</f>
        <v>1072610</v>
      </c>
      <c r="D404" s="11">
        <f>SUM(D400:D403)</f>
        <v>1023162</v>
      </c>
      <c r="E404" s="10">
        <f>D404/C404*100</f>
        <v>95.389936696469363</v>
      </c>
      <c r="F404" s="2"/>
    </row>
    <row r="405" spans="1:6" x14ac:dyDescent="0.2">
      <c r="A405" s="13" t="s">
        <v>5</v>
      </c>
      <c r="B405" s="16">
        <f>B383+B387+B390+B395+B399+B404</f>
        <v>5483610</v>
      </c>
      <c r="C405" s="16">
        <f>C383+C387+C390+C395+C399+C404</f>
        <v>5483610</v>
      </c>
      <c r="D405" s="11">
        <f>D383+D387+D390+D395+D399+D404</f>
        <v>5178684</v>
      </c>
      <c r="E405" s="10">
        <f>D405/C405*100</f>
        <v>94.439320082938067</v>
      </c>
      <c r="F405" s="2"/>
    </row>
    <row r="406" spans="1:6" x14ac:dyDescent="0.2">
      <c r="A406" s="13"/>
      <c r="B406" s="40"/>
      <c r="C406" s="40"/>
      <c r="D406" s="11"/>
      <c r="E406" s="10"/>
      <c r="F406" s="2"/>
    </row>
    <row r="407" spans="1:6" x14ac:dyDescent="0.2">
      <c r="A407" s="15" t="s">
        <v>4</v>
      </c>
      <c r="B407" s="40">
        <f>B372+B378+B405</f>
        <v>14039421</v>
      </c>
      <c r="C407" s="40">
        <f>C372+C378+C405</f>
        <v>14102681</v>
      </c>
      <c r="D407" s="11">
        <f>D372+D378+D405</f>
        <v>13729894</v>
      </c>
      <c r="E407" s="10">
        <f>D407/C407*100</f>
        <v>97.356623183918018</v>
      </c>
      <c r="F407" s="2"/>
    </row>
    <row r="408" spans="1:6" ht="13.5" thickBot="1" x14ac:dyDescent="0.25">
      <c r="A408" s="27"/>
      <c r="B408" s="27"/>
      <c r="C408" s="52"/>
      <c r="D408" s="63"/>
      <c r="E408" s="63"/>
      <c r="F408" s="2"/>
    </row>
    <row r="409" spans="1:6" ht="13.5" thickBot="1" x14ac:dyDescent="0.25">
      <c r="A409" s="54" t="s">
        <v>86</v>
      </c>
      <c r="B409" s="54"/>
      <c r="C409" s="54"/>
      <c r="D409" s="54"/>
      <c r="E409" s="54"/>
      <c r="F409" s="2"/>
    </row>
    <row r="410" spans="1:6" x14ac:dyDescent="0.2">
      <c r="A410" s="21"/>
      <c r="B410" s="21"/>
      <c r="C410" s="21"/>
      <c r="D410" s="5"/>
      <c r="E410" s="5"/>
      <c r="F410" s="2"/>
    </row>
    <row r="411" spans="1:6" x14ac:dyDescent="0.2">
      <c r="A411" s="21" t="s">
        <v>69</v>
      </c>
      <c r="B411" s="61">
        <v>2662120</v>
      </c>
      <c r="C411" s="61">
        <f>2662120</f>
        <v>2662120</v>
      </c>
      <c r="D411" s="5">
        <v>2508253</v>
      </c>
      <c r="E411" s="17">
        <f>D411/C411*100</f>
        <v>94.220132826469126</v>
      </c>
      <c r="F411" s="2"/>
    </row>
    <row r="412" spans="1:6" x14ac:dyDescent="0.2">
      <c r="A412" s="33" t="s">
        <v>37</v>
      </c>
      <c r="B412" s="61">
        <v>53200</v>
      </c>
      <c r="C412" s="61">
        <v>53200</v>
      </c>
      <c r="D412" s="5">
        <v>51000</v>
      </c>
      <c r="E412" s="17">
        <f>D412/C412*100</f>
        <v>95.864661654135347</v>
      </c>
      <c r="F412" s="2"/>
    </row>
    <row r="413" spans="1:6" x14ac:dyDescent="0.2">
      <c r="A413" s="33" t="s">
        <v>85</v>
      </c>
      <c r="B413" s="61">
        <v>18045</v>
      </c>
      <c r="C413" s="61">
        <v>18045</v>
      </c>
      <c r="D413" s="5">
        <v>9022</v>
      </c>
      <c r="E413" s="17">
        <f>D413/C413*100</f>
        <v>49.997229149348847</v>
      </c>
      <c r="F413" s="2"/>
    </row>
    <row r="414" spans="1:6" x14ac:dyDescent="0.2">
      <c r="A414" s="33" t="s">
        <v>63</v>
      </c>
      <c r="B414" s="61"/>
      <c r="C414" s="61">
        <f>52500+15900</f>
        <v>68400</v>
      </c>
      <c r="D414" s="5">
        <v>175036</v>
      </c>
      <c r="E414" s="17">
        <f>D414/C414*100</f>
        <v>255.90058479532166</v>
      </c>
      <c r="F414" s="2"/>
    </row>
    <row r="415" spans="1:6" x14ac:dyDescent="0.2">
      <c r="A415" s="14" t="s">
        <v>3</v>
      </c>
      <c r="B415" s="60">
        <f>SUM(B411:B413)</f>
        <v>2733365</v>
      </c>
      <c r="C415" s="60">
        <f>SUM(C411:C414)</f>
        <v>2801765</v>
      </c>
      <c r="D415" s="11">
        <f>SUM(D411:D414)</f>
        <v>2743311</v>
      </c>
      <c r="E415" s="10">
        <f>D415/C415*100</f>
        <v>97.913672274441282</v>
      </c>
      <c r="F415" s="2"/>
    </row>
    <row r="416" spans="1:6" x14ac:dyDescent="0.2">
      <c r="A416" s="14"/>
      <c r="B416" s="60"/>
      <c r="C416" s="60"/>
      <c r="D416" s="5"/>
      <c r="E416" s="17"/>
      <c r="F416" s="2"/>
    </row>
    <row r="417" spans="1:6" x14ac:dyDescent="0.2">
      <c r="A417" s="14"/>
      <c r="B417" s="60"/>
      <c r="C417" s="60"/>
      <c r="D417" s="5"/>
      <c r="E417" s="17"/>
      <c r="F417" s="2"/>
    </row>
    <row r="418" spans="1:6" x14ac:dyDescent="0.2">
      <c r="A418" s="21" t="s">
        <v>9</v>
      </c>
      <c r="B418" s="61">
        <f>52423+589636+1</f>
        <v>642060</v>
      </c>
      <c r="C418" s="61">
        <f>52423+589636+1+12055+3498</f>
        <v>657613</v>
      </c>
      <c r="D418" s="5">
        <v>602521</v>
      </c>
      <c r="E418" s="17">
        <f>D418/C418*100</f>
        <v>91.622428388733184</v>
      </c>
      <c r="F418" s="2"/>
    </row>
    <row r="419" spans="1:6" x14ac:dyDescent="0.2">
      <c r="A419" s="21" t="s">
        <v>35</v>
      </c>
      <c r="B419" s="61">
        <v>8789</v>
      </c>
      <c r="C419" s="61">
        <v>8789</v>
      </c>
      <c r="D419" s="5">
        <v>13240</v>
      </c>
      <c r="E419" s="17">
        <f>D419/C419*100</f>
        <v>150.64284901581522</v>
      </c>
      <c r="F419" s="2"/>
    </row>
    <row r="420" spans="1:6" x14ac:dyDescent="0.2">
      <c r="A420" s="21" t="s">
        <v>8</v>
      </c>
      <c r="B420" s="61">
        <v>10000</v>
      </c>
      <c r="C420" s="61">
        <v>10000</v>
      </c>
      <c r="D420" s="5">
        <v>0</v>
      </c>
      <c r="E420" s="17">
        <f>D420/C420*100</f>
        <v>0</v>
      </c>
      <c r="F420" s="2"/>
    </row>
    <row r="421" spans="1:6" x14ac:dyDescent="0.2">
      <c r="A421" s="21" t="s">
        <v>34</v>
      </c>
      <c r="B421" s="61">
        <v>9416</v>
      </c>
      <c r="C421" s="61">
        <v>9416</v>
      </c>
      <c r="D421" s="5">
        <v>9027</v>
      </c>
      <c r="E421" s="10">
        <f>D421/C421*100</f>
        <v>95.868734069668648</v>
      </c>
      <c r="F421" s="2"/>
    </row>
    <row r="422" spans="1:6" x14ac:dyDescent="0.2">
      <c r="A422" s="14" t="s">
        <v>2</v>
      </c>
      <c r="B422" s="60">
        <f>SUM(B418:B421)</f>
        <v>670265</v>
      </c>
      <c r="C422" s="60">
        <f>SUM(C418:C421)</f>
        <v>685818</v>
      </c>
      <c r="D422" s="11">
        <f>SUM(D418:D421)</f>
        <v>624788</v>
      </c>
      <c r="E422" s="17">
        <f>D422/C422*100</f>
        <v>91.101137619601701</v>
      </c>
      <c r="F422" s="2"/>
    </row>
    <row r="423" spans="1:6" x14ac:dyDescent="0.2">
      <c r="A423" s="14"/>
      <c r="B423" s="62"/>
      <c r="C423" s="62"/>
      <c r="D423" s="5"/>
      <c r="E423" s="17"/>
      <c r="F423" s="2"/>
    </row>
    <row r="424" spans="1:6" x14ac:dyDescent="0.2">
      <c r="A424" s="19" t="s">
        <v>28</v>
      </c>
      <c r="B424" s="61">
        <v>12000</v>
      </c>
      <c r="C424" s="61">
        <v>12000</v>
      </c>
      <c r="D424" s="5">
        <v>0</v>
      </c>
      <c r="E424" s="17">
        <f>D424/C424*100</f>
        <v>0</v>
      </c>
      <c r="F424" s="2"/>
    </row>
    <row r="425" spans="1:6" x14ac:dyDescent="0.2">
      <c r="A425" s="29" t="s">
        <v>26</v>
      </c>
      <c r="B425" s="60">
        <f>B424</f>
        <v>12000</v>
      </c>
      <c r="C425" s="60">
        <f>C424</f>
        <v>12000</v>
      </c>
      <c r="D425" s="11">
        <v>0</v>
      </c>
      <c r="E425" s="10">
        <f>D425/C425*100</f>
        <v>0</v>
      </c>
      <c r="F425" s="2"/>
    </row>
    <row r="426" spans="1:6" x14ac:dyDescent="0.2">
      <c r="A426" s="19" t="s">
        <v>14</v>
      </c>
      <c r="B426" s="61">
        <f>B424*0.27</f>
        <v>3240</v>
      </c>
      <c r="C426" s="61">
        <f>C424*0.27</f>
        <v>3240</v>
      </c>
      <c r="D426" s="5">
        <v>0</v>
      </c>
      <c r="E426" s="17">
        <f>D426/C426*100</f>
        <v>0</v>
      </c>
      <c r="F426" s="2"/>
    </row>
    <row r="427" spans="1:6" x14ac:dyDescent="0.2">
      <c r="A427" s="29" t="s">
        <v>13</v>
      </c>
      <c r="B427" s="60">
        <f>B426</f>
        <v>3240</v>
      </c>
      <c r="C427" s="60">
        <f>C426</f>
        <v>3240</v>
      </c>
      <c r="D427" s="11">
        <v>0</v>
      </c>
      <c r="E427" s="10">
        <f>D427/C427*100</f>
        <v>0</v>
      </c>
      <c r="F427" s="2"/>
    </row>
    <row r="428" spans="1:6" x14ac:dyDescent="0.2">
      <c r="A428" s="13" t="s">
        <v>5</v>
      </c>
      <c r="B428" s="60">
        <f>B425+B427</f>
        <v>15240</v>
      </c>
      <c r="C428" s="60">
        <f>C425+C427</f>
        <v>15240</v>
      </c>
      <c r="D428" s="11">
        <v>0</v>
      </c>
      <c r="E428" s="10">
        <f>D428/C428*100</f>
        <v>0</v>
      </c>
      <c r="F428" s="2"/>
    </row>
    <row r="429" spans="1:6" x14ac:dyDescent="0.2">
      <c r="A429" s="15"/>
      <c r="B429" s="48"/>
      <c r="C429" s="48"/>
      <c r="D429" s="5"/>
      <c r="E429" s="17"/>
      <c r="F429" s="2"/>
    </row>
    <row r="430" spans="1:6" x14ac:dyDescent="0.2">
      <c r="A430" s="15" t="s">
        <v>4</v>
      </c>
      <c r="B430" s="48">
        <f>B415+B422+B428</f>
        <v>3418870</v>
      </c>
      <c r="C430" s="48">
        <f>C415+C422+C428</f>
        <v>3502823</v>
      </c>
      <c r="D430" s="11">
        <f>D415+D422</f>
        <v>3368099</v>
      </c>
      <c r="E430" s="10">
        <f>D430/C430*100</f>
        <v>96.153845055830672</v>
      </c>
      <c r="F430" s="2"/>
    </row>
    <row r="431" spans="1:6" ht="13.5" thickBot="1" x14ac:dyDescent="0.25">
      <c r="A431" s="27"/>
      <c r="B431" s="27"/>
      <c r="C431" s="52"/>
      <c r="D431" s="25"/>
      <c r="E431" s="25"/>
      <c r="F431" s="2"/>
    </row>
    <row r="432" spans="1:6" ht="13.5" thickBot="1" x14ac:dyDescent="0.25">
      <c r="A432" s="54" t="s">
        <v>84</v>
      </c>
      <c r="B432" s="54"/>
      <c r="C432" s="54"/>
      <c r="D432" s="54"/>
      <c r="E432" s="54"/>
      <c r="F432" s="2"/>
    </row>
    <row r="433" spans="1:6" x14ac:dyDescent="0.2">
      <c r="A433" s="21"/>
      <c r="B433" s="21"/>
      <c r="C433" s="55"/>
      <c r="D433" s="5"/>
      <c r="E433" s="5"/>
      <c r="F433" s="2"/>
    </row>
    <row r="434" spans="1:6" x14ac:dyDescent="0.2">
      <c r="A434" s="21" t="s">
        <v>83</v>
      </c>
      <c r="B434" s="55">
        <v>13899019</v>
      </c>
      <c r="C434" s="55">
        <f>13899019+298021+765000+191250-600000</f>
        <v>14553290</v>
      </c>
      <c r="D434" s="5">
        <v>13925487</v>
      </c>
      <c r="E434" s="17">
        <f>D434/C434*100</f>
        <v>95.686178176893335</v>
      </c>
      <c r="F434" s="2"/>
    </row>
    <row r="435" spans="1:6" x14ac:dyDescent="0.2">
      <c r="A435" s="33" t="s">
        <v>37</v>
      </c>
      <c r="B435" s="55">
        <v>277980</v>
      </c>
      <c r="C435" s="55">
        <v>277980</v>
      </c>
      <c r="D435" s="5">
        <v>314000</v>
      </c>
      <c r="E435" s="17">
        <f>D435/C435*100</f>
        <v>112.95776674580904</v>
      </c>
      <c r="F435" s="2"/>
    </row>
    <row r="436" spans="1:6" x14ac:dyDescent="0.2">
      <c r="A436" s="33" t="s">
        <v>64</v>
      </c>
      <c r="B436" s="31">
        <v>138315</v>
      </c>
      <c r="C436" s="31">
        <v>138315</v>
      </c>
      <c r="D436" s="5">
        <f>7780+54132</f>
        <v>61912</v>
      </c>
      <c r="E436" s="17">
        <f>D436/C436*100</f>
        <v>44.761594910168817</v>
      </c>
      <c r="F436" s="2"/>
    </row>
    <row r="437" spans="1:6" x14ac:dyDescent="0.2">
      <c r="A437" s="33" t="s">
        <v>82</v>
      </c>
      <c r="B437" s="31">
        <v>480000</v>
      </c>
      <c r="C437" s="31">
        <v>480000</v>
      </c>
      <c r="D437" s="5">
        <v>396000</v>
      </c>
      <c r="E437" s="17">
        <f>D437/C437*100</f>
        <v>82.5</v>
      </c>
      <c r="F437" s="2"/>
    </row>
    <row r="438" spans="1:6" x14ac:dyDescent="0.2">
      <c r="A438" s="33" t="s">
        <v>63</v>
      </c>
      <c r="B438" s="31">
        <v>10000</v>
      </c>
      <c r="C438" s="31">
        <f>117900+34800</f>
        <v>152700</v>
      </c>
      <c r="D438" s="5">
        <v>373866</v>
      </c>
      <c r="E438" s="17">
        <f>D438/C438*100</f>
        <v>244.83693516699412</v>
      </c>
      <c r="F438" s="2"/>
    </row>
    <row r="439" spans="1:6" x14ac:dyDescent="0.2">
      <c r="A439" s="33" t="s">
        <v>73</v>
      </c>
      <c r="B439" s="31"/>
      <c r="C439" s="31">
        <v>10000</v>
      </c>
      <c r="D439" s="5">
        <v>0</v>
      </c>
      <c r="E439" s="17">
        <f>D439/C439*100</f>
        <v>0</v>
      </c>
      <c r="F439" s="2"/>
    </row>
    <row r="440" spans="1:6" x14ac:dyDescent="0.2">
      <c r="A440" s="14" t="s">
        <v>3</v>
      </c>
      <c r="B440" s="11">
        <f>SUM(B434:B438)</f>
        <v>14805314</v>
      </c>
      <c r="C440" s="11">
        <f>SUM(C434:C439)</f>
        <v>15612285</v>
      </c>
      <c r="D440" s="11">
        <f>SUM(D434:D439)</f>
        <v>15071265</v>
      </c>
      <c r="E440" s="10">
        <f>D440/C440*100</f>
        <v>96.5346520384428</v>
      </c>
      <c r="F440" s="2"/>
    </row>
    <row r="441" spans="1:6" x14ac:dyDescent="0.2">
      <c r="A441" s="14"/>
      <c r="B441" s="55"/>
      <c r="C441" s="55"/>
      <c r="D441" s="5"/>
      <c r="E441" s="17"/>
      <c r="F441" s="2"/>
    </row>
    <row r="442" spans="1:6" x14ac:dyDescent="0.2">
      <c r="A442" s="21" t="s">
        <v>9</v>
      </c>
      <c r="B442" s="31">
        <f>264527+2982673+1</f>
        <v>3247201</v>
      </c>
      <c r="C442" s="31">
        <f>264527+2982673+1+65565+168304+27193+42076+7656-75000</f>
        <v>3482995</v>
      </c>
      <c r="D442" s="5">
        <v>3207197</v>
      </c>
      <c r="E442" s="17">
        <f>D442/C442*100</f>
        <v>92.081584957773416</v>
      </c>
      <c r="F442" s="2"/>
    </row>
    <row r="443" spans="1:6" x14ac:dyDescent="0.2">
      <c r="A443" s="21" t="s">
        <v>35</v>
      </c>
      <c r="B443" s="31">
        <v>60318</v>
      </c>
      <c r="C443" s="31">
        <v>60318</v>
      </c>
      <c r="D443" s="5">
        <v>81516</v>
      </c>
      <c r="E443" s="17">
        <f>D443/C443*100</f>
        <v>135.14373818760569</v>
      </c>
      <c r="F443" s="2"/>
    </row>
    <row r="444" spans="1:6" x14ac:dyDescent="0.2">
      <c r="A444" s="21" t="s">
        <v>8</v>
      </c>
      <c r="B444" s="31">
        <v>20000</v>
      </c>
      <c r="C444" s="31">
        <v>20000</v>
      </c>
      <c r="D444" s="5">
        <v>25687</v>
      </c>
      <c r="E444" s="17">
        <f>D444/C444*100</f>
        <v>128.435</v>
      </c>
      <c r="F444" s="2"/>
    </row>
    <row r="445" spans="1:6" x14ac:dyDescent="0.2">
      <c r="A445" s="21" t="s">
        <v>34</v>
      </c>
      <c r="B445" s="31">
        <v>50972</v>
      </c>
      <c r="C445" s="31">
        <v>50972</v>
      </c>
      <c r="D445" s="5">
        <v>55578</v>
      </c>
      <c r="E445" s="17">
        <f>D445/C445*100</f>
        <v>109.03633367338932</v>
      </c>
      <c r="F445" s="2"/>
    </row>
    <row r="446" spans="1:6" x14ac:dyDescent="0.2">
      <c r="A446" s="14" t="s">
        <v>2</v>
      </c>
      <c r="B446" s="48">
        <f>SUM(B442:B445)</f>
        <v>3378491</v>
      </c>
      <c r="C446" s="48">
        <f>SUM(C442:C445)</f>
        <v>3614285</v>
      </c>
      <c r="D446" s="11">
        <f>SUM(D442:D445)</f>
        <v>3369978</v>
      </c>
      <c r="E446" s="10">
        <f>D446/C446*100</f>
        <v>93.240516450694955</v>
      </c>
      <c r="F446" s="2"/>
    </row>
    <row r="447" spans="1:6" x14ac:dyDescent="0.2">
      <c r="A447" s="14"/>
      <c r="B447" s="48"/>
      <c r="C447" s="48"/>
      <c r="D447" s="5"/>
      <c r="E447" s="17"/>
      <c r="F447" s="2"/>
    </row>
    <row r="448" spans="1:6" x14ac:dyDescent="0.2">
      <c r="A448" s="33" t="s">
        <v>42</v>
      </c>
      <c r="B448" s="31">
        <v>10000</v>
      </c>
      <c r="C448" s="31">
        <v>10000</v>
      </c>
      <c r="D448" s="5">
        <v>1150</v>
      </c>
      <c r="E448" s="17">
        <f>D448/C448*100</f>
        <v>11.5</v>
      </c>
      <c r="F448" s="2"/>
    </row>
    <row r="449" spans="1:6" x14ac:dyDescent="0.2">
      <c r="A449" s="19" t="s">
        <v>32</v>
      </c>
      <c r="B449" s="31">
        <v>40000</v>
      </c>
      <c r="C449" s="31">
        <v>40000</v>
      </c>
      <c r="D449" s="5">
        <v>36457</v>
      </c>
      <c r="E449" s="17">
        <f>D449/C449*100</f>
        <v>91.142499999999998</v>
      </c>
      <c r="F449" s="2"/>
    </row>
    <row r="450" spans="1:6" x14ac:dyDescent="0.2">
      <c r="A450" s="19" t="s">
        <v>31</v>
      </c>
      <c r="B450" s="20">
        <v>40000</v>
      </c>
      <c r="C450" s="20">
        <v>40000</v>
      </c>
      <c r="D450" s="5">
        <v>0</v>
      </c>
      <c r="E450" s="17">
        <f>D450/C450*100</f>
        <v>0</v>
      </c>
      <c r="F450" s="2"/>
    </row>
    <row r="451" spans="1:6" x14ac:dyDescent="0.2">
      <c r="A451" s="29" t="s">
        <v>30</v>
      </c>
      <c r="B451" s="16">
        <f>SUM(B448:B450)</f>
        <v>90000</v>
      </c>
      <c r="C451" s="16">
        <f>SUM(C448:C450)</f>
        <v>90000</v>
      </c>
      <c r="D451" s="11">
        <f>SUM(D448:D450)</f>
        <v>37607</v>
      </c>
      <c r="E451" s="10">
        <f>D451/C451*100</f>
        <v>41.785555555555554</v>
      </c>
      <c r="F451" s="2"/>
    </row>
    <row r="452" spans="1:6" x14ac:dyDescent="0.2">
      <c r="A452" s="41" t="s">
        <v>81</v>
      </c>
      <c r="B452" s="16"/>
      <c r="C452" s="16"/>
      <c r="D452" s="5">
        <v>5424</v>
      </c>
      <c r="E452" s="17"/>
      <c r="F452" s="2"/>
    </row>
    <row r="453" spans="1:6" x14ac:dyDescent="0.2">
      <c r="A453" s="19" t="s">
        <v>29</v>
      </c>
      <c r="B453" s="30">
        <v>40000</v>
      </c>
      <c r="C453" s="30">
        <v>40000</v>
      </c>
      <c r="D453" s="5">
        <v>25257</v>
      </c>
      <c r="E453" s="17">
        <f>D453/C453*100</f>
        <v>63.142499999999998</v>
      </c>
      <c r="F453" s="2"/>
    </row>
    <row r="454" spans="1:6" x14ac:dyDescent="0.2">
      <c r="A454" s="19" t="s">
        <v>76</v>
      </c>
      <c r="B454" s="30">
        <v>10000</v>
      </c>
      <c r="C454" s="30">
        <v>10000</v>
      </c>
      <c r="D454" s="5">
        <v>4689</v>
      </c>
      <c r="E454" s="17">
        <f>D454/C454*100</f>
        <v>46.89</v>
      </c>
      <c r="F454" s="2"/>
    </row>
    <row r="455" spans="1:6" x14ac:dyDescent="0.2">
      <c r="A455" s="19" t="s">
        <v>28</v>
      </c>
      <c r="B455" s="30">
        <f>7*12000</f>
        <v>84000</v>
      </c>
      <c r="C455" s="30">
        <f>7*12000</f>
        <v>84000</v>
      </c>
      <c r="D455" s="5">
        <v>70866</v>
      </c>
      <c r="E455" s="17">
        <f>D455/C455*100</f>
        <v>84.364285714285714</v>
      </c>
      <c r="F455" s="2"/>
    </row>
    <row r="456" spans="1:6" x14ac:dyDescent="0.2">
      <c r="A456" s="19" t="s">
        <v>27</v>
      </c>
      <c r="B456" s="30">
        <v>200000</v>
      </c>
      <c r="C456" s="30">
        <v>200000</v>
      </c>
      <c r="D456" s="5">
        <v>238179</v>
      </c>
      <c r="E456" s="17">
        <f>D456/C456*100</f>
        <v>119.0895</v>
      </c>
      <c r="F456" s="2"/>
    </row>
    <row r="457" spans="1:6" x14ac:dyDescent="0.2">
      <c r="A457" s="29" t="s">
        <v>26</v>
      </c>
      <c r="B457" s="16">
        <f>SUM(B453:B456)</f>
        <v>334000</v>
      </c>
      <c r="C457" s="16">
        <f>SUM(C453:C456)</f>
        <v>334000</v>
      </c>
      <c r="D457" s="11">
        <f>SUM(D452:D456)</f>
        <v>344415</v>
      </c>
      <c r="E457" s="10">
        <f>D457/C457*100</f>
        <v>103.11826347305389</v>
      </c>
      <c r="F457" s="2"/>
    </row>
    <row r="458" spans="1:6" x14ac:dyDescent="0.2">
      <c r="A458" s="41" t="s">
        <v>51</v>
      </c>
      <c r="B458" s="30">
        <v>108000</v>
      </c>
      <c r="C458" s="30">
        <v>108000</v>
      </c>
      <c r="D458" s="5">
        <v>50500</v>
      </c>
      <c r="E458" s="17">
        <f>D458/C458*100</f>
        <v>46.75925925925926</v>
      </c>
      <c r="F458" s="2"/>
    </row>
    <row r="459" spans="1:6" x14ac:dyDescent="0.2">
      <c r="A459" s="19" t="s">
        <v>25</v>
      </c>
      <c r="B459" s="30">
        <v>20000</v>
      </c>
      <c r="C459" s="30">
        <v>20000</v>
      </c>
      <c r="D459" s="5">
        <v>45131</v>
      </c>
      <c r="E459" s="17">
        <f>D459/C459*100</f>
        <v>225.65499999999997</v>
      </c>
      <c r="F459" s="2"/>
    </row>
    <row r="460" spans="1:6" x14ac:dyDescent="0.2">
      <c r="A460" s="18" t="s">
        <v>24</v>
      </c>
      <c r="B460" s="16">
        <f>SUM(B458:B459)</f>
        <v>128000</v>
      </c>
      <c r="C460" s="16">
        <f>SUM(C458:C459)</f>
        <v>128000</v>
      </c>
      <c r="D460" s="11">
        <f>SUM(D458:D459)</f>
        <v>95631</v>
      </c>
      <c r="E460" s="10">
        <f>D460/C460*100</f>
        <v>74.711718750000003</v>
      </c>
      <c r="F460" s="2"/>
    </row>
    <row r="461" spans="1:6" x14ac:dyDescent="0.2">
      <c r="A461" s="19" t="s">
        <v>23</v>
      </c>
      <c r="B461" s="20">
        <v>700000</v>
      </c>
      <c r="C461" s="20">
        <v>700000</v>
      </c>
      <c r="D461" s="5">
        <v>388338</v>
      </c>
      <c r="E461" s="17">
        <f>D461/C461*100</f>
        <v>55.476857142857142</v>
      </c>
      <c r="F461" s="2"/>
    </row>
    <row r="462" spans="1:6" x14ac:dyDescent="0.2">
      <c r="A462" s="19" t="s">
        <v>22</v>
      </c>
      <c r="B462" s="20">
        <v>130000</v>
      </c>
      <c r="C462" s="20">
        <v>130000</v>
      </c>
      <c r="D462" s="5">
        <v>76416</v>
      </c>
      <c r="E462" s="17">
        <f>D462/C462*100</f>
        <v>58.78153846153846</v>
      </c>
      <c r="F462" s="2"/>
    </row>
    <row r="463" spans="1:6" x14ac:dyDescent="0.2">
      <c r="A463" s="19" t="s">
        <v>21</v>
      </c>
      <c r="B463" s="20">
        <v>120000</v>
      </c>
      <c r="C463" s="20">
        <v>120000</v>
      </c>
      <c r="D463" s="5">
        <v>108093</v>
      </c>
      <c r="E463" s="17">
        <f>D463/C463*100</f>
        <v>90.077500000000001</v>
      </c>
      <c r="F463" s="2"/>
    </row>
    <row r="464" spans="1:6" x14ac:dyDescent="0.2">
      <c r="A464" s="18" t="s">
        <v>20</v>
      </c>
      <c r="B464" s="16">
        <f>SUM(B461:B463)</f>
        <v>950000</v>
      </c>
      <c r="C464" s="16">
        <f>SUM(C461:C463)</f>
        <v>950000</v>
      </c>
      <c r="D464" s="11">
        <f>SUM(D461:D463)</f>
        <v>572847</v>
      </c>
      <c r="E464" s="10">
        <f>D464/C464*100</f>
        <v>60.299684210526316</v>
      </c>
      <c r="F464" s="2"/>
    </row>
    <row r="465" spans="1:6" x14ac:dyDescent="0.2">
      <c r="A465" s="19" t="s">
        <v>19</v>
      </c>
      <c r="B465" s="20">
        <v>150000</v>
      </c>
      <c r="C465" s="20">
        <v>150000</v>
      </c>
      <c r="D465" s="5">
        <v>106129</v>
      </c>
      <c r="E465" s="17">
        <f>D465/C465*100</f>
        <v>70.75266666666667</v>
      </c>
      <c r="F465" s="2"/>
    </row>
    <row r="466" spans="1:6" x14ac:dyDescent="0.2">
      <c r="A466" s="19" t="s">
        <v>40</v>
      </c>
      <c r="B466" s="20">
        <v>60000</v>
      </c>
      <c r="C466" s="20">
        <v>60000</v>
      </c>
      <c r="D466" s="5">
        <v>5512</v>
      </c>
      <c r="E466" s="17">
        <f>D466/C466*100</f>
        <v>9.1866666666666674</v>
      </c>
      <c r="F466" s="2"/>
    </row>
    <row r="467" spans="1:6" x14ac:dyDescent="0.2">
      <c r="A467" s="19" t="s">
        <v>17</v>
      </c>
      <c r="B467" s="30">
        <v>100000</v>
      </c>
      <c r="C467" s="30">
        <v>100000</v>
      </c>
      <c r="D467" s="5">
        <v>121558</v>
      </c>
      <c r="E467" s="17">
        <f>D467/C467*100</f>
        <v>121.55800000000001</v>
      </c>
      <c r="F467" s="2"/>
    </row>
    <row r="468" spans="1:6" x14ac:dyDescent="0.2">
      <c r="A468" s="18" t="s">
        <v>6</v>
      </c>
      <c r="B468" s="16">
        <f>SUM(B465:B467)</f>
        <v>310000</v>
      </c>
      <c r="C468" s="16">
        <f>SUM(C465:C467)</f>
        <v>310000</v>
      </c>
      <c r="D468" s="11">
        <f>SUM(D465:D467)</f>
        <v>233199</v>
      </c>
      <c r="E468" s="10">
        <f>D468/C468*100</f>
        <v>75.22548387096775</v>
      </c>
      <c r="F468" s="2"/>
    </row>
    <row r="469" spans="1:6" x14ac:dyDescent="0.2">
      <c r="A469" s="37" t="s">
        <v>80</v>
      </c>
      <c r="B469" s="20">
        <v>6000</v>
      </c>
      <c r="C469" s="20">
        <v>6000</v>
      </c>
      <c r="D469" s="5">
        <v>19190</v>
      </c>
      <c r="E469" s="17">
        <f>D469/C469*100</f>
        <v>319.83333333333331</v>
      </c>
      <c r="F469" s="2"/>
    </row>
    <row r="470" spans="1:6" x14ac:dyDescent="0.2">
      <c r="A470" s="19" t="s">
        <v>14</v>
      </c>
      <c r="B470" s="20">
        <f>(B448+B449+B453+B454+B455+B456+B458+B459+B461+B462+B463+B465+B467+B450+B466)*0.27</f>
        <v>489240.00000000006</v>
      </c>
      <c r="C470" s="20">
        <f>(C448+C449+C453+C454+C455+C456+C458+C459+C461+C462+C463+C465+C467+C450+C466)*0.27-150000</f>
        <v>339240.00000000006</v>
      </c>
      <c r="D470" s="5">
        <v>311992</v>
      </c>
      <c r="E470" s="17">
        <f>D470/C470*100</f>
        <v>91.967928310340739</v>
      </c>
      <c r="F470" s="2"/>
    </row>
    <row r="471" spans="1:6" x14ac:dyDescent="0.2">
      <c r="A471" s="29" t="s">
        <v>13</v>
      </c>
      <c r="B471" s="16">
        <f>SUM(B469:B470)</f>
        <v>495240.00000000006</v>
      </c>
      <c r="C471" s="16">
        <f>SUM(C469:C470)</f>
        <v>345240.00000000006</v>
      </c>
      <c r="D471" s="11">
        <f>SUM(D469:D470)</f>
        <v>331182</v>
      </c>
      <c r="E471" s="10">
        <f>D471/C471*100</f>
        <v>95.928050052137621</v>
      </c>
      <c r="F471" s="2"/>
    </row>
    <row r="472" spans="1:6" x14ac:dyDescent="0.2">
      <c r="A472" s="13" t="s">
        <v>5</v>
      </c>
      <c r="B472" s="16">
        <f>B451+B457+B460+B464+B468+B471</f>
        <v>2307240</v>
      </c>
      <c r="C472" s="16">
        <f>C451+C457+C460+C464+C468+C471</f>
        <v>2157240</v>
      </c>
      <c r="D472" s="11">
        <f>D451+D457+D460+D464+D468+D471</f>
        <v>1614881</v>
      </c>
      <c r="E472" s="10">
        <f>D472/C472*100</f>
        <v>74.858661994029404</v>
      </c>
      <c r="F472" s="2"/>
    </row>
    <row r="473" spans="1:6" x14ac:dyDescent="0.2">
      <c r="A473" s="13"/>
      <c r="B473" s="20"/>
      <c r="C473" s="20"/>
      <c r="D473" s="5"/>
      <c r="E473" s="10"/>
      <c r="F473" s="2"/>
    </row>
    <row r="474" spans="1:6" x14ac:dyDescent="0.2">
      <c r="A474" s="15" t="s">
        <v>4</v>
      </c>
      <c r="B474" s="16">
        <f>B440+B446+B472</f>
        <v>20491045</v>
      </c>
      <c r="C474" s="16">
        <f>C440+C446+C472</f>
        <v>21383810</v>
      </c>
      <c r="D474" s="11">
        <f>D440+D446+D472</f>
        <v>20056124</v>
      </c>
      <c r="E474" s="10">
        <f>D474/C474*100</f>
        <v>93.791162566446289</v>
      </c>
      <c r="F474" s="2"/>
    </row>
    <row r="475" spans="1:6" ht="13.5" thickBot="1" x14ac:dyDescent="0.25">
      <c r="A475" s="27"/>
      <c r="B475" s="27"/>
      <c r="C475" s="59"/>
      <c r="D475" s="25"/>
      <c r="E475" s="25"/>
      <c r="F475" s="2"/>
    </row>
    <row r="476" spans="1:6" ht="13.5" thickBot="1" x14ac:dyDescent="0.25">
      <c r="A476" s="54" t="s">
        <v>79</v>
      </c>
      <c r="B476" s="54"/>
      <c r="C476" s="54"/>
      <c r="D476" s="54"/>
      <c r="E476" s="54"/>
      <c r="F476" s="2"/>
    </row>
    <row r="477" spans="1:6" x14ac:dyDescent="0.2">
      <c r="A477" s="21"/>
      <c r="B477" s="21"/>
      <c r="C477" s="55"/>
      <c r="D477" s="5"/>
      <c r="E477" s="5"/>
      <c r="F477" s="2"/>
    </row>
    <row r="478" spans="1:6" x14ac:dyDescent="0.2">
      <c r="A478" s="21" t="s">
        <v>78</v>
      </c>
      <c r="B478" s="55">
        <v>21337365</v>
      </c>
      <c r="C478" s="55">
        <f>21337365+966000+1243125+732290+966875+286875-966000-300000</f>
        <v>24266530</v>
      </c>
      <c r="D478" s="5">
        <v>23857979</v>
      </c>
      <c r="E478" s="17">
        <f>D478/C478*100</f>
        <v>98.316401232479464</v>
      </c>
      <c r="F478" s="2"/>
    </row>
    <row r="479" spans="1:6" x14ac:dyDescent="0.2">
      <c r="A479" s="33" t="s">
        <v>37</v>
      </c>
      <c r="B479" s="55">
        <v>464567</v>
      </c>
      <c r="C479" s="55">
        <v>464567</v>
      </c>
      <c r="D479" s="5">
        <v>544000</v>
      </c>
      <c r="E479" s="17">
        <f>D479/C479*100</f>
        <v>117.09828722229516</v>
      </c>
      <c r="F479" s="2"/>
    </row>
    <row r="480" spans="1:6" x14ac:dyDescent="0.2">
      <c r="A480" s="33" t="s">
        <v>46</v>
      </c>
      <c r="B480" s="55">
        <v>805000</v>
      </c>
      <c r="C480" s="55">
        <v>805000</v>
      </c>
      <c r="D480" s="5">
        <v>483000</v>
      </c>
      <c r="E480" s="17">
        <f>D480/C480*100</f>
        <v>60</v>
      </c>
      <c r="F480" s="2"/>
    </row>
    <row r="481" spans="1:6" x14ac:dyDescent="0.2">
      <c r="A481" s="33" t="s">
        <v>65</v>
      </c>
      <c r="B481" s="55"/>
      <c r="C481" s="55"/>
      <c r="D481" s="5">
        <v>240952</v>
      </c>
      <c r="E481" s="17"/>
      <c r="F481" s="2"/>
    </row>
    <row r="482" spans="1:6" x14ac:dyDescent="0.2">
      <c r="A482" s="33" t="s">
        <v>64</v>
      </c>
      <c r="B482" s="55">
        <v>198495</v>
      </c>
      <c r="C482" s="55">
        <v>198495</v>
      </c>
      <c r="D482" s="5">
        <v>93980</v>
      </c>
      <c r="E482" s="17">
        <f>D482/C482*100</f>
        <v>47.346280762739617</v>
      </c>
      <c r="F482" s="2"/>
    </row>
    <row r="483" spans="1:6" x14ac:dyDescent="0.2">
      <c r="A483" s="33" t="s">
        <v>45</v>
      </c>
      <c r="B483" s="55">
        <v>20000</v>
      </c>
      <c r="C483" s="55">
        <f>20000+171600+55200</f>
        <v>246800</v>
      </c>
      <c r="D483" s="5">
        <v>574145</v>
      </c>
      <c r="E483" s="17">
        <f>D483/C483*100</f>
        <v>232.63573743922205</v>
      </c>
      <c r="F483" s="2"/>
    </row>
    <row r="484" spans="1:6" x14ac:dyDescent="0.2">
      <c r="A484" s="33" t="s">
        <v>73</v>
      </c>
      <c r="B484" s="55">
        <v>6000</v>
      </c>
      <c r="C484" s="55">
        <v>6000</v>
      </c>
      <c r="D484" s="5">
        <v>0</v>
      </c>
      <c r="E484" s="17">
        <f>D484/C484*100</f>
        <v>0</v>
      </c>
      <c r="F484" s="2"/>
    </row>
    <row r="485" spans="1:6" x14ac:dyDescent="0.2">
      <c r="A485" s="14" t="s">
        <v>3</v>
      </c>
      <c r="B485" s="48">
        <f>SUM(B478:B484)</f>
        <v>22831427</v>
      </c>
      <c r="C485" s="48">
        <f>SUM(C478:C484)</f>
        <v>25987392</v>
      </c>
      <c r="D485" s="11">
        <f>SUM(D478:D484)</f>
        <v>25794056</v>
      </c>
      <c r="E485" s="10">
        <f>D485/C485*100</f>
        <v>99.256039236257337</v>
      </c>
      <c r="F485" s="2"/>
    </row>
    <row r="486" spans="1:6" x14ac:dyDescent="0.2">
      <c r="A486" s="14"/>
      <c r="B486" s="48"/>
      <c r="C486" s="48"/>
      <c r="D486" s="5"/>
      <c r="E486" s="17"/>
      <c r="F486" s="2"/>
    </row>
    <row r="487" spans="1:6" x14ac:dyDescent="0.2">
      <c r="A487" s="21" t="s">
        <v>9</v>
      </c>
      <c r="B487" s="55">
        <v>5002986</v>
      </c>
      <c r="C487" s="55">
        <f>5002986+212520+273494+142823+38972+63114-212520+12144-50000</f>
        <v>5483533</v>
      </c>
      <c r="D487" s="5">
        <v>5409741</v>
      </c>
      <c r="E487" s="17">
        <f>D487/C487*100</f>
        <v>98.654298241662815</v>
      </c>
      <c r="F487" s="2"/>
    </row>
    <row r="488" spans="1:6" x14ac:dyDescent="0.2">
      <c r="A488" s="21" t="s">
        <v>35</v>
      </c>
      <c r="B488" s="55">
        <v>78304</v>
      </c>
      <c r="C488" s="55">
        <v>78304</v>
      </c>
      <c r="D488" s="5">
        <v>141225</v>
      </c>
      <c r="E488" s="17">
        <f>D488/C488*100</f>
        <v>180.35477114834489</v>
      </c>
      <c r="F488" s="2"/>
    </row>
    <row r="489" spans="1:6" x14ac:dyDescent="0.2">
      <c r="A489" s="21" t="s">
        <v>77</v>
      </c>
      <c r="B489" s="55">
        <v>20000</v>
      </c>
      <c r="C489" s="55">
        <v>20000</v>
      </c>
      <c r="D489" s="5">
        <v>71141</v>
      </c>
      <c r="E489" s="17">
        <f>D489/C489*100</f>
        <v>355.70499999999998</v>
      </c>
      <c r="F489" s="2"/>
    </row>
    <row r="490" spans="1:6" x14ac:dyDescent="0.2">
      <c r="A490" s="21" t="s">
        <v>34</v>
      </c>
      <c r="B490" s="55">
        <v>83290</v>
      </c>
      <c r="C490" s="55">
        <v>83290</v>
      </c>
      <c r="D490" s="5">
        <v>96288</v>
      </c>
      <c r="E490" s="17">
        <f>D490/C490*100</f>
        <v>115.60571497178533</v>
      </c>
      <c r="F490" s="2"/>
    </row>
    <row r="491" spans="1:6" x14ac:dyDescent="0.2">
      <c r="A491" s="14" t="s">
        <v>2</v>
      </c>
      <c r="B491" s="48">
        <f>SUM(B487:B490)</f>
        <v>5184580</v>
      </c>
      <c r="C491" s="48">
        <f>SUM(C487:C490)</f>
        <v>5665127</v>
      </c>
      <c r="D491" s="11">
        <f>SUM(D487:D490)</f>
        <v>5718395</v>
      </c>
      <c r="E491" s="10">
        <f>D491/C491*100</f>
        <v>100.94027900874949</v>
      </c>
      <c r="F491" s="2"/>
    </row>
    <row r="492" spans="1:6" x14ac:dyDescent="0.2">
      <c r="A492" s="14"/>
      <c r="B492" s="48"/>
      <c r="C492" s="48"/>
      <c r="D492" s="5"/>
      <c r="E492" s="17"/>
      <c r="F492" s="2"/>
    </row>
    <row r="493" spans="1:6" x14ac:dyDescent="0.2">
      <c r="A493" s="33" t="s">
        <v>42</v>
      </c>
      <c r="B493" s="31">
        <v>10000</v>
      </c>
      <c r="C493" s="31">
        <v>10000</v>
      </c>
      <c r="D493" s="5">
        <v>5153</v>
      </c>
      <c r="E493" s="17">
        <f>D493/C493*100</f>
        <v>51.53</v>
      </c>
      <c r="F493" s="2"/>
    </row>
    <row r="494" spans="1:6" x14ac:dyDescent="0.2">
      <c r="A494" s="19" t="s">
        <v>31</v>
      </c>
      <c r="B494" s="20">
        <v>60000</v>
      </c>
      <c r="C494" s="20">
        <v>60000</v>
      </c>
      <c r="D494" s="5">
        <v>0</v>
      </c>
      <c r="E494" s="17">
        <f>D494/C494*100</f>
        <v>0</v>
      </c>
      <c r="F494" s="2"/>
    </row>
    <row r="495" spans="1:6" x14ac:dyDescent="0.2">
      <c r="A495" s="29" t="s">
        <v>30</v>
      </c>
      <c r="B495" s="16">
        <f>SUM(B493:B494)</f>
        <v>70000</v>
      </c>
      <c r="C495" s="16">
        <f>SUM(C493:C494)</f>
        <v>70000</v>
      </c>
      <c r="D495" s="11">
        <f>SUM(D493:D494)</f>
        <v>5153</v>
      </c>
      <c r="E495" s="10">
        <f>D495/C495*100</f>
        <v>7.3614285714285712</v>
      </c>
      <c r="F495" s="2"/>
    </row>
    <row r="496" spans="1:6" x14ac:dyDescent="0.2">
      <c r="A496" s="19" t="s">
        <v>29</v>
      </c>
      <c r="B496" s="20">
        <v>60000</v>
      </c>
      <c r="C496" s="20">
        <v>60000</v>
      </c>
      <c r="D496" s="5">
        <v>75797</v>
      </c>
      <c r="E496" s="17">
        <f>D496/C496*100</f>
        <v>126.32833333333333</v>
      </c>
      <c r="F496" s="2"/>
    </row>
    <row r="497" spans="1:6" x14ac:dyDescent="0.2">
      <c r="A497" s="19" t="s">
        <v>76</v>
      </c>
      <c r="B497" s="20">
        <v>30000</v>
      </c>
      <c r="C497" s="20">
        <v>30000</v>
      </c>
      <c r="D497" s="5">
        <v>42836</v>
      </c>
      <c r="E497" s="17">
        <f>D497/C497*100</f>
        <v>142.78666666666666</v>
      </c>
      <c r="F497" s="2"/>
    </row>
    <row r="498" spans="1:6" x14ac:dyDescent="0.2">
      <c r="A498" s="19" t="s">
        <v>28</v>
      </c>
      <c r="B498" s="20">
        <f>11*12000</f>
        <v>132000</v>
      </c>
      <c r="C498" s="20">
        <f>11*12000</f>
        <v>132000</v>
      </c>
      <c r="D498" s="5">
        <v>86606</v>
      </c>
      <c r="E498" s="17">
        <f>D498/C498*100</f>
        <v>65.610606060606059</v>
      </c>
      <c r="F498" s="2"/>
    </row>
    <row r="499" spans="1:6" x14ac:dyDescent="0.2">
      <c r="A499" s="19" t="s">
        <v>27</v>
      </c>
      <c r="B499" s="30">
        <v>200000</v>
      </c>
      <c r="C499" s="30">
        <v>200000</v>
      </c>
      <c r="D499" s="5">
        <v>153437</v>
      </c>
      <c r="E499" s="17">
        <f>D499/C499*100</f>
        <v>76.718500000000006</v>
      </c>
      <c r="F499" s="2"/>
    </row>
    <row r="500" spans="1:6" x14ac:dyDescent="0.2">
      <c r="A500" s="29" t="s">
        <v>26</v>
      </c>
      <c r="B500" s="16">
        <f>SUM(B496:B499)</f>
        <v>422000</v>
      </c>
      <c r="C500" s="16">
        <f>SUM(C496:C499)</f>
        <v>422000</v>
      </c>
      <c r="D500" s="11">
        <f>SUM(D496:D499)</f>
        <v>358676</v>
      </c>
      <c r="E500" s="10">
        <f>D500/C500*100</f>
        <v>84.994312796208533</v>
      </c>
      <c r="F500" s="2"/>
    </row>
    <row r="501" spans="1:6" x14ac:dyDescent="0.2">
      <c r="A501" s="41" t="s">
        <v>51</v>
      </c>
      <c r="B501" s="30">
        <v>50000</v>
      </c>
      <c r="C501" s="30">
        <v>50000</v>
      </c>
      <c r="D501" s="5">
        <v>45172</v>
      </c>
      <c r="E501" s="17">
        <f>D501/C501*100</f>
        <v>90.344000000000008</v>
      </c>
      <c r="F501" s="2"/>
    </row>
    <row r="502" spans="1:6" x14ac:dyDescent="0.2">
      <c r="A502" s="19" t="s">
        <v>25</v>
      </c>
      <c r="B502" s="30">
        <v>80000</v>
      </c>
      <c r="C502" s="30">
        <v>80000</v>
      </c>
      <c r="D502" s="5">
        <v>91160</v>
      </c>
      <c r="E502" s="17">
        <f>D502/C502*100</f>
        <v>113.94999999999999</v>
      </c>
      <c r="F502" s="2"/>
    </row>
    <row r="503" spans="1:6" x14ac:dyDescent="0.2">
      <c r="A503" s="18" t="s">
        <v>24</v>
      </c>
      <c r="B503" s="16">
        <f>SUM(B501:B502)</f>
        <v>130000</v>
      </c>
      <c r="C503" s="16">
        <f>SUM(C501:C502)</f>
        <v>130000</v>
      </c>
      <c r="D503" s="11">
        <f>SUM(D501:D502)</f>
        <v>136332</v>
      </c>
      <c r="E503" s="10">
        <f>D503/C503*100</f>
        <v>104.87076923076924</v>
      </c>
      <c r="F503" s="2"/>
    </row>
    <row r="504" spans="1:6" x14ac:dyDescent="0.2">
      <c r="A504" s="19" t="s">
        <v>23</v>
      </c>
      <c r="B504" s="20">
        <v>200000</v>
      </c>
      <c r="C504" s="20">
        <v>200000</v>
      </c>
      <c r="D504" s="5">
        <v>0</v>
      </c>
      <c r="E504" s="17">
        <f>D504/C504*100</f>
        <v>0</v>
      </c>
      <c r="F504" s="2"/>
    </row>
    <row r="505" spans="1:6" x14ac:dyDescent="0.2">
      <c r="A505" s="19" t="s">
        <v>22</v>
      </c>
      <c r="B505" s="20">
        <v>80000</v>
      </c>
      <c r="C505" s="20">
        <v>80000</v>
      </c>
      <c r="D505" s="5">
        <v>98987</v>
      </c>
      <c r="E505" s="17">
        <f>D505/C505*100</f>
        <v>123.73375</v>
      </c>
      <c r="F505" s="2"/>
    </row>
    <row r="506" spans="1:6" x14ac:dyDescent="0.2">
      <c r="A506" s="19" t="s">
        <v>21</v>
      </c>
      <c r="B506" s="20">
        <v>80000</v>
      </c>
      <c r="C506" s="20">
        <v>80000</v>
      </c>
      <c r="D506" s="5">
        <v>103283</v>
      </c>
      <c r="E506" s="17">
        <f>D506/C506*100</f>
        <v>129.10375000000002</v>
      </c>
      <c r="F506" s="2"/>
    </row>
    <row r="507" spans="1:6" x14ac:dyDescent="0.2">
      <c r="A507" s="18" t="s">
        <v>20</v>
      </c>
      <c r="B507" s="16">
        <f>SUM(B504:B506)</f>
        <v>360000</v>
      </c>
      <c r="C507" s="16">
        <f>SUM(C504:C506)</f>
        <v>360000</v>
      </c>
      <c r="D507" s="11">
        <f>SUM(D504:D506)</f>
        <v>202270</v>
      </c>
      <c r="E507" s="10">
        <f>D507/C507*100</f>
        <v>56.186111111111117</v>
      </c>
      <c r="F507" s="2"/>
    </row>
    <row r="508" spans="1:6" x14ac:dyDescent="0.2">
      <c r="A508" s="19" t="s">
        <v>19</v>
      </c>
      <c r="B508" s="20">
        <v>100000</v>
      </c>
      <c r="C508" s="20">
        <v>100000</v>
      </c>
      <c r="D508" s="5">
        <v>75445</v>
      </c>
      <c r="E508" s="17">
        <f>D508/C508*100</f>
        <v>75.444999999999993</v>
      </c>
      <c r="F508" s="2"/>
    </row>
    <row r="509" spans="1:6" x14ac:dyDescent="0.2">
      <c r="A509" s="19" t="s">
        <v>17</v>
      </c>
      <c r="B509" s="20">
        <v>50000</v>
      </c>
      <c r="C509" s="20">
        <v>50000</v>
      </c>
      <c r="D509" s="5">
        <v>56708</v>
      </c>
      <c r="E509" s="17">
        <f>D509/C509*100</f>
        <v>113.41600000000001</v>
      </c>
      <c r="F509" s="2"/>
    </row>
    <row r="510" spans="1:6" x14ac:dyDescent="0.2">
      <c r="A510" s="18" t="s">
        <v>6</v>
      </c>
      <c r="B510" s="16">
        <f>SUM(B508:B509)</f>
        <v>150000</v>
      </c>
      <c r="C510" s="16">
        <f>SUM(C508:C509)</f>
        <v>150000</v>
      </c>
      <c r="D510" s="11">
        <f>SUM(D508:D509)</f>
        <v>132153</v>
      </c>
      <c r="E510" s="10">
        <f>D510/C510*100</f>
        <v>88.102000000000004</v>
      </c>
      <c r="F510" s="2"/>
    </row>
    <row r="511" spans="1:6" x14ac:dyDescent="0.2">
      <c r="A511" s="19" t="s">
        <v>14</v>
      </c>
      <c r="B511" s="20">
        <f>(B493+B494+B497+B498+B501+B502+B504+B505+B506+B508+B496+B499+B509)*0.27</f>
        <v>305640</v>
      </c>
      <c r="C511" s="20">
        <f>(C493+C494+C497+C498+C501+C502+C504+C505+C506+C508+C496+C499+C509)*0.27</f>
        <v>305640</v>
      </c>
      <c r="D511" s="5">
        <v>204490</v>
      </c>
      <c r="E511" s="17">
        <f>D511/C511*100</f>
        <v>66.905509750032721</v>
      </c>
      <c r="F511" s="2"/>
    </row>
    <row r="512" spans="1:6" x14ac:dyDescent="0.2">
      <c r="A512" s="29" t="s">
        <v>13</v>
      </c>
      <c r="B512" s="16">
        <f>SUM(B511:B511)</f>
        <v>305640</v>
      </c>
      <c r="C512" s="16">
        <f>SUM(C511:C511)</f>
        <v>305640</v>
      </c>
      <c r="D512" s="11">
        <f>SUM(D511)</f>
        <v>204490</v>
      </c>
      <c r="E512" s="10">
        <f>D512/C512*100</f>
        <v>66.905509750032721</v>
      </c>
      <c r="F512" s="2"/>
    </row>
    <row r="513" spans="1:6" x14ac:dyDescent="0.2">
      <c r="A513" s="13" t="s">
        <v>5</v>
      </c>
      <c r="B513" s="16">
        <f>B495+B500+B503+B507+B510+B512</f>
        <v>1437640</v>
      </c>
      <c r="C513" s="16">
        <f>C495+C500+C503+C507+C510+C512</f>
        <v>1437640</v>
      </c>
      <c r="D513" s="11">
        <f>D495+D500+D503+D507+D510+D512</f>
        <v>1039074</v>
      </c>
      <c r="E513" s="10">
        <f>D513/C513*100</f>
        <v>72.276369605742744</v>
      </c>
      <c r="F513" s="2"/>
    </row>
    <row r="514" spans="1:6" x14ac:dyDescent="0.2">
      <c r="A514" s="13"/>
      <c r="B514" s="16"/>
      <c r="C514" s="16"/>
      <c r="D514" s="11"/>
      <c r="E514" s="17"/>
      <c r="F514" s="2"/>
    </row>
    <row r="515" spans="1:6" x14ac:dyDescent="0.2">
      <c r="A515" s="15" t="s">
        <v>4</v>
      </c>
      <c r="B515" s="48">
        <f>B485+B491+B513</f>
        <v>29453647</v>
      </c>
      <c r="C515" s="48">
        <f>C485+C491+C513</f>
        <v>33090159</v>
      </c>
      <c r="D515" s="11">
        <f>D485+D491+D513</f>
        <v>32551525</v>
      </c>
      <c r="E515" s="10">
        <f>D515/C515*100</f>
        <v>98.372222992340411</v>
      </c>
      <c r="F515" s="2"/>
    </row>
    <row r="516" spans="1:6" ht="13.5" thickBot="1" x14ac:dyDescent="0.25">
      <c r="A516" s="27"/>
      <c r="B516" s="27"/>
      <c r="C516" s="52"/>
      <c r="D516" s="25"/>
      <c r="E516" s="25"/>
      <c r="F516" s="2"/>
    </row>
    <row r="517" spans="1:6" ht="13.5" thickBot="1" x14ac:dyDescent="0.25">
      <c r="A517" s="54" t="s">
        <v>75</v>
      </c>
      <c r="B517" s="54"/>
      <c r="C517" s="54"/>
      <c r="D517" s="54"/>
      <c r="E517" s="54"/>
      <c r="F517" s="2"/>
    </row>
    <row r="518" spans="1:6" x14ac:dyDescent="0.2">
      <c r="A518" s="21" t="s">
        <v>74</v>
      </c>
      <c r="B518" s="55">
        <v>7752369</v>
      </c>
      <c r="C518" s="55">
        <f>7752369+890192+184800+348500</f>
        <v>9175861</v>
      </c>
      <c r="D518" s="5">
        <v>8917583</v>
      </c>
      <c r="E518" s="17">
        <f>D518/C518*100</f>
        <v>97.185245068555417</v>
      </c>
      <c r="F518" s="2"/>
    </row>
    <row r="519" spans="1:6" x14ac:dyDescent="0.2">
      <c r="A519" s="33" t="s">
        <v>37</v>
      </c>
      <c r="B519" s="55">
        <v>155000</v>
      </c>
      <c r="C519" s="55">
        <v>155000</v>
      </c>
      <c r="D519" s="5">
        <v>175000</v>
      </c>
      <c r="E519" s="17">
        <f>D519/C519*100</f>
        <v>112.90322580645163</v>
      </c>
      <c r="F519" s="2"/>
    </row>
    <row r="520" spans="1:6" x14ac:dyDescent="0.2">
      <c r="A520" s="33" t="s">
        <v>64</v>
      </c>
      <c r="B520" s="55">
        <v>84135</v>
      </c>
      <c r="C520" s="55">
        <v>84135</v>
      </c>
      <c r="D520" s="5">
        <f>1581+27066</f>
        <v>28647</v>
      </c>
      <c r="E520" s="17">
        <f>D520/C520*100</f>
        <v>34.048850062399715</v>
      </c>
      <c r="F520" s="2"/>
    </row>
    <row r="521" spans="1:6" x14ac:dyDescent="0.2">
      <c r="A521" s="33" t="s">
        <v>73</v>
      </c>
      <c r="B521" s="55">
        <v>6000</v>
      </c>
      <c r="C521" s="55">
        <v>6000</v>
      </c>
      <c r="D521" s="5">
        <v>0</v>
      </c>
      <c r="E521" s="17">
        <f>D521/C521*100</f>
        <v>0</v>
      </c>
      <c r="F521" s="2"/>
    </row>
    <row r="522" spans="1:6" x14ac:dyDescent="0.2">
      <c r="A522" s="33" t="s">
        <v>63</v>
      </c>
      <c r="B522" s="55"/>
      <c r="C522" s="55">
        <f>224300+68100</f>
        <v>292400</v>
      </c>
      <c r="D522" s="5">
        <v>402644</v>
      </c>
      <c r="E522" s="17">
        <f>D522/C522*100</f>
        <v>137.703146374829</v>
      </c>
      <c r="F522" s="2"/>
    </row>
    <row r="523" spans="1:6" x14ac:dyDescent="0.2">
      <c r="A523" s="14" t="s">
        <v>3</v>
      </c>
      <c r="B523" s="48">
        <f>SUM(B518:B521)</f>
        <v>7997504</v>
      </c>
      <c r="C523" s="48">
        <f>SUM(C518:C522)</f>
        <v>9713396</v>
      </c>
      <c r="D523" s="11">
        <f>SUM(D518:D522)</f>
        <v>9523874</v>
      </c>
      <c r="E523" s="10">
        <f>D523/C523*100</f>
        <v>98.048859533782007</v>
      </c>
      <c r="F523" s="2"/>
    </row>
    <row r="524" spans="1:6" x14ac:dyDescent="0.2">
      <c r="A524" s="14"/>
      <c r="B524" s="48"/>
      <c r="C524" s="48"/>
      <c r="D524" s="5"/>
      <c r="E524" s="17"/>
      <c r="F524" s="2"/>
    </row>
    <row r="525" spans="1:6" x14ac:dyDescent="0.2">
      <c r="A525" s="21" t="s">
        <v>9</v>
      </c>
      <c r="B525" s="55">
        <f>161620+1596740</f>
        <v>1758360</v>
      </c>
      <c r="C525" s="55">
        <f>161620+1596740+195842+50701+40656+14982</f>
        <v>2060541</v>
      </c>
      <c r="D525" s="5">
        <v>2011384</v>
      </c>
      <c r="E525" s="17">
        <f>D525/C525*100</f>
        <v>97.614364382946022</v>
      </c>
      <c r="F525" s="2"/>
    </row>
    <row r="526" spans="1:6" x14ac:dyDescent="0.2">
      <c r="A526" s="21" t="s">
        <v>35</v>
      </c>
      <c r="B526" s="55">
        <v>27164</v>
      </c>
      <c r="C526" s="55">
        <v>27164</v>
      </c>
      <c r="D526" s="5">
        <v>45430</v>
      </c>
      <c r="E526" s="17">
        <f>D526/C526*100</f>
        <v>167.24341039611249</v>
      </c>
      <c r="F526" s="2"/>
    </row>
    <row r="527" spans="1:6" x14ac:dyDescent="0.2">
      <c r="A527" s="21" t="s">
        <v>8</v>
      </c>
      <c r="B527" s="55">
        <v>10000</v>
      </c>
      <c r="C527" s="55">
        <v>10000</v>
      </c>
      <c r="D527" s="5">
        <v>7591</v>
      </c>
      <c r="E527" s="17">
        <f>D527/C527*100</f>
        <v>75.91</v>
      </c>
      <c r="F527" s="2"/>
    </row>
    <row r="528" spans="1:6" x14ac:dyDescent="0.2">
      <c r="A528" s="21" t="s">
        <v>34</v>
      </c>
      <c r="B528" s="55">
        <v>28497</v>
      </c>
      <c r="C528" s="55">
        <v>28497</v>
      </c>
      <c r="D528" s="5">
        <v>30975</v>
      </c>
      <c r="E528" s="17">
        <f>D528/C528*100</f>
        <v>108.69565217391303</v>
      </c>
      <c r="F528" s="2"/>
    </row>
    <row r="529" spans="1:6" x14ac:dyDescent="0.2">
      <c r="A529" s="14" t="s">
        <v>2</v>
      </c>
      <c r="B529" s="48">
        <f>SUM(B525:B528)</f>
        <v>1824021</v>
      </c>
      <c r="C529" s="48">
        <f>SUM(C525:C528)</f>
        <v>2126202</v>
      </c>
      <c r="D529" s="11">
        <f>SUM(D525:D528)</f>
        <v>2095380</v>
      </c>
      <c r="E529" s="10">
        <f>D529/C529*100</f>
        <v>98.550372918471524</v>
      </c>
      <c r="F529" s="2"/>
    </row>
    <row r="530" spans="1:6" x14ac:dyDescent="0.2">
      <c r="A530" s="14"/>
      <c r="B530" s="48"/>
      <c r="C530" s="48"/>
      <c r="D530" s="5"/>
      <c r="E530" s="17"/>
      <c r="F530" s="2"/>
    </row>
    <row r="531" spans="1:6" x14ac:dyDescent="0.2">
      <c r="A531" s="14"/>
      <c r="B531" s="48"/>
      <c r="C531" s="48"/>
      <c r="D531" s="5"/>
      <c r="E531" s="17"/>
      <c r="F531" s="2"/>
    </row>
    <row r="532" spans="1:6" x14ac:dyDescent="0.2">
      <c r="A532" s="19" t="s">
        <v>31</v>
      </c>
      <c r="B532" s="30">
        <v>20000</v>
      </c>
      <c r="C532" s="30">
        <v>20000</v>
      </c>
      <c r="D532" s="5">
        <v>0</v>
      </c>
      <c r="E532" s="17">
        <f>D532/C532*100</f>
        <v>0</v>
      </c>
      <c r="F532" s="2"/>
    </row>
    <row r="533" spans="1:6" x14ac:dyDescent="0.2">
      <c r="A533" s="29" t="s">
        <v>30</v>
      </c>
      <c r="B533" s="40">
        <f>SUM(B532:B532)</f>
        <v>20000</v>
      </c>
      <c r="C533" s="40">
        <f>SUM(C532:C532)</f>
        <v>20000</v>
      </c>
      <c r="D533" s="11">
        <f>SUM(D532)</f>
        <v>0</v>
      </c>
      <c r="E533" s="10">
        <f>D533/C533*100</f>
        <v>0</v>
      </c>
      <c r="F533" s="2"/>
    </row>
    <row r="534" spans="1:6" x14ac:dyDescent="0.2">
      <c r="A534" s="19" t="s">
        <v>29</v>
      </c>
      <c r="B534" s="30">
        <v>120000</v>
      </c>
      <c r="C534" s="30">
        <v>120000</v>
      </c>
      <c r="D534" s="5">
        <v>48384</v>
      </c>
      <c r="E534" s="17">
        <f>D534/C534*100</f>
        <v>40.32</v>
      </c>
      <c r="F534" s="2"/>
    </row>
    <row r="535" spans="1:6" x14ac:dyDescent="0.2">
      <c r="A535" s="19" t="s">
        <v>72</v>
      </c>
      <c r="B535" s="30"/>
      <c r="C535" s="30"/>
      <c r="D535" s="5">
        <v>152743</v>
      </c>
      <c r="E535" s="17"/>
      <c r="F535" s="2"/>
    </row>
    <row r="536" spans="1:6" x14ac:dyDescent="0.2">
      <c r="A536" s="19" t="s">
        <v>28</v>
      </c>
      <c r="B536" s="30">
        <f>3*12000</f>
        <v>36000</v>
      </c>
      <c r="C536" s="30">
        <f>3*12000</f>
        <v>36000</v>
      </c>
      <c r="D536" s="5">
        <v>31496</v>
      </c>
      <c r="E536" s="17">
        <f>D536/C536*100</f>
        <v>87.488888888888894</v>
      </c>
      <c r="F536" s="2"/>
    </row>
    <row r="537" spans="1:6" x14ac:dyDescent="0.2">
      <c r="A537" s="19" t="s">
        <v>27</v>
      </c>
      <c r="B537" s="30">
        <v>70000</v>
      </c>
      <c r="C537" s="30">
        <v>70000</v>
      </c>
      <c r="D537" s="5">
        <v>143738</v>
      </c>
      <c r="E537" s="17">
        <f>D537/C537*100</f>
        <v>205.33999999999997</v>
      </c>
      <c r="F537" s="2"/>
    </row>
    <row r="538" spans="1:6" x14ac:dyDescent="0.2">
      <c r="A538" s="29" t="s">
        <v>26</v>
      </c>
      <c r="B538" s="16">
        <f>SUM(B534:B537)</f>
        <v>226000</v>
      </c>
      <c r="C538" s="16">
        <f>SUM(C534:C537)</f>
        <v>226000</v>
      </c>
      <c r="D538" s="11">
        <f>SUM(D534:D537)</f>
        <v>376361</v>
      </c>
      <c r="E538" s="10">
        <f>D538/C538*100</f>
        <v>166.53141592920352</v>
      </c>
      <c r="F538" s="2"/>
    </row>
    <row r="539" spans="1:6" x14ac:dyDescent="0.2">
      <c r="A539" s="41" t="s">
        <v>51</v>
      </c>
      <c r="B539" s="30">
        <v>210000</v>
      </c>
      <c r="C539" s="30">
        <v>210000</v>
      </c>
      <c r="D539" s="5">
        <v>98614</v>
      </c>
      <c r="E539" s="17">
        <f>D539/C539*100</f>
        <v>46.959047619047617</v>
      </c>
      <c r="F539" s="2"/>
    </row>
    <row r="540" spans="1:6" x14ac:dyDescent="0.2">
      <c r="A540" s="19" t="s">
        <v>25</v>
      </c>
      <c r="B540" s="30">
        <v>100000</v>
      </c>
      <c r="C540" s="30">
        <v>100000</v>
      </c>
      <c r="D540" s="5">
        <v>61630</v>
      </c>
      <c r="E540" s="17">
        <f>D540/C540*100</f>
        <v>61.629999999999995</v>
      </c>
      <c r="F540" s="2"/>
    </row>
    <row r="541" spans="1:6" x14ac:dyDescent="0.2">
      <c r="A541" s="18" t="s">
        <v>24</v>
      </c>
      <c r="B541" s="40">
        <f>SUM(B539:B540)</f>
        <v>310000</v>
      </c>
      <c r="C541" s="40">
        <f>SUM(C539:C540)</f>
        <v>310000</v>
      </c>
      <c r="D541" s="11">
        <f>SUM(D539:D540)</f>
        <v>160244</v>
      </c>
      <c r="E541" s="10">
        <f>D541/C541*100</f>
        <v>51.691612903225803</v>
      </c>
      <c r="F541" s="2"/>
    </row>
    <row r="542" spans="1:6" x14ac:dyDescent="0.2">
      <c r="A542" s="37" t="s">
        <v>50</v>
      </c>
      <c r="B542" s="20">
        <v>269000</v>
      </c>
      <c r="C542" s="20">
        <v>269000</v>
      </c>
      <c r="D542" s="5">
        <v>0</v>
      </c>
      <c r="E542" s="17">
        <f>D542/C542*100</f>
        <v>0</v>
      </c>
      <c r="F542" s="2"/>
    </row>
    <row r="543" spans="1:6" x14ac:dyDescent="0.2">
      <c r="A543" s="19" t="s">
        <v>23</v>
      </c>
      <c r="B543" s="20">
        <v>75000</v>
      </c>
      <c r="C543" s="20">
        <v>75000</v>
      </c>
      <c r="D543" s="5">
        <v>186595</v>
      </c>
      <c r="E543" s="17">
        <f>D543/C543*100</f>
        <v>248.79333333333332</v>
      </c>
      <c r="F543" s="2"/>
    </row>
    <row r="544" spans="1:6" x14ac:dyDescent="0.2">
      <c r="A544" s="19" t="s">
        <v>22</v>
      </c>
      <c r="B544" s="20">
        <v>55000</v>
      </c>
      <c r="C544" s="20">
        <v>55000</v>
      </c>
      <c r="D544" s="5">
        <v>63641</v>
      </c>
      <c r="E544" s="17">
        <f>D544/C544*100</f>
        <v>115.71090909090908</v>
      </c>
      <c r="F544" s="2"/>
    </row>
    <row r="545" spans="1:6" x14ac:dyDescent="0.2">
      <c r="A545" s="19" t="s">
        <v>21</v>
      </c>
      <c r="B545" s="20">
        <v>20000</v>
      </c>
      <c r="C545" s="20">
        <v>20000</v>
      </c>
      <c r="D545" s="5">
        <v>10861</v>
      </c>
      <c r="E545" s="17">
        <f>D545/C545*100</f>
        <v>54.305000000000007</v>
      </c>
      <c r="F545" s="2"/>
    </row>
    <row r="546" spans="1:6" x14ac:dyDescent="0.2">
      <c r="A546" s="18" t="s">
        <v>20</v>
      </c>
      <c r="B546" s="16">
        <f>SUM(B542:B545)</f>
        <v>419000</v>
      </c>
      <c r="C546" s="16">
        <f>SUM(C542:C545)</f>
        <v>419000</v>
      </c>
      <c r="D546" s="11">
        <f>SUM(D542:D545)</f>
        <v>261097</v>
      </c>
      <c r="E546" s="10">
        <f>D546/C546*100</f>
        <v>62.314319809069204</v>
      </c>
      <c r="F546" s="2"/>
    </row>
    <row r="547" spans="1:6" x14ac:dyDescent="0.2">
      <c r="A547" s="19" t="s">
        <v>19</v>
      </c>
      <c r="B547" s="20">
        <v>100000</v>
      </c>
      <c r="C547" s="20">
        <v>100000</v>
      </c>
      <c r="D547" s="5">
        <v>75310</v>
      </c>
      <c r="E547" s="17">
        <f>D547/C547*100</f>
        <v>75.31</v>
      </c>
      <c r="F547" s="2"/>
    </row>
    <row r="548" spans="1:6" x14ac:dyDescent="0.2">
      <c r="A548" s="19" t="s">
        <v>71</v>
      </c>
      <c r="B548" s="20">
        <v>80000</v>
      </c>
      <c r="C548" s="20">
        <f>80000+396000</f>
        <v>476000</v>
      </c>
      <c r="D548" s="5">
        <v>169928</v>
      </c>
      <c r="E548" s="17">
        <f>D548/C548*100</f>
        <v>35.699159663865551</v>
      </c>
      <c r="F548" s="2"/>
    </row>
    <row r="549" spans="1:6" x14ac:dyDescent="0.2">
      <c r="A549" s="18" t="s">
        <v>6</v>
      </c>
      <c r="B549" s="16">
        <f>SUM(B547:B548)</f>
        <v>180000</v>
      </c>
      <c r="C549" s="16">
        <f>SUM(C547:C548)</f>
        <v>576000</v>
      </c>
      <c r="D549" s="11">
        <f>SUM(D547:D548)</f>
        <v>245238</v>
      </c>
      <c r="E549" s="10">
        <f>D549/C549*100</f>
        <v>42.576041666666661</v>
      </c>
      <c r="F549" s="2"/>
    </row>
    <row r="550" spans="1:6" x14ac:dyDescent="0.2">
      <c r="A550" s="19" t="s">
        <v>16</v>
      </c>
      <c r="B550" s="20">
        <v>30000</v>
      </c>
      <c r="C550" s="20">
        <v>30000</v>
      </c>
      <c r="D550" s="5">
        <v>0</v>
      </c>
      <c r="E550" s="17">
        <f>D550/C550*100</f>
        <v>0</v>
      </c>
      <c r="F550" s="2"/>
    </row>
    <row r="551" spans="1:6" x14ac:dyDescent="0.2">
      <c r="A551" s="18" t="s">
        <v>15</v>
      </c>
      <c r="B551" s="16">
        <f>SUM(B550:B550)</f>
        <v>30000</v>
      </c>
      <c r="C551" s="16">
        <f>SUM(C550:C550)</f>
        <v>30000</v>
      </c>
      <c r="D551" s="11">
        <f>SUM(D550)</f>
        <v>0</v>
      </c>
      <c r="E551" s="17">
        <f>D551/C551*100</f>
        <v>0</v>
      </c>
      <c r="F551" s="2"/>
    </row>
    <row r="552" spans="1:6" x14ac:dyDescent="0.2">
      <c r="A552" s="19" t="s">
        <v>14</v>
      </c>
      <c r="B552" s="20">
        <f>(B532+B536+B539+B540+B543+B544+B545+B547+B550+B548+B537+B534)*0.27+B542*0.05</f>
        <v>260770.00000000003</v>
      </c>
      <c r="C552" s="20">
        <f>(C532+C536+C539+C540+C543+C544+C545+C547+C550+C548+C537+C534)*0.27+C542*0.05+106920-396000*0.27-57058</f>
        <v>310632</v>
      </c>
      <c r="D552" s="5">
        <v>236016</v>
      </c>
      <c r="E552" s="17">
        <f>D552/C552*100</f>
        <v>75.979293826778942</v>
      </c>
      <c r="F552" s="2"/>
    </row>
    <row r="553" spans="1:6" x14ac:dyDescent="0.2">
      <c r="A553" s="29" t="s">
        <v>13</v>
      </c>
      <c r="B553" s="16">
        <f>SUM(B552:B552)</f>
        <v>260770.00000000003</v>
      </c>
      <c r="C553" s="16">
        <f>SUM(C552:C552)</f>
        <v>310632</v>
      </c>
      <c r="D553" s="11">
        <f>SUM(D552)</f>
        <v>236016</v>
      </c>
      <c r="E553" s="10">
        <f>D553/C553*100</f>
        <v>75.979293826778942</v>
      </c>
      <c r="F553" s="2"/>
    </row>
    <row r="554" spans="1:6" x14ac:dyDescent="0.2">
      <c r="A554" s="13" t="s">
        <v>5</v>
      </c>
      <c r="B554" s="16">
        <f>B533+B538+B541+B546+B549+B551+B553</f>
        <v>1445770</v>
      </c>
      <c r="C554" s="16">
        <f>C533+C538+C541+C546+C549+C551+C553</f>
        <v>1891632</v>
      </c>
      <c r="D554" s="11">
        <f>D533+D538+D541+D546+D549+D551+D553</f>
        <v>1278956</v>
      </c>
      <c r="E554" s="10">
        <f>D554/C554*100</f>
        <v>67.611247853705152</v>
      </c>
      <c r="F554" s="2"/>
    </row>
    <row r="555" spans="1:6" x14ac:dyDescent="0.2">
      <c r="A555" s="13"/>
      <c r="B555" s="56"/>
      <c r="C555" s="56"/>
      <c r="D555" s="5"/>
      <c r="E555" s="17"/>
      <c r="F555" s="2"/>
    </row>
    <row r="556" spans="1:6" x14ac:dyDescent="0.2">
      <c r="A556" s="15" t="s">
        <v>4</v>
      </c>
      <c r="B556" s="48">
        <f>B523+B529+B554</f>
        <v>11267295</v>
      </c>
      <c r="C556" s="48">
        <f>C523+C529+C554</f>
        <v>13731230</v>
      </c>
      <c r="D556" s="11">
        <f>D523+D529+D554</f>
        <v>12898210</v>
      </c>
      <c r="E556" s="10">
        <f>D556/C556*100</f>
        <v>93.933391254825679</v>
      </c>
      <c r="F556" s="2"/>
    </row>
    <row r="557" spans="1:6" x14ac:dyDescent="0.2">
      <c r="A557" s="15"/>
      <c r="B557" s="13"/>
      <c r="C557" s="40"/>
      <c r="D557" s="58"/>
      <c r="E557" s="58"/>
      <c r="F557" s="2"/>
    </row>
    <row r="558" spans="1:6" x14ac:dyDescent="0.2">
      <c r="A558" s="15"/>
      <c r="B558" s="13"/>
      <c r="C558" s="40"/>
      <c r="D558" s="58"/>
      <c r="E558" s="58"/>
      <c r="F558" s="2"/>
    </row>
    <row r="559" spans="1:6" ht="13.5" thickBot="1" x14ac:dyDescent="0.25">
      <c r="A559" s="27"/>
      <c r="B559" s="57"/>
      <c r="C559" s="52"/>
      <c r="D559" s="25"/>
      <c r="E559" s="25"/>
      <c r="F559" s="2"/>
    </row>
    <row r="560" spans="1:6" ht="13.5" thickBot="1" x14ac:dyDescent="0.25">
      <c r="A560" s="54" t="s">
        <v>70</v>
      </c>
      <c r="B560" s="54"/>
      <c r="C560" s="54"/>
      <c r="D560" s="54"/>
      <c r="E560" s="54"/>
      <c r="F560" s="2"/>
    </row>
    <row r="561" spans="1:6" x14ac:dyDescent="0.2">
      <c r="A561" s="21" t="s">
        <v>69</v>
      </c>
      <c r="B561" s="31">
        <v>2247386</v>
      </c>
      <c r="C561" s="31">
        <f>2247386</f>
        <v>2247386</v>
      </c>
      <c r="D561" s="5">
        <v>2774550</v>
      </c>
      <c r="E561" s="17">
        <f>D561/C561*100</f>
        <v>123.45676265670429</v>
      </c>
      <c r="F561" s="2"/>
    </row>
    <row r="562" spans="1:6" x14ac:dyDescent="0.2">
      <c r="A562" s="33" t="s">
        <v>37</v>
      </c>
      <c r="B562" s="31">
        <v>44413</v>
      </c>
      <c r="C562" s="31">
        <v>44413</v>
      </c>
      <c r="D562" s="5">
        <v>80000</v>
      </c>
      <c r="E562" s="17">
        <f>D562/C562*100</f>
        <v>180.12744016391596</v>
      </c>
      <c r="F562" s="2"/>
    </row>
    <row r="563" spans="1:6" x14ac:dyDescent="0.2">
      <c r="A563" s="33" t="s">
        <v>64</v>
      </c>
      <c r="B563" s="31">
        <v>18045</v>
      </c>
      <c r="C563" s="31">
        <v>18045</v>
      </c>
      <c r="D563" s="5">
        <v>18044</v>
      </c>
      <c r="E563" s="17">
        <f>D563/C563*100</f>
        <v>99.994458298697694</v>
      </c>
      <c r="F563" s="2"/>
    </row>
    <row r="564" spans="1:6" x14ac:dyDescent="0.2">
      <c r="A564" s="33" t="s">
        <v>63</v>
      </c>
      <c r="B564" s="31"/>
      <c r="C564" s="31">
        <f>48800+15600</f>
        <v>64400</v>
      </c>
      <c r="D564" s="5">
        <v>64400</v>
      </c>
      <c r="E564" s="17">
        <f>D564/C564*100</f>
        <v>100</v>
      </c>
      <c r="F564" s="2"/>
    </row>
    <row r="565" spans="1:6" x14ac:dyDescent="0.2">
      <c r="A565" s="14" t="s">
        <v>3</v>
      </c>
      <c r="B565" s="56">
        <f>SUM(B561:B563)</f>
        <v>2309844</v>
      </c>
      <c r="C565" s="56">
        <f>SUM(C561:C564)</f>
        <v>2374244</v>
      </c>
      <c r="D565" s="11">
        <f>SUM(D561:D564)</f>
        <v>2936994</v>
      </c>
      <c r="E565" s="10">
        <f>D565/C565*100</f>
        <v>123.70228165260184</v>
      </c>
      <c r="F565" s="2"/>
    </row>
    <row r="566" spans="1:6" x14ac:dyDescent="0.2">
      <c r="A566" s="14"/>
      <c r="B566" s="56"/>
      <c r="C566" s="56"/>
      <c r="D566" s="5"/>
      <c r="E566" s="17"/>
      <c r="F566" s="2"/>
    </row>
    <row r="567" spans="1:6" x14ac:dyDescent="0.2">
      <c r="A567" s="14"/>
      <c r="B567" s="31"/>
      <c r="C567" s="31"/>
      <c r="D567" s="5"/>
      <c r="E567" s="17"/>
      <c r="F567" s="2"/>
    </row>
    <row r="568" spans="1:6" x14ac:dyDescent="0.2">
      <c r="A568" s="21" t="s">
        <v>9</v>
      </c>
      <c r="B568" s="31">
        <f>42045+498395</f>
        <v>540440</v>
      </c>
      <c r="C568" s="31">
        <f>42045+498395+11096+3432</f>
        <v>554968</v>
      </c>
      <c r="D568" s="5">
        <v>636687</v>
      </c>
      <c r="E568" s="17">
        <f>D568/C568*100</f>
        <v>114.72499315275834</v>
      </c>
      <c r="F568" s="2"/>
    </row>
    <row r="569" spans="1:6" x14ac:dyDescent="0.2">
      <c r="A569" s="21" t="s">
        <v>35</v>
      </c>
      <c r="B569" s="31">
        <v>7337</v>
      </c>
      <c r="C569" s="31">
        <v>7337</v>
      </c>
      <c r="D569" s="5">
        <v>20768</v>
      </c>
      <c r="E569" s="17">
        <f>D569/C569*100</f>
        <v>283.05847076461765</v>
      </c>
      <c r="F569" s="2"/>
    </row>
    <row r="570" spans="1:6" x14ac:dyDescent="0.2">
      <c r="A570" s="21" t="s">
        <v>34</v>
      </c>
      <c r="B570" s="31">
        <v>7861</v>
      </c>
      <c r="C570" s="31">
        <v>7861</v>
      </c>
      <c r="D570" s="5">
        <v>14160</v>
      </c>
      <c r="E570" s="17">
        <f>D570/C570*100</f>
        <v>180.12975448416233</v>
      </c>
      <c r="F570" s="2"/>
    </row>
    <row r="571" spans="1:6" x14ac:dyDescent="0.2">
      <c r="A571" s="14" t="s">
        <v>2</v>
      </c>
      <c r="B571" s="56">
        <f>SUM(B568:B570)</f>
        <v>555638</v>
      </c>
      <c r="C571" s="56">
        <f>SUM(C568:C570)</f>
        <v>570166</v>
      </c>
      <c r="D571" s="11">
        <f>SUM(D568:D570)</f>
        <v>671615</v>
      </c>
      <c r="E571" s="10">
        <f>D571/C571*100</f>
        <v>117.79288838689084</v>
      </c>
      <c r="F571" s="2"/>
    </row>
    <row r="572" spans="1:6" x14ac:dyDescent="0.2">
      <c r="A572" s="14"/>
      <c r="B572" s="56"/>
      <c r="C572" s="56"/>
      <c r="D572" s="5"/>
      <c r="E572" s="17"/>
      <c r="F572" s="2"/>
    </row>
    <row r="573" spans="1:6" x14ac:dyDescent="0.2">
      <c r="A573" s="33" t="s">
        <v>29</v>
      </c>
      <c r="B573" s="56"/>
      <c r="C573" s="56"/>
      <c r="D573" s="5">
        <v>45414</v>
      </c>
      <c r="E573" s="17"/>
      <c r="F573" s="2"/>
    </row>
    <row r="574" spans="1:6" x14ac:dyDescent="0.2">
      <c r="A574" s="29" t="s">
        <v>26</v>
      </c>
      <c r="B574" s="56"/>
      <c r="C574" s="56"/>
      <c r="D574" s="11">
        <f>D573</f>
        <v>45414</v>
      </c>
      <c r="E574" s="17"/>
      <c r="F574" s="2"/>
    </row>
    <row r="575" spans="1:6" x14ac:dyDescent="0.2">
      <c r="A575" s="33" t="s">
        <v>68</v>
      </c>
      <c r="B575" s="56"/>
      <c r="C575" s="56"/>
      <c r="D575" s="5">
        <v>5610</v>
      </c>
      <c r="E575" s="17"/>
      <c r="F575" s="2"/>
    </row>
    <row r="576" spans="1:6" x14ac:dyDescent="0.2">
      <c r="A576" s="37" t="s">
        <v>55</v>
      </c>
      <c r="B576" s="30">
        <v>13100000</v>
      </c>
      <c r="C576" s="30">
        <v>13100000</v>
      </c>
      <c r="D576" s="5">
        <v>13474213</v>
      </c>
      <c r="E576" s="17">
        <f>D576/C576*100</f>
        <v>102.85658778625955</v>
      </c>
      <c r="F576" s="2"/>
    </row>
    <row r="577" spans="1:6" x14ac:dyDescent="0.2">
      <c r="A577" s="19" t="s">
        <v>28</v>
      </c>
      <c r="B577" s="30">
        <v>12000</v>
      </c>
      <c r="C577" s="30">
        <v>12000</v>
      </c>
      <c r="D577" s="5">
        <v>15748</v>
      </c>
      <c r="E577" s="17">
        <f>D577/C577*100</f>
        <v>131.23333333333335</v>
      </c>
      <c r="F577" s="2"/>
    </row>
    <row r="578" spans="1:6" x14ac:dyDescent="0.2">
      <c r="A578" s="19" t="s">
        <v>14</v>
      </c>
      <c r="B578" s="30">
        <f>(B576+B577)*0.27</f>
        <v>3540240</v>
      </c>
      <c r="C578" s="30">
        <f>(C576+C577)*0.27</f>
        <v>3540240</v>
      </c>
      <c r="D578" s="5">
        <f>3638038+17863</f>
        <v>3655901</v>
      </c>
      <c r="E578" s="17">
        <f>D578/C578*100</f>
        <v>103.26703839287732</v>
      </c>
      <c r="F578" s="2"/>
    </row>
    <row r="579" spans="1:6" x14ac:dyDescent="0.2">
      <c r="A579" s="18" t="s">
        <v>6</v>
      </c>
      <c r="B579" s="40">
        <f>B576+B577+B578</f>
        <v>16652240</v>
      </c>
      <c r="C579" s="40">
        <f>C576+C577+C578</f>
        <v>16652240</v>
      </c>
      <c r="D579" s="11">
        <f>SUM(D575:D578)</f>
        <v>17151472</v>
      </c>
      <c r="E579" s="10">
        <f>D579/C579*100</f>
        <v>102.99798705759706</v>
      </c>
      <c r="F579" s="2"/>
    </row>
    <row r="580" spans="1:6" x14ac:dyDescent="0.2">
      <c r="A580" s="13" t="s">
        <v>5</v>
      </c>
      <c r="B580" s="40">
        <f>B579</f>
        <v>16652240</v>
      </c>
      <c r="C580" s="40">
        <f>C579</f>
        <v>16652240</v>
      </c>
      <c r="D580" s="11">
        <f>D574+D579</f>
        <v>17196886</v>
      </c>
      <c r="E580" s="10">
        <f>D580/C580*100</f>
        <v>103.27070712408661</v>
      </c>
      <c r="F580" s="2"/>
    </row>
    <row r="581" spans="1:6" x14ac:dyDescent="0.2">
      <c r="A581" s="13"/>
      <c r="B581" s="40"/>
      <c r="C581" s="40"/>
      <c r="D581" s="5"/>
      <c r="E581" s="10"/>
      <c r="F581" s="2"/>
    </row>
    <row r="582" spans="1:6" x14ac:dyDescent="0.2">
      <c r="A582" s="15" t="s">
        <v>4</v>
      </c>
      <c r="B582" s="48">
        <f>B565+B571+B579</f>
        <v>19517722</v>
      </c>
      <c r="C582" s="48">
        <f>C565+C571+C579</f>
        <v>19596650</v>
      </c>
      <c r="D582" s="11">
        <f>D565+D571+D580</f>
        <v>20805495</v>
      </c>
      <c r="E582" s="10">
        <f>D582/C582*100</f>
        <v>106.1686308629281</v>
      </c>
      <c r="F582" s="2"/>
    </row>
    <row r="583" spans="1:6" x14ac:dyDescent="0.2">
      <c r="A583" s="15"/>
      <c r="B583" s="13"/>
      <c r="C583" s="48"/>
      <c r="D583" s="5"/>
      <c r="E583" s="11"/>
      <c r="F583" s="2"/>
    </row>
    <row r="584" spans="1:6" ht="13.5" thickBot="1" x14ac:dyDescent="0.25">
      <c r="A584" s="27"/>
      <c r="B584" s="27"/>
      <c r="C584" s="52"/>
      <c r="D584" s="25"/>
      <c r="E584" s="25"/>
      <c r="F584" s="2"/>
    </row>
    <row r="585" spans="1:6" ht="13.5" thickBot="1" x14ac:dyDescent="0.25">
      <c r="A585" s="54" t="s">
        <v>67</v>
      </c>
      <c r="B585" s="54"/>
      <c r="C585" s="54"/>
      <c r="D585" s="54"/>
      <c r="E585" s="54"/>
      <c r="F585" s="2"/>
    </row>
    <row r="586" spans="1:6" x14ac:dyDescent="0.2">
      <c r="A586" s="21" t="s">
        <v>66</v>
      </c>
      <c r="B586" s="55">
        <v>19373949</v>
      </c>
      <c r="C586" s="55">
        <f>19373949+631609+469000+184800+860625+516375+95625-600000</f>
        <v>21531983</v>
      </c>
      <c r="D586" s="5">
        <v>19940540</v>
      </c>
      <c r="E586" s="17">
        <f>D586/C586*100</f>
        <v>92.608934346641462</v>
      </c>
      <c r="F586" s="2"/>
    </row>
    <row r="587" spans="1:6" x14ac:dyDescent="0.2">
      <c r="A587" s="33" t="s">
        <v>37</v>
      </c>
      <c r="B587" s="55">
        <v>383200</v>
      </c>
      <c r="C587" s="55">
        <v>383200</v>
      </c>
      <c r="D587" s="5">
        <v>385000</v>
      </c>
      <c r="E587" s="17">
        <f>D587/C587*100</f>
        <v>100.46972860125261</v>
      </c>
      <c r="F587" s="2"/>
    </row>
    <row r="588" spans="1:6" x14ac:dyDescent="0.2">
      <c r="A588" s="33" t="s">
        <v>65</v>
      </c>
      <c r="B588" s="55"/>
      <c r="C588" s="55"/>
      <c r="D588" s="5">
        <v>120000</v>
      </c>
      <c r="E588" s="17"/>
      <c r="F588" s="2"/>
    </row>
    <row r="589" spans="1:6" x14ac:dyDescent="0.2">
      <c r="A589" s="33" t="s">
        <v>64</v>
      </c>
      <c r="B589" s="55">
        <v>144360</v>
      </c>
      <c r="C589" s="55">
        <v>144360</v>
      </c>
      <c r="D589" s="5">
        <f>8310+76687</f>
        <v>84997</v>
      </c>
      <c r="E589" s="17">
        <f>D589/C589*100</f>
        <v>58.878498198947071</v>
      </c>
      <c r="F589" s="2"/>
    </row>
    <row r="590" spans="1:6" x14ac:dyDescent="0.2">
      <c r="A590" s="33" t="s">
        <v>44</v>
      </c>
      <c r="B590" s="55">
        <v>120000</v>
      </c>
      <c r="C590" s="55">
        <v>120000</v>
      </c>
      <c r="D590" s="5">
        <v>58871</v>
      </c>
      <c r="E590" s="17">
        <f>D590/C590*100</f>
        <v>49.059166666666663</v>
      </c>
      <c r="F590" s="2"/>
    </row>
    <row r="591" spans="1:6" x14ac:dyDescent="0.2">
      <c r="A591" s="33" t="s">
        <v>63</v>
      </c>
      <c r="B591" s="55"/>
      <c r="C591" s="55">
        <f>334400+109800</f>
        <v>444200</v>
      </c>
      <c r="D591" s="5">
        <v>681548</v>
      </c>
      <c r="E591" s="17">
        <f>D591/C591*100</f>
        <v>153.43268797838812</v>
      </c>
      <c r="F591" s="2"/>
    </row>
    <row r="592" spans="1:6" x14ac:dyDescent="0.2">
      <c r="A592" s="14" t="s">
        <v>3</v>
      </c>
      <c r="B592" s="48">
        <f>SUM(B586:B590)</f>
        <v>20021509</v>
      </c>
      <c r="C592" s="48">
        <f>SUM(C586:C591)</f>
        <v>22623743</v>
      </c>
      <c r="D592" s="11">
        <f>SUM(D586:D591)</f>
        <v>21270956</v>
      </c>
      <c r="E592" s="10">
        <f>D592/C592*100</f>
        <v>94.020498730028891</v>
      </c>
      <c r="F592" s="2"/>
    </row>
    <row r="593" spans="1:6" x14ac:dyDescent="0.2">
      <c r="A593" s="14"/>
      <c r="B593" s="48"/>
      <c r="C593" s="48"/>
      <c r="D593" s="5"/>
      <c r="E593" s="17"/>
      <c r="F593" s="2"/>
    </row>
    <row r="594" spans="1:6" x14ac:dyDescent="0.2">
      <c r="A594" s="21" t="s">
        <v>9</v>
      </c>
      <c r="B594" s="55">
        <v>4388959</v>
      </c>
      <c r="C594" s="55">
        <f>4388959+138954+103180+40656+189342+75648+21038+24156-75000</f>
        <v>4906933</v>
      </c>
      <c r="D594" s="5">
        <v>4490731</v>
      </c>
      <c r="E594" s="17">
        <f>D594/C594*100</f>
        <v>91.518082680158869</v>
      </c>
      <c r="F594" s="2"/>
    </row>
    <row r="595" spans="1:6" x14ac:dyDescent="0.2">
      <c r="A595" s="21" t="s">
        <v>35</v>
      </c>
      <c r="B595" s="55">
        <v>63305</v>
      </c>
      <c r="C595" s="55">
        <v>63305</v>
      </c>
      <c r="D595" s="5">
        <v>99948</v>
      </c>
      <c r="E595" s="17">
        <f>D595/C595*100</f>
        <v>157.88326356527921</v>
      </c>
      <c r="F595" s="2"/>
    </row>
    <row r="596" spans="1:6" x14ac:dyDescent="0.2">
      <c r="A596" s="21" t="s">
        <v>8</v>
      </c>
      <c r="B596" s="55">
        <v>30000</v>
      </c>
      <c r="C596" s="55">
        <v>30000</v>
      </c>
      <c r="D596" s="5">
        <v>319084</v>
      </c>
      <c r="E596" s="17">
        <f>D596/C596*100</f>
        <v>1063.6133333333332</v>
      </c>
      <c r="F596" s="2"/>
    </row>
    <row r="597" spans="1:6" x14ac:dyDescent="0.2">
      <c r="A597" s="21" t="s">
        <v>34</v>
      </c>
      <c r="B597" s="55">
        <v>67826</v>
      </c>
      <c r="C597" s="55">
        <v>67826</v>
      </c>
      <c r="D597" s="5">
        <v>68145</v>
      </c>
      <c r="E597" s="17">
        <f>D597/C597*100</f>
        <v>100.4703211157963</v>
      </c>
      <c r="F597" s="2"/>
    </row>
    <row r="598" spans="1:6" x14ac:dyDescent="0.2">
      <c r="A598" s="14" t="s">
        <v>2</v>
      </c>
      <c r="B598" s="48">
        <f>SUM(B594:B597)</f>
        <v>4550090</v>
      </c>
      <c r="C598" s="48">
        <f>SUM(C594:C597)</f>
        <v>5068064</v>
      </c>
      <c r="D598" s="11">
        <f>SUM(D594:D597)</f>
        <v>4977908</v>
      </c>
      <c r="E598" s="10">
        <f>D598/C598*100</f>
        <v>98.221095866192684</v>
      </c>
      <c r="F598" s="2"/>
    </row>
    <row r="599" spans="1:6" x14ac:dyDescent="0.2">
      <c r="A599" s="14"/>
      <c r="B599" s="48"/>
      <c r="C599" s="48"/>
      <c r="D599" s="5"/>
      <c r="E599" s="17"/>
      <c r="F599" s="2"/>
    </row>
    <row r="600" spans="1:6" x14ac:dyDescent="0.2">
      <c r="A600" s="33" t="s">
        <v>42</v>
      </c>
      <c r="B600" s="31">
        <v>10000</v>
      </c>
      <c r="C600" s="31">
        <v>10000</v>
      </c>
      <c r="D600" s="5">
        <v>0</v>
      </c>
      <c r="E600" s="17">
        <f>D600/C600*100</f>
        <v>0</v>
      </c>
      <c r="F600" s="2"/>
    </row>
    <row r="601" spans="1:6" x14ac:dyDescent="0.2">
      <c r="A601" s="19" t="s">
        <v>41</v>
      </c>
      <c r="B601" s="31">
        <v>15000</v>
      </c>
      <c r="C601" s="31">
        <v>15000</v>
      </c>
      <c r="D601" s="5">
        <v>0</v>
      </c>
      <c r="E601" s="17">
        <f>D601/C601*100</f>
        <v>0</v>
      </c>
      <c r="F601" s="2"/>
    </row>
    <row r="602" spans="1:6" x14ac:dyDescent="0.2">
      <c r="A602" s="19" t="s">
        <v>32</v>
      </c>
      <c r="B602" s="31">
        <v>20000</v>
      </c>
      <c r="C602" s="31">
        <v>20000</v>
      </c>
      <c r="D602" s="5">
        <v>0</v>
      </c>
      <c r="E602" s="17">
        <f>D602/C602*100</f>
        <v>0</v>
      </c>
      <c r="F602" s="2"/>
    </row>
    <row r="603" spans="1:6" x14ac:dyDescent="0.2">
      <c r="A603" s="19" t="s">
        <v>31</v>
      </c>
      <c r="B603" s="20">
        <v>20000</v>
      </c>
      <c r="C603" s="20">
        <v>20000</v>
      </c>
      <c r="D603" s="5">
        <v>7392</v>
      </c>
      <c r="E603" s="17">
        <f>D603/C603*100</f>
        <v>36.96</v>
      </c>
      <c r="F603" s="2"/>
    </row>
    <row r="604" spans="1:6" x14ac:dyDescent="0.2">
      <c r="A604" s="29" t="s">
        <v>30</v>
      </c>
      <c r="B604" s="16">
        <f>SUM(B600:B603)</f>
        <v>65000</v>
      </c>
      <c r="C604" s="16">
        <f>SUM(C600:C603)</f>
        <v>65000</v>
      </c>
      <c r="D604" s="11">
        <f>SUM(D600:D603)</f>
        <v>7392</v>
      </c>
      <c r="E604" s="10">
        <f>D604/C604*100</f>
        <v>11.372307692307693</v>
      </c>
      <c r="F604" s="2"/>
    </row>
    <row r="605" spans="1:6" x14ac:dyDescent="0.2">
      <c r="A605" s="19" t="s">
        <v>29</v>
      </c>
      <c r="B605" s="20">
        <v>50000</v>
      </c>
      <c r="C605" s="20">
        <v>50000</v>
      </c>
      <c r="D605" s="5">
        <v>34939</v>
      </c>
      <c r="E605" s="17">
        <f>D605/C605*100</f>
        <v>69.878</v>
      </c>
      <c r="F605" s="2"/>
    </row>
    <row r="606" spans="1:6" x14ac:dyDescent="0.2">
      <c r="A606" s="19" t="s">
        <v>28</v>
      </c>
      <c r="B606" s="20">
        <f>8*32000</f>
        <v>256000</v>
      </c>
      <c r="C606" s="20">
        <f>8*32000</f>
        <v>256000</v>
      </c>
      <c r="D606" s="5">
        <v>174803</v>
      </c>
      <c r="E606" s="17">
        <f>D606/C606*100</f>
        <v>68.282421874999997</v>
      </c>
      <c r="F606" s="2"/>
    </row>
    <row r="607" spans="1:6" x14ac:dyDescent="0.2">
      <c r="A607" s="19" t="s">
        <v>27</v>
      </c>
      <c r="B607" s="20">
        <v>240000</v>
      </c>
      <c r="C607" s="20">
        <v>240000</v>
      </c>
      <c r="D607" s="5">
        <v>159827</v>
      </c>
      <c r="E607" s="17">
        <f>D607/C607*100</f>
        <v>66.594583333333333</v>
      </c>
      <c r="F607" s="2"/>
    </row>
    <row r="608" spans="1:6" x14ac:dyDescent="0.2">
      <c r="A608" s="29" t="s">
        <v>26</v>
      </c>
      <c r="B608" s="16">
        <f>SUM(B605:B607)</f>
        <v>546000</v>
      </c>
      <c r="C608" s="16">
        <f>SUM(C605:C607)</f>
        <v>546000</v>
      </c>
      <c r="D608" s="11">
        <f>SUM(D605:D607)</f>
        <v>369569</v>
      </c>
      <c r="E608" s="10">
        <f>D608/C608*100</f>
        <v>67.686630036630035</v>
      </c>
      <c r="F608" s="2"/>
    </row>
    <row r="609" spans="1:6" x14ac:dyDescent="0.2">
      <c r="A609" s="41" t="s">
        <v>51</v>
      </c>
      <c r="B609" s="30">
        <v>36000</v>
      </c>
      <c r="C609" s="30">
        <v>36000</v>
      </c>
      <c r="D609" s="5">
        <v>32756</v>
      </c>
      <c r="E609" s="17">
        <f>D609/C609*100</f>
        <v>90.98888888888888</v>
      </c>
      <c r="F609" s="2"/>
    </row>
    <row r="610" spans="1:6" x14ac:dyDescent="0.2">
      <c r="A610" s="19" t="s">
        <v>25</v>
      </c>
      <c r="B610" s="30">
        <v>80000</v>
      </c>
      <c r="C610" s="30">
        <v>80000</v>
      </c>
      <c r="D610" s="5">
        <v>50874</v>
      </c>
      <c r="E610" s="17">
        <f>D610/C610*100</f>
        <v>63.592499999999994</v>
      </c>
      <c r="F610" s="2"/>
    </row>
    <row r="611" spans="1:6" x14ac:dyDescent="0.2">
      <c r="A611" s="18" t="s">
        <v>24</v>
      </c>
      <c r="B611" s="16">
        <f>SUM(B609:B610)</f>
        <v>116000</v>
      </c>
      <c r="C611" s="16">
        <f>SUM(C609:C610)</f>
        <v>116000</v>
      </c>
      <c r="D611" s="11">
        <f>SUM(D609:D610)</f>
        <v>83630</v>
      </c>
      <c r="E611" s="10">
        <f>D611/C611*100</f>
        <v>72.094827586206904</v>
      </c>
      <c r="F611" s="2"/>
    </row>
    <row r="612" spans="1:6" x14ac:dyDescent="0.2">
      <c r="A612" s="19" t="s">
        <v>23</v>
      </c>
      <c r="B612" s="20">
        <v>350000</v>
      </c>
      <c r="C612" s="20">
        <v>350000</v>
      </c>
      <c r="D612" s="5">
        <v>524838</v>
      </c>
      <c r="E612" s="17">
        <f>D612/C612*100</f>
        <v>149.95371428571428</v>
      </c>
      <c r="F612" s="2"/>
    </row>
    <row r="613" spans="1:6" x14ac:dyDescent="0.2">
      <c r="A613" s="19" t="s">
        <v>22</v>
      </c>
      <c r="B613" s="20">
        <v>280000</v>
      </c>
      <c r="C613" s="20">
        <v>280000</v>
      </c>
      <c r="D613" s="5">
        <v>314252</v>
      </c>
      <c r="E613" s="17">
        <f>D613/C613*100</f>
        <v>112.23285714285713</v>
      </c>
      <c r="F613" s="2"/>
    </row>
    <row r="614" spans="1:6" x14ac:dyDescent="0.2">
      <c r="A614" s="19" t="s">
        <v>21</v>
      </c>
      <c r="B614" s="20">
        <v>150000</v>
      </c>
      <c r="C614" s="20">
        <v>150000</v>
      </c>
      <c r="D614" s="5">
        <v>139083</v>
      </c>
      <c r="E614" s="17">
        <f>D614/C614*100</f>
        <v>92.722000000000008</v>
      </c>
      <c r="F614" s="2"/>
    </row>
    <row r="615" spans="1:6" x14ac:dyDescent="0.2">
      <c r="A615" s="18" t="s">
        <v>20</v>
      </c>
      <c r="B615" s="16">
        <f>SUM(B612:B614)</f>
        <v>780000</v>
      </c>
      <c r="C615" s="16">
        <f>SUM(C612:C614)</f>
        <v>780000</v>
      </c>
      <c r="D615" s="11">
        <f>SUM(D612:D614)</f>
        <v>978173</v>
      </c>
      <c r="E615" s="10">
        <f>D615/C615*100</f>
        <v>125.40679487179487</v>
      </c>
      <c r="F615" s="2"/>
    </row>
    <row r="616" spans="1:6" x14ac:dyDescent="0.2">
      <c r="A616" s="19" t="s">
        <v>19</v>
      </c>
      <c r="B616" s="20">
        <v>70000</v>
      </c>
      <c r="C616" s="20">
        <v>70000</v>
      </c>
      <c r="D616" s="5">
        <v>39386</v>
      </c>
      <c r="E616" s="17">
        <f>D616/C616*100</f>
        <v>56.265714285714289</v>
      </c>
      <c r="F616" s="2"/>
    </row>
    <row r="617" spans="1:6" x14ac:dyDescent="0.2">
      <c r="A617" s="19" t="s">
        <v>40</v>
      </c>
      <c r="B617" s="20">
        <v>60000</v>
      </c>
      <c r="C617" s="20">
        <v>60000</v>
      </c>
      <c r="D617" s="5">
        <v>50000</v>
      </c>
      <c r="E617" s="17">
        <f>D617/C617*100</f>
        <v>83.333333333333343</v>
      </c>
      <c r="F617" s="2"/>
    </row>
    <row r="618" spans="1:6" x14ac:dyDescent="0.2">
      <c r="A618" s="19" t="s">
        <v>62</v>
      </c>
      <c r="B618" s="20">
        <v>100000</v>
      </c>
      <c r="C618" s="20">
        <v>100000</v>
      </c>
      <c r="D618" s="5">
        <v>174927</v>
      </c>
      <c r="E618" s="17">
        <f>D618/C618*100</f>
        <v>174.92700000000002</v>
      </c>
      <c r="F618" s="2"/>
    </row>
    <row r="619" spans="1:6" x14ac:dyDescent="0.2">
      <c r="A619" s="18" t="s">
        <v>6</v>
      </c>
      <c r="B619" s="16">
        <f>SUM(B616:B618)</f>
        <v>230000</v>
      </c>
      <c r="C619" s="16">
        <f>SUM(C616:C618)</f>
        <v>230000</v>
      </c>
      <c r="D619" s="11">
        <f>SUM(D616:D618)</f>
        <v>264313</v>
      </c>
      <c r="E619" s="10">
        <f>D619/C619*100</f>
        <v>114.91869565217392</v>
      </c>
      <c r="F619" s="2"/>
    </row>
    <row r="620" spans="1:6" x14ac:dyDescent="0.2">
      <c r="A620" s="19" t="s">
        <v>14</v>
      </c>
      <c r="B620" s="20">
        <f>(B601+B600+B603+B605+B606+B609+B610+B612+B613+B614+B616+B617+B618+B607)*0.27</f>
        <v>463590.00000000006</v>
      </c>
      <c r="C620" s="20">
        <f>(C601+C600+C603+C605+C606+C609+C610+C612+C613+C614+C616+C617+C618+C607)*0.27</f>
        <v>463590.00000000006</v>
      </c>
      <c r="D620" s="5">
        <v>414202</v>
      </c>
      <c r="E620" s="17">
        <f>D620/C620*100</f>
        <v>89.346620936603443</v>
      </c>
      <c r="F620" s="2"/>
    </row>
    <row r="621" spans="1:6" x14ac:dyDescent="0.2">
      <c r="A621" s="29" t="s">
        <v>13</v>
      </c>
      <c r="B621" s="16">
        <f>SUM(B620:B620)</f>
        <v>463590.00000000006</v>
      </c>
      <c r="C621" s="16">
        <f>SUM(C620:C620)</f>
        <v>463590.00000000006</v>
      </c>
      <c r="D621" s="11">
        <f>SUM(D620)</f>
        <v>414202</v>
      </c>
      <c r="E621" s="10">
        <f>D621/C621*100</f>
        <v>89.346620936603443</v>
      </c>
      <c r="F621" s="2"/>
    </row>
    <row r="622" spans="1:6" x14ac:dyDescent="0.2">
      <c r="A622" s="13" t="s">
        <v>5</v>
      </c>
      <c r="B622" s="16">
        <f>B604+B608+B611+B615+B619+B621</f>
        <v>2200590</v>
      </c>
      <c r="C622" s="16">
        <f>C604+C608+C611+C615+C619+C621</f>
        <v>2200590</v>
      </c>
      <c r="D622" s="11">
        <f>D604+D608+D611+D615+D619+D621</f>
        <v>2117279</v>
      </c>
      <c r="E622" s="10">
        <f>D622/C622*100</f>
        <v>96.214151659327726</v>
      </c>
      <c r="F622" s="2"/>
    </row>
    <row r="623" spans="1:6" x14ac:dyDescent="0.2">
      <c r="A623" s="13"/>
      <c r="B623" s="40"/>
      <c r="C623" s="40"/>
      <c r="D623" s="11"/>
      <c r="E623" s="17"/>
      <c r="F623" s="2"/>
    </row>
    <row r="624" spans="1:6" x14ac:dyDescent="0.2">
      <c r="A624" s="15" t="s">
        <v>4</v>
      </c>
      <c r="B624" s="40">
        <f>B592+B598+B622</f>
        <v>26772189</v>
      </c>
      <c r="C624" s="40">
        <f>C592+C598+C622</f>
        <v>29892397</v>
      </c>
      <c r="D624" s="11">
        <f>D592+D598+D622</f>
        <v>28366143</v>
      </c>
      <c r="E624" s="10">
        <f>D624/C624*100</f>
        <v>94.894173257500896</v>
      </c>
      <c r="F624" s="2"/>
    </row>
    <row r="625" spans="1:6" ht="13.5" thickBot="1" x14ac:dyDescent="0.25">
      <c r="A625" s="15"/>
      <c r="B625" s="13"/>
      <c r="C625" s="40"/>
      <c r="D625" s="5"/>
      <c r="E625" s="5"/>
      <c r="F625" s="2"/>
    </row>
    <row r="626" spans="1:6" ht="13.5" thickBot="1" x14ac:dyDescent="0.25">
      <c r="A626" s="54" t="s">
        <v>61</v>
      </c>
      <c r="B626" s="54"/>
      <c r="C626" s="54"/>
      <c r="D626" s="54"/>
      <c r="E626" s="54"/>
      <c r="F626" s="2"/>
    </row>
    <row r="627" spans="1:6" x14ac:dyDescent="0.2">
      <c r="A627" s="15"/>
      <c r="B627" s="53"/>
      <c r="C627" s="40"/>
      <c r="D627" s="5"/>
      <c r="E627" s="5"/>
      <c r="F627" s="2"/>
    </row>
    <row r="628" spans="1:6" x14ac:dyDescent="0.2">
      <c r="A628" s="37" t="s">
        <v>55</v>
      </c>
      <c r="B628" s="30">
        <v>2907000</v>
      </c>
      <c r="C628" s="30">
        <v>2907000</v>
      </c>
      <c r="D628" s="5">
        <v>2690846</v>
      </c>
      <c r="E628" s="17">
        <f>D628/C628*100</f>
        <v>92.564361885104915</v>
      </c>
      <c r="F628" s="2"/>
    </row>
    <row r="629" spans="1:6" x14ac:dyDescent="0.2">
      <c r="A629" s="18" t="s">
        <v>6</v>
      </c>
      <c r="B629" s="40">
        <f>SUM(B626:B628)</f>
        <v>2907000</v>
      </c>
      <c r="C629" s="40">
        <f>SUM(C626:C628)</f>
        <v>2907000</v>
      </c>
      <c r="D629" s="11">
        <f>SUM(D628)</f>
        <v>2690846</v>
      </c>
      <c r="E629" s="10">
        <f>D629/C629*100</f>
        <v>92.564361885104915</v>
      </c>
      <c r="F629" s="2"/>
    </row>
    <row r="630" spans="1:6" x14ac:dyDescent="0.2">
      <c r="A630" s="19" t="s">
        <v>14</v>
      </c>
      <c r="B630" s="30">
        <f>(B628)*0.27</f>
        <v>784890</v>
      </c>
      <c r="C630" s="30">
        <f>(C628)*0.27</f>
        <v>784890</v>
      </c>
      <c r="D630" s="5">
        <v>726528</v>
      </c>
      <c r="E630" s="17">
        <f>D630/C630*100</f>
        <v>92.564308374421884</v>
      </c>
      <c r="F630" s="2"/>
    </row>
    <row r="631" spans="1:6" x14ac:dyDescent="0.2">
      <c r="A631" s="29" t="s">
        <v>13</v>
      </c>
      <c r="B631" s="40">
        <f>SUM(B630:B630)</f>
        <v>784890</v>
      </c>
      <c r="C631" s="40">
        <f>SUM(C630:C630)</f>
        <v>784890</v>
      </c>
      <c r="D631" s="11">
        <f>SUM(D630)</f>
        <v>726528</v>
      </c>
      <c r="E631" s="10">
        <f>D631/C631*100</f>
        <v>92.564308374421884</v>
      </c>
      <c r="F631" s="2"/>
    </row>
    <row r="632" spans="1:6" x14ac:dyDescent="0.2">
      <c r="A632" s="29"/>
      <c r="B632" s="30"/>
      <c r="C632" s="30"/>
      <c r="D632" s="5"/>
      <c r="E632" s="17"/>
      <c r="F632" s="2"/>
    </row>
    <row r="633" spans="1:6" x14ac:dyDescent="0.2">
      <c r="A633" s="13" t="s">
        <v>5</v>
      </c>
      <c r="B633" s="40">
        <f>B631+B629</f>
        <v>3691890</v>
      </c>
      <c r="C633" s="40">
        <f>C631+C629</f>
        <v>3691890</v>
      </c>
      <c r="D633" s="11">
        <f>D629+D631</f>
        <v>3417374</v>
      </c>
      <c r="E633" s="10">
        <f>D633/C633*100</f>
        <v>92.564350508817967</v>
      </c>
      <c r="F633" s="2"/>
    </row>
    <row r="634" spans="1:6" x14ac:dyDescent="0.2">
      <c r="A634" s="13"/>
      <c r="B634" s="40"/>
      <c r="C634" s="40"/>
      <c r="D634" s="11"/>
      <c r="E634" s="17"/>
      <c r="F634" s="2"/>
    </row>
    <row r="635" spans="1:6" x14ac:dyDescent="0.2">
      <c r="A635" s="15" t="s">
        <v>4</v>
      </c>
      <c r="B635" s="40">
        <f>B633</f>
        <v>3691890</v>
      </c>
      <c r="C635" s="40">
        <f>C633</f>
        <v>3691890</v>
      </c>
      <c r="D635" s="11">
        <f>D633</f>
        <v>3417374</v>
      </c>
      <c r="E635" s="10">
        <f>D635/C635*100</f>
        <v>92.564350508817967</v>
      </c>
      <c r="F635" s="2"/>
    </row>
    <row r="636" spans="1:6" ht="13.5" thickBot="1" x14ac:dyDescent="0.25">
      <c r="A636" s="27"/>
      <c r="B636" s="27"/>
      <c r="C636" s="52"/>
      <c r="D636" s="25"/>
      <c r="E636" s="25"/>
      <c r="F636" s="2"/>
    </row>
    <row r="637" spans="1:6" ht="22.5" customHeight="1" thickBot="1" x14ac:dyDescent="0.25">
      <c r="A637" s="51" t="s">
        <v>60</v>
      </c>
      <c r="B637" s="51"/>
      <c r="C637" s="51"/>
      <c r="D637" s="51"/>
      <c r="E637" s="51"/>
      <c r="F637" s="2"/>
    </row>
    <row r="638" spans="1:6" x14ac:dyDescent="0.2">
      <c r="A638" s="23"/>
      <c r="B638" s="23"/>
      <c r="C638" s="22"/>
      <c r="D638" s="5"/>
      <c r="E638" s="5"/>
      <c r="F638" s="2"/>
    </row>
    <row r="639" spans="1:6" x14ac:dyDescent="0.2">
      <c r="A639" s="21" t="s">
        <v>11</v>
      </c>
      <c r="B639" s="20">
        <f>2494525+7245000</f>
        <v>9739525</v>
      </c>
      <c r="C639" s="20">
        <f>2494525+7245000+9407921+469000-469000+5596030-7245000-2500000</f>
        <v>14998476</v>
      </c>
      <c r="D639" s="5">
        <v>15686193</v>
      </c>
      <c r="E639" s="17">
        <f>D639/C639*100</f>
        <v>104.58524586097948</v>
      </c>
      <c r="F639" s="2"/>
    </row>
    <row r="640" spans="1:6" x14ac:dyDescent="0.2">
      <c r="A640" s="21" t="s">
        <v>10</v>
      </c>
      <c r="B640" s="20"/>
      <c r="C640" s="20"/>
      <c r="D640" s="5">
        <v>405630</v>
      </c>
      <c r="E640" s="17"/>
      <c r="F640" s="2"/>
    </row>
    <row r="641" spans="1:6" x14ac:dyDescent="0.2">
      <c r="A641" s="14" t="s">
        <v>3</v>
      </c>
      <c r="B641" s="16">
        <f>B639</f>
        <v>9739525</v>
      </c>
      <c r="C641" s="16">
        <f>C639</f>
        <v>14998476</v>
      </c>
      <c r="D641" s="11">
        <f>SUM(D639:D640)</f>
        <v>16091823</v>
      </c>
      <c r="E641" s="10">
        <f>D641/C641*100</f>
        <v>107.28972063561658</v>
      </c>
      <c r="F641" s="2"/>
    </row>
    <row r="642" spans="1:6" x14ac:dyDescent="0.2">
      <c r="A642" s="14"/>
      <c r="B642" s="16"/>
      <c r="C642" s="16"/>
      <c r="D642" s="5"/>
      <c r="E642" s="17"/>
      <c r="F642" s="2"/>
    </row>
    <row r="643" spans="1:6" x14ac:dyDescent="0.2">
      <c r="A643" s="21" t="s">
        <v>9</v>
      </c>
      <c r="B643" s="20">
        <f>294745+1593900</f>
        <v>1888645</v>
      </c>
      <c r="C643" s="20">
        <f>294745+1593900+1034871+103180-103180+615563-1593900-300000</f>
        <v>1645179</v>
      </c>
      <c r="D643" s="5">
        <v>1776312</v>
      </c>
      <c r="E643" s="17">
        <f>D643/C643*100</f>
        <v>107.9707436090541</v>
      </c>
      <c r="F643" s="2"/>
    </row>
    <row r="644" spans="1:6" x14ac:dyDescent="0.2">
      <c r="A644" s="21" t="s">
        <v>8</v>
      </c>
      <c r="B644" s="20">
        <f>50000+20000</f>
        <v>70000</v>
      </c>
      <c r="C644" s="20">
        <f>50000+20000-50000</f>
        <v>20000</v>
      </c>
      <c r="D644" s="5">
        <v>123647</v>
      </c>
      <c r="E644" s="17">
        <f>D644/C644*100</f>
        <v>618.2349999999999</v>
      </c>
      <c r="F644" s="2"/>
    </row>
    <row r="645" spans="1:6" x14ac:dyDescent="0.2">
      <c r="A645" s="14" t="s">
        <v>2</v>
      </c>
      <c r="B645" s="16">
        <f>SUM(B643:B644)</f>
        <v>1958645</v>
      </c>
      <c r="C645" s="16">
        <f>SUM(C643:C644)</f>
        <v>1665179</v>
      </c>
      <c r="D645" s="11">
        <f>SUM(D643:D644)</f>
        <v>1899959</v>
      </c>
      <c r="E645" s="10">
        <f>D645/C645*100</f>
        <v>114.09938511115021</v>
      </c>
      <c r="F645" s="2"/>
    </row>
    <row r="646" spans="1:6" x14ac:dyDescent="0.2">
      <c r="A646" s="14"/>
      <c r="B646" s="16"/>
      <c r="C646" s="16"/>
      <c r="D646" s="5"/>
      <c r="E646" s="17"/>
      <c r="F646" s="2"/>
    </row>
    <row r="647" spans="1:6" x14ac:dyDescent="0.2">
      <c r="A647" s="19" t="s">
        <v>27</v>
      </c>
      <c r="B647" s="16"/>
      <c r="C647" s="16"/>
      <c r="D647" s="5">
        <v>58500</v>
      </c>
      <c r="E647" s="17"/>
      <c r="F647" s="2"/>
    </row>
    <row r="648" spans="1:6" x14ac:dyDescent="0.2">
      <c r="A648" s="29" t="s">
        <v>26</v>
      </c>
      <c r="B648" s="16"/>
      <c r="C648" s="16"/>
      <c r="D648" s="11">
        <f>D647</f>
        <v>58500</v>
      </c>
      <c r="E648" s="17"/>
      <c r="F648" s="2"/>
    </row>
    <row r="649" spans="1:6" x14ac:dyDescent="0.2">
      <c r="A649" s="13" t="s">
        <v>5</v>
      </c>
      <c r="B649" s="16"/>
      <c r="C649" s="16"/>
      <c r="D649" s="11">
        <f>D648</f>
        <v>58500</v>
      </c>
      <c r="E649" s="10"/>
      <c r="F649" s="2"/>
    </row>
    <row r="650" spans="1:6" x14ac:dyDescent="0.2">
      <c r="A650" s="14"/>
      <c r="B650" s="16"/>
      <c r="C650" s="16"/>
      <c r="D650" s="5"/>
      <c r="E650" s="10"/>
      <c r="F650" s="2"/>
    </row>
    <row r="651" spans="1:6" x14ac:dyDescent="0.2">
      <c r="A651" s="15" t="s">
        <v>4</v>
      </c>
      <c r="B651" s="16">
        <f>B641+B645</f>
        <v>11698170</v>
      </c>
      <c r="C651" s="16">
        <f>C641+C645</f>
        <v>16663655</v>
      </c>
      <c r="D651" s="11">
        <f>D641+D645+D649</f>
        <v>18050282</v>
      </c>
      <c r="E651" s="10">
        <f>D651/C651*100</f>
        <v>108.32126565270343</v>
      </c>
      <c r="F651" s="2"/>
    </row>
    <row r="652" spans="1:6" x14ac:dyDescent="0.2">
      <c r="A652" s="15"/>
      <c r="B652" s="15"/>
      <c r="C652" s="40"/>
      <c r="D652" s="5"/>
      <c r="E652" s="10"/>
      <c r="F652" s="2"/>
    </row>
    <row r="653" spans="1:6" x14ac:dyDescent="0.2">
      <c r="A653" s="15"/>
      <c r="B653" s="15"/>
      <c r="C653" s="40"/>
      <c r="D653" s="5"/>
      <c r="E653" s="10"/>
      <c r="F653" s="2"/>
    </row>
    <row r="654" spans="1:6" x14ac:dyDescent="0.2">
      <c r="A654" s="14" t="s">
        <v>3</v>
      </c>
      <c r="B654" s="48">
        <f>B372+B415+B440+B485+B523+B565+B592+B641</f>
        <v>87302518</v>
      </c>
      <c r="C654" s="48">
        <f>C372+C415+C440+C485+C523+C565+C592+C641</f>
        <v>101026831</v>
      </c>
      <c r="D654" s="11">
        <f>D372+D415+D440+D485+D523+D565+D592+D641</f>
        <v>100397331</v>
      </c>
      <c r="E654" s="10">
        <f>D654/C654*100</f>
        <v>99.376898202419113</v>
      </c>
      <c r="F654" s="2"/>
    </row>
    <row r="655" spans="1:6" x14ac:dyDescent="0.2">
      <c r="A655" s="14" t="s">
        <v>2</v>
      </c>
      <c r="B655" s="48">
        <f>B378+B422+B446+B491+B529+B571+B598+B645</f>
        <v>19813511</v>
      </c>
      <c r="C655" s="48">
        <f>C378+C422+C446+C491+C529+C571+C598+C645</f>
        <v>21098382</v>
      </c>
      <c r="D655" s="11">
        <f>D378+D422+D446+D491+D529+D571+D598+D645</f>
        <v>20944181</v>
      </c>
      <c r="E655" s="10">
        <f>D655/C655*100</f>
        <v>99.26913352881752</v>
      </c>
      <c r="F655" s="2"/>
    </row>
    <row r="656" spans="1:6" x14ac:dyDescent="0.2">
      <c r="A656" s="13" t="s">
        <v>1</v>
      </c>
      <c r="B656" s="48">
        <f>B405+B428+B472+B513+B554+B580+B622+B633</f>
        <v>33234220</v>
      </c>
      <c r="C656" s="48">
        <f>C405+C428+C472+C513+C554+C580+C622+C633</f>
        <v>33530082</v>
      </c>
      <c r="D656" s="11">
        <f>D405+D428+D472+D513+D554+D580+D622+D633+D649</f>
        <v>31901634</v>
      </c>
      <c r="E656" s="10">
        <f>D656/C656*100</f>
        <v>95.143322345588061</v>
      </c>
      <c r="F656" s="2"/>
    </row>
    <row r="657" spans="1:6" ht="22.5" x14ac:dyDescent="0.2">
      <c r="A657" s="9" t="s">
        <v>59</v>
      </c>
      <c r="B657" s="50">
        <f>SUM(B654:B656)</f>
        <v>140350249</v>
      </c>
      <c r="C657" s="50">
        <f>SUM(C654:C656)</f>
        <v>155655295</v>
      </c>
      <c r="D657" s="7">
        <f>SUM(D654:D656)</f>
        <v>153243146</v>
      </c>
      <c r="E657" s="6">
        <f>D657/C657*100</f>
        <v>98.450326408748253</v>
      </c>
      <c r="F657" s="2"/>
    </row>
    <row r="658" spans="1:6" x14ac:dyDescent="0.2">
      <c r="A658" s="49"/>
      <c r="B658" s="49"/>
      <c r="C658" s="48"/>
      <c r="D658" s="5"/>
      <c r="E658" s="5"/>
      <c r="F658" s="2"/>
    </row>
    <row r="659" spans="1:6" x14ac:dyDescent="0.2">
      <c r="A659" s="49"/>
      <c r="B659" s="49"/>
      <c r="C659" s="48"/>
      <c r="D659" s="5"/>
      <c r="E659" s="5"/>
      <c r="F659" s="2"/>
    </row>
    <row r="660" spans="1:6" x14ac:dyDescent="0.2">
      <c r="A660" s="47" t="s">
        <v>58</v>
      </c>
      <c r="B660" s="47"/>
      <c r="C660" s="47"/>
      <c r="D660" s="47"/>
      <c r="E660" s="47"/>
      <c r="F660" s="2"/>
    </row>
    <row r="661" spans="1:6" x14ac:dyDescent="0.2">
      <c r="A661" s="46"/>
      <c r="B661" s="46"/>
      <c r="C661" s="46"/>
      <c r="D661" s="5"/>
      <c r="E661" s="5"/>
      <c r="F661" s="2"/>
    </row>
    <row r="662" spans="1:6" x14ac:dyDescent="0.2">
      <c r="A662" s="45" t="s">
        <v>57</v>
      </c>
      <c r="B662" s="45"/>
      <c r="C662" s="45"/>
      <c r="D662" s="45"/>
      <c r="E662" s="45"/>
      <c r="F662" s="2"/>
    </row>
    <row r="663" spans="1:6" ht="13.5" thickBot="1" x14ac:dyDescent="0.25">
      <c r="A663" s="44"/>
      <c r="B663" s="44"/>
      <c r="C663" s="43"/>
      <c r="D663" s="25"/>
      <c r="E663" s="25"/>
      <c r="F663" s="2"/>
    </row>
    <row r="664" spans="1:6" ht="13.5" thickBot="1" x14ac:dyDescent="0.25">
      <c r="A664" s="35" t="s">
        <v>56</v>
      </c>
      <c r="B664" s="35"/>
      <c r="C664" s="35"/>
      <c r="D664" s="35"/>
      <c r="E664" s="35"/>
      <c r="F664" s="2"/>
    </row>
    <row r="665" spans="1:6" x14ac:dyDescent="0.2">
      <c r="A665" s="37" t="s">
        <v>55</v>
      </c>
      <c r="B665" s="30">
        <f>25269000+16103000</f>
        <v>41372000</v>
      </c>
      <c r="C665" s="30">
        <f>25269000+16103000-5000000+1000000</f>
        <v>37372000</v>
      </c>
      <c r="D665" s="5">
        <v>36290196</v>
      </c>
      <c r="E665" s="17">
        <f>D665/C665*100</f>
        <v>97.105308787327417</v>
      </c>
      <c r="F665" s="2"/>
    </row>
    <row r="666" spans="1:6" x14ac:dyDescent="0.2">
      <c r="A666" s="19" t="s">
        <v>14</v>
      </c>
      <c r="B666" s="30">
        <f>0.27*B665-102</f>
        <v>11170338</v>
      </c>
      <c r="C666" s="30">
        <f>0.27*C665-102</f>
        <v>10090338</v>
      </c>
      <c r="D666" s="5">
        <v>9798355</v>
      </c>
      <c r="E666" s="17">
        <f>D666/C666*100</f>
        <v>97.106311007619368</v>
      </c>
      <c r="F666" s="2"/>
    </row>
    <row r="667" spans="1:6" x14ac:dyDescent="0.2">
      <c r="A667" s="18" t="s">
        <v>6</v>
      </c>
      <c r="B667" s="40">
        <f>SUM(B665:B666)</f>
        <v>52542338</v>
      </c>
      <c r="C667" s="40">
        <f>SUM(C665:C666)</f>
        <v>47462338</v>
      </c>
      <c r="D667" s="11">
        <f>SUM(D665:D666)</f>
        <v>46088551</v>
      </c>
      <c r="E667" s="10">
        <f>D667/C667*100</f>
        <v>97.105521856087236</v>
      </c>
      <c r="F667" s="2"/>
    </row>
    <row r="668" spans="1:6" x14ac:dyDescent="0.2">
      <c r="A668" s="13" t="s">
        <v>5</v>
      </c>
      <c r="B668" s="40">
        <f>B667</f>
        <v>52542338</v>
      </c>
      <c r="C668" s="40">
        <f>C667</f>
        <v>47462338</v>
      </c>
      <c r="D668" s="11">
        <f>D667</f>
        <v>46088551</v>
      </c>
      <c r="E668" s="10">
        <f>D668/C668*100</f>
        <v>97.105521856087236</v>
      </c>
      <c r="F668" s="2"/>
    </row>
    <row r="669" spans="1:6" x14ac:dyDescent="0.2">
      <c r="A669" s="13"/>
      <c r="B669" s="40"/>
      <c r="C669" s="40"/>
      <c r="D669" s="11"/>
      <c r="E669" s="17"/>
      <c r="F669" s="2"/>
    </row>
    <row r="670" spans="1:6" x14ac:dyDescent="0.2">
      <c r="A670" s="15" t="s">
        <v>4</v>
      </c>
      <c r="B670" s="40">
        <f>B668</f>
        <v>52542338</v>
      </c>
      <c r="C670" s="40">
        <f>C668</f>
        <v>47462338</v>
      </c>
      <c r="D670" s="11">
        <f>D668</f>
        <v>46088551</v>
      </c>
      <c r="E670" s="10">
        <f>D670/C670*100</f>
        <v>97.105521856087236</v>
      </c>
      <c r="F670" s="2"/>
    </row>
    <row r="671" spans="1:6" ht="13.5" thickBot="1" x14ac:dyDescent="0.25">
      <c r="A671" s="36"/>
      <c r="B671" s="40"/>
      <c r="C671" s="38"/>
      <c r="D671" s="5"/>
      <c r="E671" s="5"/>
      <c r="F671" s="2"/>
    </row>
    <row r="672" spans="1:6" ht="13.5" thickBot="1" x14ac:dyDescent="0.25">
      <c r="A672" s="35" t="s">
        <v>54</v>
      </c>
      <c r="B672" s="35"/>
      <c r="C672" s="35"/>
      <c r="D672" s="35"/>
      <c r="E672" s="42"/>
      <c r="F672" s="2"/>
    </row>
    <row r="673" spans="1:6" x14ac:dyDescent="0.2">
      <c r="A673" s="21" t="s">
        <v>53</v>
      </c>
      <c r="B673" s="38">
        <v>15479632</v>
      </c>
      <c r="C673" s="38">
        <f>15479632-1400000</f>
        <v>14079632</v>
      </c>
      <c r="D673" s="5">
        <v>12878416</v>
      </c>
      <c r="E673" s="17">
        <f>D673/C673*100</f>
        <v>91.468413378986043</v>
      </c>
      <c r="F673" s="2"/>
    </row>
    <row r="674" spans="1:6" x14ac:dyDescent="0.2">
      <c r="A674" s="21" t="s">
        <v>52</v>
      </c>
      <c r="B674" s="38"/>
      <c r="C674" s="38"/>
      <c r="D674" s="5">
        <v>225564</v>
      </c>
      <c r="E674" s="17"/>
      <c r="F674" s="2"/>
    </row>
    <row r="675" spans="1:6" x14ac:dyDescent="0.2">
      <c r="A675" s="33" t="s">
        <v>46</v>
      </c>
      <c r="B675" s="38">
        <v>745400</v>
      </c>
      <c r="C675" s="38">
        <v>745400</v>
      </c>
      <c r="D675" s="5">
        <v>519800</v>
      </c>
      <c r="E675" s="17">
        <f>D675/C675*100</f>
        <v>69.734370807620067</v>
      </c>
      <c r="F675" s="2"/>
    </row>
    <row r="676" spans="1:6" x14ac:dyDescent="0.2">
      <c r="A676" s="33" t="s">
        <v>36</v>
      </c>
      <c r="B676" s="31">
        <v>126315</v>
      </c>
      <c r="C676" s="31">
        <v>126315</v>
      </c>
      <c r="D676" s="5">
        <v>60147</v>
      </c>
      <c r="E676" s="17">
        <f>D676/C676*100</f>
        <v>47.616672604203778</v>
      </c>
      <c r="F676" s="2"/>
    </row>
    <row r="677" spans="1:6" x14ac:dyDescent="0.2">
      <c r="A677" s="33" t="s">
        <v>45</v>
      </c>
      <c r="B677" s="31">
        <v>20000</v>
      </c>
      <c r="C677" s="31">
        <f>20000+16300</f>
        <v>36300</v>
      </c>
      <c r="D677" s="5">
        <v>211131</v>
      </c>
      <c r="E677" s="17">
        <f>D677/C677*100</f>
        <v>581.62809917355366</v>
      </c>
      <c r="F677" s="2"/>
    </row>
    <row r="678" spans="1:6" x14ac:dyDescent="0.2">
      <c r="A678" s="14" t="s">
        <v>3</v>
      </c>
      <c r="B678" s="39">
        <f>SUM(B673:B677)</f>
        <v>16371347</v>
      </c>
      <c r="C678" s="39">
        <f>SUM(C673:C677)</f>
        <v>14987647</v>
      </c>
      <c r="D678" s="11">
        <f>SUM(D673:D677)</f>
        <v>13895058</v>
      </c>
      <c r="E678" s="10">
        <f>D678/C678*100</f>
        <v>92.710069832843018</v>
      </c>
      <c r="F678" s="2"/>
    </row>
    <row r="679" spans="1:6" x14ac:dyDescent="0.2">
      <c r="A679" s="14"/>
      <c r="B679" s="39"/>
      <c r="C679" s="39"/>
      <c r="D679" s="5"/>
      <c r="E679" s="17"/>
      <c r="F679" s="2"/>
    </row>
    <row r="680" spans="1:6" x14ac:dyDescent="0.2">
      <c r="A680" s="21" t="s">
        <v>9</v>
      </c>
      <c r="B680" s="38">
        <v>3909607</v>
      </c>
      <c r="C680" s="38">
        <f>3909607-680000</f>
        <v>3229607</v>
      </c>
      <c r="D680" s="5">
        <v>3108264</v>
      </c>
      <c r="E680" s="17">
        <f>D680/C680*100</f>
        <v>96.242793627831503</v>
      </c>
      <c r="F680" s="2"/>
    </row>
    <row r="681" spans="1:6" x14ac:dyDescent="0.2">
      <c r="A681" s="21" t="s">
        <v>35</v>
      </c>
      <c r="B681" s="38"/>
      <c r="C681" s="38"/>
      <c r="D681" s="5">
        <v>6490</v>
      </c>
      <c r="E681" s="17"/>
      <c r="F681" s="2"/>
    </row>
    <row r="682" spans="1:6" x14ac:dyDescent="0.2">
      <c r="A682" s="21" t="s">
        <v>8</v>
      </c>
      <c r="B682" s="38">
        <v>10000</v>
      </c>
      <c r="C682" s="38">
        <v>10000</v>
      </c>
      <c r="D682" s="5">
        <v>8833</v>
      </c>
      <c r="E682" s="17">
        <f>D682/C682*100</f>
        <v>88.33</v>
      </c>
      <c r="F682" s="2"/>
    </row>
    <row r="683" spans="1:6" x14ac:dyDescent="0.2">
      <c r="A683" s="14" t="s">
        <v>2</v>
      </c>
      <c r="B683" s="11">
        <f>SUM(B680:B682)</f>
        <v>3919607</v>
      </c>
      <c r="C683" s="11">
        <f>SUM(C680:C682)</f>
        <v>3239607</v>
      </c>
      <c r="D683" s="11">
        <f>SUM(D680:D682)</f>
        <v>3123587</v>
      </c>
      <c r="E683" s="10">
        <f>D683/C683*100</f>
        <v>96.418701404213536</v>
      </c>
      <c r="F683" s="2"/>
    </row>
    <row r="684" spans="1:6" x14ac:dyDescent="0.2">
      <c r="A684" s="14"/>
      <c r="B684" s="38"/>
      <c r="C684" s="38"/>
      <c r="D684" s="5"/>
      <c r="E684" s="17"/>
      <c r="F684" s="2"/>
    </row>
    <row r="685" spans="1:6" x14ac:dyDescent="0.2">
      <c r="A685" s="19" t="s">
        <v>29</v>
      </c>
      <c r="B685" s="30">
        <v>250000</v>
      </c>
      <c r="C685" s="30">
        <v>250000</v>
      </c>
      <c r="D685" s="5">
        <v>166203</v>
      </c>
      <c r="E685" s="17">
        <f>D685/C685*100</f>
        <v>66.481200000000001</v>
      </c>
      <c r="F685" s="2"/>
    </row>
    <row r="686" spans="1:6" x14ac:dyDescent="0.2">
      <c r="A686" s="19" t="s">
        <v>28</v>
      </c>
      <c r="B686" s="30">
        <f>21*12000</f>
        <v>252000</v>
      </c>
      <c r="C686" s="30">
        <f>21*12000</f>
        <v>252000</v>
      </c>
      <c r="D686" s="5">
        <v>235113</v>
      </c>
      <c r="E686" s="17">
        <f>D686/C686*100</f>
        <v>93.298809523809524</v>
      </c>
      <c r="F686" s="2"/>
    </row>
    <row r="687" spans="1:6" x14ac:dyDescent="0.2">
      <c r="A687" s="19" t="s">
        <v>27</v>
      </c>
      <c r="B687" s="30">
        <v>700000</v>
      </c>
      <c r="C687" s="30">
        <v>700000</v>
      </c>
      <c r="D687" s="5">
        <f>2762+717192</f>
        <v>719954</v>
      </c>
      <c r="E687" s="17">
        <f>D687/C687*100</f>
        <v>102.85057142857144</v>
      </c>
      <c r="F687" s="2"/>
    </row>
    <row r="688" spans="1:6" x14ac:dyDescent="0.2">
      <c r="A688" s="29" t="s">
        <v>26</v>
      </c>
      <c r="B688" s="40">
        <f>SUM(B685:B687)</f>
        <v>1202000</v>
      </c>
      <c r="C688" s="40">
        <f>SUM(C685:C687)</f>
        <v>1202000</v>
      </c>
      <c r="D688" s="11">
        <f>SUM(D685:D687)</f>
        <v>1121270</v>
      </c>
      <c r="E688" s="10">
        <f>D688/C688*100</f>
        <v>93.283693843594008</v>
      </c>
      <c r="F688" s="2"/>
    </row>
    <row r="689" spans="1:6" x14ac:dyDescent="0.2">
      <c r="A689" s="41" t="s">
        <v>51</v>
      </c>
      <c r="B689" s="30">
        <v>120000</v>
      </c>
      <c r="C689" s="30">
        <v>120000</v>
      </c>
      <c r="D689" s="5">
        <v>123444</v>
      </c>
      <c r="E689" s="17">
        <f>D689/C689*100</f>
        <v>102.86999999999999</v>
      </c>
      <c r="F689" s="2"/>
    </row>
    <row r="690" spans="1:6" x14ac:dyDescent="0.2">
      <c r="A690" s="19" t="s">
        <v>25</v>
      </c>
      <c r="B690" s="30">
        <v>250000</v>
      </c>
      <c r="C690" s="30">
        <v>250000</v>
      </c>
      <c r="D690" s="5">
        <v>220595</v>
      </c>
      <c r="E690" s="17">
        <f>D690/C690*100</f>
        <v>88.238</v>
      </c>
      <c r="F690" s="2"/>
    </row>
    <row r="691" spans="1:6" x14ac:dyDescent="0.2">
      <c r="A691" s="18" t="s">
        <v>24</v>
      </c>
      <c r="B691" s="40">
        <f>SUM(B689:B690)</f>
        <v>370000</v>
      </c>
      <c r="C691" s="40">
        <f>SUM(C689:C690)</f>
        <v>370000</v>
      </c>
      <c r="D691" s="11">
        <f>SUM(D689:D690)</f>
        <v>344039</v>
      </c>
      <c r="E691" s="10">
        <f>D691/C691*100</f>
        <v>92.983513513513515</v>
      </c>
      <c r="F691" s="2"/>
    </row>
    <row r="692" spans="1:6" x14ac:dyDescent="0.2">
      <c r="A692" s="19" t="s">
        <v>23</v>
      </c>
      <c r="B692" s="20">
        <f>425000+150000</f>
        <v>575000</v>
      </c>
      <c r="C692" s="20">
        <f>425000+150000</f>
        <v>575000</v>
      </c>
      <c r="D692" s="5">
        <v>985690</v>
      </c>
      <c r="E692" s="17">
        <f>D692/C692*100</f>
        <v>171.42434782608694</v>
      </c>
      <c r="F692" s="2"/>
    </row>
    <row r="693" spans="1:6" x14ac:dyDescent="0.2">
      <c r="A693" s="19" t="s">
        <v>50</v>
      </c>
      <c r="B693" s="20">
        <f>910000-150000</f>
        <v>760000</v>
      </c>
      <c r="C693" s="20">
        <f>910000-150000</f>
        <v>760000</v>
      </c>
      <c r="D693" s="5">
        <v>513709</v>
      </c>
      <c r="E693" s="17">
        <f>D693/C693*100</f>
        <v>67.593289473684209</v>
      </c>
      <c r="F693" s="2"/>
    </row>
    <row r="694" spans="1:6" x14ac:dyDescent="0.2">
      <c r="A694" s="19" t="s">
        <v>22</v>
      </c>
      <c r="B694" s="20">
        <v>960000</v>
      </c>
      <c r="C694" s="20">
        <v>960000</v>
      </c>
      <c r="D694" s="5">
        <v>654825</v>
      </c>
      <c r="E694" s="17">
        <f>D694/C694*100</f>
        <v>68.2109375</v>
      </c>
      <c r="F694" s="2"/>
    </row>
    <row r="695" spans="1:6" x14ac:dyDescent="0.2">
      <c r="A695" s="19" t="s">
        <v>21</v>
      </c>
      <c r="B695" s="30">
        <v>400000</v>
      </c>
      <c r="C695" s="30">
        <v>400000</v>
      </c>
      <c r="D695" s="5">
        <v>393944</v>
      </c>
      <c r="E695" s="17">
        <f>D695/C695*100</f>
        <v>98.48599999999999</v>
      </c>
      <c r="F695" s="2"/>
    </row>
    <row r="696" spans="1:6" x14ac:dyDescent="0.2">
      <c r="A696" s="18" t="s">
        <v>20</v>
      </c>
      <c r="B696" s="16">
        <f>SUM(B692:B695)</f>
        <v>2695000</v>
      </c>
      <c r="C696" s="16">
        <f>SUM(C692:C695)</f>
        <v>2695000</v>
      </c>
      <c r="D696" s="11">
        <f>SUM(D692:D695)</f>
        <v>2548168</v>
      </c>
      <c r="E696" s="10">
        <f>D696/C696*100</f>
        <v>94.551688311688309</v>
      </c>
      <c r="F696" s="2"/>
    </row>
    <row r="697" spans="1:6" x14ac:dyDescent="0.2">
      <c r="A697" s="19" t="s">
        <v>19</v>
      </c>
      <c r="B697" s="20">
        <v>150000</v>
      </c>
      <c r="C697" s="20">
        <v>150000</v>
      </c>
      <c r="D697" s="5">
        <v>87070</v>
      </c>
      <c r="E697" s="17">
        <f>D697/C697*100</f>
        <v>58.046666666666667</v>
      </c>
      <c r="F697" s="2"/>
    </row>
    <row r="698" spans="1:6" x14ac:dyDescent="0.2">
      <c r="A698" s="19" t="s">
        <v>17</v>
      </c>
      <c r="B698" s="20">
        <v>600000</v>
      </c>
      <c r="C698" s="20">
        <v>600000</v>
      </c>
      <c r="D698" s="5">
        <f>8346+573407</f>
        <v>581753</v>
      </c>
      <c r="E698" s="17">
        <f>D698/C698*100</f>
        <v>96.958833333333345</v>
      </c>
      <c r="F698" s="2"/>
    </row>
    <row r="699" spans="1:6" x14ac:dyDescent="0.2">
      <c r="A699" s="18" t="s">
        <v>6</v>
      </c>
      <c r="B699" s="16">
        <f>SUM(B697:B698)</f>
        <v>750000</v>
      </c>
      <c r="C699" s="16">
        <f>SUM(C697:C698)</f>
        <v>750000</v>
      </c>
      <c r="D699" s="11">
        <f>SUM(D697:D698)</f>
        <v>668823</v>
      </c>
      <c r="E699" s="10">
        <f>D699/C699*100</f>
        <v>89.176400000000001</v>
      </c>
      <c r="F699" s="2"/>
    </row>
    <row r="700" spans="1:6" x14ac:dyDescent="0.2">
      <c r="A700" s="19" t="s">
        <v>14</v>
      </c>
      <c r="B700" s="20">
        <f>(B685+B686+B687+B689+B690+B692+B694+B695+B698+B697)*0.27+B693*0.05</f>
        <v>1187390</v>
      </c>
      <c r="C700" s="20">
        <f>(C685+C686+C687+C689+C690+C692+C694+C695+C698+C697)*0.27+C693*0.05</f>
        <v>1187390</v>
      </c>
      <c r="D700" s="5">
        <f>980534+9</f>
        <v>980543</v>
      </c>
      <c r="E700" s="17">
        <f>D700/C700*100</f>
        <v>82.579691592484366</v>
      </c>
      <c r="F700" s="2"/>
    </row>
    <row r="701" spans="1:6" x14ac:dyDescent="0.2">
      <c r="A701" s="29" t="s">
        <v>13</v>
      </c>
      <c r="B701" s="16">
        <f>SUM(B700:B700)</f>
        <v>1187390</v>
      </c>
      <c r="C701" s="16">
        <f>SUM(C700:C700)</f>
        <v>1187390</v>
      </c>
      <c r="D701" s="11">
        <f>SUM(D700)</f>
        <v>980543</v>
      </c>
      <c r="E701" s="10">
        <f>D701/C701*100</f>
        <v>82.579691592484366</v>
      </c>
      <c r="F701" s="2"/>
    </row>
    <row r="702" spans="1:6" x14ac:dyDescent="0.2">
      <c r="A702" s="13" t="s">
        <v>5</v>
      </c>
      <c r="B702" s="16">
        <f>+B688+B691+B696+B699+B701</f>
        <v>6204390</v>
      </c>
      <c r="C702" s="16">
        <f>+C688+C691+C696+C699+C701</f>
        <v>6204390</v>
      </c>
      <c r="D702" s="11">
        <f>D688+D691+D696+D699+D701</f>
        <v>5662843</v>
      </c>
      <c r="E702" s="10">
        <f>D702/C702*100</f>
        <v>91.271551272566683</v>
      </c>
      <c r="F702" s="2"/>
    </row>
    <row r="703" spans="1:6" x14ac:dyDescent="0.2">
      <c r="B703" s="38"/>
      <c r="C703" s="16"/>
      <c r="D703" s="5"/>
      <c r="E703" s="17"/>
      <c r="F703" s="2"/>
    </row>
    <row r="704" spans="1:6" x14ac:dyDescent="0.2">
      <c r="A704" s="15" t="s">
        <v>4</v>
      </c>
      <c r="B704" s="39">
        <f>B678+B683+B702</f>
        <v>26495344</v>
      </c>
      <c r="C704" s="39">
        <f>C678+C683+C702</f>
        <v>24431644</v>
      </c>
      <c r="D704" s="11">
        <f>D678+D683+D702</f>
        <v>22681488</v>
      </c>
      <c r="E704" s="10">
        <f>D704/C704*100</f>
        <v>92.836519720081057</v>
      </c>
      <c r="F704" s="2"/>
    </row>
    <row r="705" spans="1:6" ht="13.5" thickBot="1" x14ac:dyDescent="0.25">
      <c r="A705" s="15"/>
      <c r="B705" s="15"/>
      <c r="C705" s="38"/>
      <c r="D705" s="5"/>
      <c r="E705" s="5"/>
      <c r="F705" s="2"/>
    </row>
    <row r="706" spans="1:6" ht="13.5" thickBot="1" x14ac:dyDescent="0.25">
      <c r="A706" s="35" t="s">
        <v>49</v>
      </c>
      <c r="B706" s="35"/>
      <c r="C706" s="35"/>
      <c r="D706" s="35"/>
      <c r="E706" s="35"/>
      <c r="F706" s="2"/>
    </row>
    <row r="707" spans="1:6" x14ac:dyDescent="0.2">
      <c r="A707" s="21" t="s">
        <v>48</v>
      </c>
      <c r="B707" s="28">
        <v>49861360</v>
      </c>
      <c r="C707" s="28">
        <f>49861360-767400</f>
        <v>49093960</v>
      </c>
      <c r="D707" s="5">
        <v>48014236</v>
      </c>
      <c r="E707" s="17">
        <f>D707/C707*100</f>
        <v>97.800698904712519</v>
      </c>
      <c r="F707" s="2"/>
    </row>
    <row r="708" spans="1:6" x14ac:dyDescent="0.2">
      <c r="A708" s="21" t="s">
        <v>47</v>
      </c>
      <c r="B708" s="28">
        <f>302630+50000</f>
        <v>352630</v>
      </c>
      <c r="C708" s="28">
        <v>1240000</v>
      </c>
      <c r="D708" s="5">
        <v>1240000</v>
      </c>
      <c r="E708" s="17">
        <f>D708/C708*100</f>
        <v>100</v>
      </c>
      <c r="F708" s="2"/>
    </row>
    <row r="709" spans="1:6" x14ac:dyDescent="0.2">
      <c r="A709" s="21" t="s">
        <v>46</v>
      </c>
      <c r="B709" s="28"/>
      <c r="C709" s="28"/>
      <c r="D709" s="5">
        <v>584640</v>
      </c>
      <c r="E709" s="17"/>
      <c r="F709" s="2"/>
    </row>
    <row r="710" spans="1:6" x14ac:dyDescent="0.2">
      <c r="A710" s="33" t="s">
        <v>36</v>
      </c>
      <c r="B710" s="28">
        <v>50000</v>
      </c>
      <c r="C710" s="28">
        <f>302630+50000</f>
        <v>352630</v>
      </c>
      <c r="D710" s="5">
        <v>117286</v>
      </c>
      <c r="E710" s="17">
        <f>D710/C710*100</f>
        <v>33.260357882199472</v>
      </c>
      <c r="F710" s="2"/>
    </row>
    <row r="711" spans="1:6" x14ac:dyDescent="0.2">
      <c r="A711" s="33" t="s">
        <v>45</v>
      </c>
      <c r="B711" s="28">
        <v>816000</v>
      </c>
      <c r="C711" s="28">
        <f>50000+1700</f>
        <v>51700</v>
      </c>
      <c r="D711" s="5">
        <v>757740</v>
      </c>
      <c r="E711" s="17">
        <f>D711/C711*100</f>
        <v>1465.6479690522242</v>
      </c>
      <c r="F711" s="2"/>
    </row>
    <row r="712" spans="1:6" x14ac:dyDescent="0.2">
      <c r="A712" s="33" t="s">
        <v>44</v>
      </c>
      <c r="B712" s="28"/>
      <c r="C712" s="28">
        <v>816000</v>
      </c>
      <c r="D712" s="5">
        <v>545895</v>
      </c>
      <c r="E712" s="17">
        <f>D712/C712*100</f>
        <v>66.898897058823522</v>
      </c>
      <c r="F712" s="2"/>
    </row>
    <row r="713" spans="1:6" x14ac:dyDescent="0.2">
      <c r="A713" s="14" t="s">
        <v>3</v>
      </c>
      <c r="B713" s="12">
        <f>SUM(B707:B711)</f>
        <v>51079990</v>
      </c>
      <c r="C713" s="12">
        <f>SUM(C707:C712)</f>
        <v>51554290</v>
      </c>
      <c r="D713" s="11">
        <f>SUM(D707:D712)</f>
        <v>51259797</v>
      </c>
      <c r="E713" s="10">
        <f>D713/C713*100</f>
        <v>99.428771107118337</v>
      </c>
      <c r="F713" s="2"/>
    </row>
    <row r="714" spans="1:6" x14ac:dyDescent="0.2">
      <c r="A714" s="14"/>
      <c r="B714" s="12"/>
      <c r="C714" s="12"/>
      <c r="D714" s="5"/>
      <c r="E714" s="17"/>
      <c r="F714" s="2"/>
    </row>
    <row r="715" spans="1:6" x14ac:dyDescent="0.2">
      <c r="A715" s="14"/>
      <c r="B715" s="12"/>
      <c r="C715" s="12"/>
      <c r="D715" s="5"/>
      <c r="E715" s="17"/>
      <c r="F715" s="2"/>
    </row>
    <row r="716" spans="1:6" x14ac:dyDescent="0.2">
      <c r="A716" s="21" t="s">
        <v>9</v>
      </c>
      <c r="B716" s="28">
        <f>12308407</f>
        <v>12308407</v>
      </c>
      <c r="C716" s="28">
        <f>12308407+103972+459+4401-660000</f>
        <v>11757239</v>
      </c>
      <c r="D716" s="5">
        <v>11430889</v>
      </c>
      <c r="E716" s="17">
        <f>D716/C716*100</f>
        <v>97.224263281540843</v>
      </c>
      <c r="F716" s="2"/>
    </row>
    <row r="717" spans="1:6" x14ac:dyDescent="0.2">
      <c r="A717" s="21" t="s">
        <v>8</v>
      </c>
      <c r="B717" s="28">
        <v>20000</v>
      </c>
      <c r="C717" s="28">
        <v>20000</v>
      </c>
      <c r="D717" s="5">
        <v>1627</v>
      </c>
      <c r="E717" s="17">
        <f>D717/C717*100</f>
        <v>8.1349999999999998</v>
      </c>
      <c r="F717" s="2"/>
    </row>
    <row r="718" spans="1:6" x14ac:dyDescent="0.2">
      <c r="A718" s="21" t="s">
        <v>35</v>
      </c>
      <c r="B718" s="28">
        <v>12980</v>
      </c>
      <c r="C718" s="28">
        <v>12980</v>
      </c>
      <c r="D718" s="5">
        <v>0</v>
      </c>
      <c r="E718" s="17">
        <f>D718/C718*100</f>
        <v>0</v>
      </c>
      <c r="F718" s="2"/>
    </row>
    <row r="719" spans="1:6" x14ac:dyDescent="0.2">
      <c r="A719" s="21" t="s">
        <v>43</v>
      </c>
      <c r="B719" s="28">
        <v>8850</v>
      </c>
      <c r="C719" s="28">
        <v>8850</v>
      </c>
      <c r="D719" s="5">
        <v>0</v>
      </c>
      <c r="E719" s="17">
        <f>D719/C719*100</f>
        <v>0</v>
      </c>
      <c r="F719" s="2"/>
    </row>
    <row r="720" spans="1:6" x14ac:dyDescent="0.2">
      <c r="A720" s="14" t="s">
        <v>2</v>
      </c>
      <c r="B720" s="12">
        <f>SUM(B716:B719)</f>
        <v>12350237</v>
      </c>
      <c r="C720" s="12">
        <f>SUM(C716:C719)</f>
        <v>11799069</v>
      </c>
      <c r="D720" s="11">
        <f>SUM(D716:D719)</f>
        <v>11432516</v>
      </c>
      <c r="E720" s="10">
        <f>D720/C720*100</f>
        <v>96.893373536505294</v>
      </c>
      <c r="F720" s="2"/>
    </row>
    <row r="721" spans="1:6" x14ac:dyDescent="0.2">
      <c r="A721" s="14"/>
      <c r="B721" s="28"/>
      <c r="C721" s="12"/>
      <c r="D721" s="5"/>
      <c r="E721" s="17"/>
      <c r="F721" s="2"/>
    </row>
    <row r="722" spans="1:6" x14ac:dyDescent="0.2">
      <c r="A722" s="37" t="s">
        <v>42</v>
      </c>
      <c r="B722" s="31">
        <v>20000</v>
      </c>
      <c r="C722" s="31">
        <v>20000</v>
      </c>
      <c r="D722" s="5">
        <v>0</v>
      </c>
      <c r="E722" s="17">
        <f>D722/C722*100</f>
        <v>0</v>
      </c>
      <c r="F722" s="2"/>
    </row>
    <row r="723" spans="1:6" x14ac:dyDescent="0.2">
      <c r="A723" s="19" t="s">
        <v>41</v>
      </c>
      <c r="B723" s="31">
        <v>60000</v>
      </c>
      <c r="C723" s="31">
        <v>60000</v>
      </c>
      <c r="D723" s="5">
        <v>37071</v>
      </c>
      <c r="E723" s="17">
        <f>D723/C723*100</f>
        <v>61.785000000000004</v>
      </c>
      <c r="F723" s="2"/>
    </row>
    <row r="724" spans="1:6" x14ac:dyDescent="0.2">
      <c r="A724" s="19" t="s">
        <v>32</v>
      </c>
      <c r="B724" s="31">
        <v>60000</v>
      </c>
      <c r="C724" s="31">
        <v>60000</v>
      </c>
      <c r="D724" s="5">
        <v>0</v>
      </c>
      <c r="E724" s="17">
        <f>D724/C724*100</f>
        <v>0</v>
      </c>
      <c r="F724" s="2"/>
    </row>
    <row r="725" spans="1:6" x14ac:dyDescent="0.2">
      <c r="A725" s="19" t="s">
        <v>31</v>
      </c>
      <c r="B725" s="20">
        <v>300000</v>
      </c>
      <c r="C725" s="20">
        <v>300000</v>
      </c>
      <c r="D725" s="5">
        <f>200702+3205</f>
        <v>203907</v>
      </c>
      <c r="E725" s="17">
        <f>D725/C725*100</f>
        <v>67.969000000000008</v>
      </c>
      <c r="F725" s="2"/>
    </row>
    <row r="726" spans="1:6" x14ac:dyDescent="0.2">
      <c r="A726" s="29" t="s">
        <v>30</v>
      </c>
      <c r="B726" s="16">
        <f>SUM(B722:B725)</f>
        <v>440000</v>
      </c>
      <c r="C726" s="16">
        <f>SUM(C722:C725)</f>
        <v>440000</v>
      </c>
      <c r="D726" s="11">
        <f>SUM(D722:D725)</f>
        <v>240978</v>
      </c>
      <c r="E726" s="10">
        <f>D726/C726*100</f>
        <v>54.767727272727271</v>
      </c>
      <c r="F726" s="2"/>
    </row>
    <row r="727" spans="1:6" x14ac:dyDescent="0.2">
      <c r="A727" s="19" t="s">
        <v>40</v>
      </c>
      <c r="B727" s="30">
        <f>250000+100000</f>
        <v>350000</v>
      </c>
      <c r="C727" s="30">
        <f>250000+100000</f>
        <v>350000</v>
      </c>
      <c r="D727" s="5">
        <v>302972</v>
      </c>
      <c r="E727" s="17">
        <f>D727/C727*100</f>
        <v>86.563428571428574</v>
      </c>
      <c r="F727" s="2"/>
    </row>
    <row r="728" spans="1:6" x14ac:dyDescent="0.2">
      <c r="A728" s="18" t="s">
        <v>6</v>
      </c>
      <c r="B728" s="16">
        <f>SUM(B727:B727)</f>
        <v>350000</v>
      </c>
      <c r="C728" s="16">
        <f>SUM(C727:C727)</f>
        <v>350000</v>
      </c>
      <c r="D728" s="11">
        <f>SUM(D727)</f>
        <v>302972</v>
      </c>
      <c r="E728" s="10">
        <f>D728/C728*100</f>
        <v>86.563428571428574</v>
      </c>
      <c r="F728" s="2"/>
    </row>
    <row r="729" spans="1:6" x14ac:dyDescent="0.2">
      <c r="A729" s="19" t="s">
        <v>14</v>
      </c>
      <c r="B729" s="20">
        <f>(B722+B723+B724+B725+B727)*0.27</f>
        <v>213300</v>
      </c>
      <c r="C729" s="20">
        <f>(C722+C723+C724+C725+C727)*0.27</f>
        <v>213300</v>
      </c>
      <c r="D729" s="5">
        <v>64985</v>
      </c>
      <c r="E729" s="17">
        <f>D729/C729*100</f>
        <v>30.466479137365216</v>
      </c>
      <c r="F729" s="2"/>
    </row>
    <row r="730" spans="1:6" x14ac:dyDescent="0.2">
      <c r="A730" s="29" t="s">
        <v>13</v>
      </c>
      <c r="B730" s="16">
        <f>SUM(B729:B729)</f>
        <v>213300</v>
      </c>
      <c r="C730" s="16">
        <f>SUM(C729:C729)</f>
        <v>213300</v>
      </c>
      <c r="D730" s="11">
        <f>SUM(D729)</f>
        <v>64985</v>
      </c>
      <c r="E730" s="10">
        <f>D730/C730*100</f>
        <v>30.466479137365216</v>
      </c>
      <c r="F730" s="2"/>
    </row>
    <row r="731" spans="1:6" x14ac:dyDescent="0.2">
      <c r="A731" s="13" t="s">
        <v>5</v>
      </c>
      <c r="B731" s="16">
        <f>B726+B728+B730</f>
        <v>1003300</v>
      </c>
      <c r="C731" s="16">
        <f>C726+C728+C730</f>
        <v>1003300</v>
      </c>
      <c r="D731" s="11">
        <f>D726+D728+D730</f>
        <v>608935</v>
      </c>
      <c r="E731" s="10">
        <f>D731/C731*100</f>
        <v>60.693212399083031</v>
      </c>
      <c r="F731" s="2"/>
    </row>
    <row r="732" spans="1:6" x14ac:dyDescent="0.2">
      <c r="A732" s="13"/>
      <c r="B732" s="16"/>
      <c r="C732" s="16"/>
      <c r="D732" s="11"/>
      <c r="E732" s="10"/>
      <c r="F732" s="2"/>
    </row>
    <row r="733" spans="1:6" x14ac:dyDescent="0.2">
      <c r="A733" s="15" t="s">
        <v>4</v>
      </c>
      <c r="B733" s="12">
        <f>B713+B720+B731</f>
        <v>64433527</v>
      </c>
      <c r="C733" s="12">
        <f>C713+C720+C731</f>
        <v>64356659</v>
      </c>
      <c r="D733" s="11">
        <f>D713+D720+D731</f>
        <v>63301248</v>
      </c>
      <c r="E733" s="10">
        <f>D733/C733*100</f>
        <v>98.360059368526265</v>
      </c>
      <c r="F733" s="2"/>
    </row>
    <row r="734" spans="1:6" ht="13.5" thickBot="1" x14ac:dyDescent="0.25">
      <c r="A734" s="36"/>
      <c r="B734" s="26"/>
      <c r="C734" s="26"/>
      <c r="D734" s="25"/>
      <c r="E734" s="25"/>
      <c r="F734" s="2"/>
    </row>
    <row r="735" spans="1:6" ht="13.5" thickBot="1" x14ac:dyDescent="0.25">
      <c r="A735" s="35" t="s">
        <v>39</v>
      </c>
      <c r="B735" s="35"/>
      <c r="C735" s="35"/>
      <c r="D735" s="35"/>
      <c r="E735" s="35"/>
      <c r="F735" s="2"/>
    </row>
    <row r="736" spans="1:6" x14ac:dyDescent="0.2">
      <c r="A736" s="34"/>
      <c r="B736" s="34"/>
      <c r="C736" s="34"/>
      <c r="D736" s="5"/>
      <c r="E736" s="5"/>
      <c r="F736" s="2"/>
    </row>
    <row r="737" spans="1:6" x14ac:dyDescent="0.2">
      <c r="A737" s="21" t="s">
        <v>38</v>
      </c>
      <c r="B737" s="28">
        <v>2681800</v>
      </c>
      <c r="C737" s="28">
        <f>2681800+184500-100000</f>
        <v>2766300</v>
      </c>
      <c r="D737" s="5">
        <v>2866302</v>
      </c>
      <c r="E737" s="17">
        <f>D737/C737*100</f>
        <v>103.61500921808914</v>
      </c>
      <c r="F737" s="2"/>
    </row>
    <row r="738" spans="1:6" x14ac:dyDescent="0.2">
      <c r="A738" s="33" t="s">
        <v>37</v>
      </c>
      <c r="B738" s="28">
        <v>50000</v>
      </c>
      <c r="C738" s="28">
        <v>50000</v>
      </c>
      <c r="D738" s="5">
        <v>0</v>
      </c>
      <c r="E738" s="17">
        <f>D738/C738*100</f>
        <v>0</v>
      </c>
      <c r="F738" s="2"/>
    </row>
    <row r="739" spans="1:6" x14ac:dyDescent="0.2">
      <c r="A739" s="33" t="s">
        <v>36</v>
      </c>
      <c r="B739" s="28">
        <v>51090</v>
      </c>
      <c r="C739" s="28">
        <v>51090</v>
      </c>
      <c r="D739" s="5">
        <v>18044</v>
      </c>
      <c r="E739" s="17">
        <f>D739/C739*100</f>
        <v>35.318066157760811</v>
      </c>
      <c r="F739" s="2"/>
    </row>
    <row r="740" spans="1:6" x14ac:dyDescent="0.2">
      <c r="A740" s="14" t="s">
        <v>3</v>
      </c>
      <c r="B740" s="12">
        <f>SUM(B737:B739)</f>
        <v>2782890</v>
      </c>
      <c r="C740" s="12">
        <f>SUM(C737:C739)</f>
        <v>2867390</v>
      </c>
      <c r="D740" s="11">
        <f>SUM(D737:D739)</f>
        <v>2884346</v>
      </c>
      <c r="E740" s="10">
        <f>D740/C740*100</f>
        <v>100.59133916209515</v>
      </c>
      <c r="F740" s="2"/>
    </row>
    <row r="741" spans="1:6" x14ac:dyDescent="0.2">
      <c r="A741" s="14"/>
      <c r="B741" s="12"/>
      <c r="C741" s="12"/>
      <c r="D741" s="5"/>
      <c r="E741" s="17"/>
      <c r="F741" s="2"/>
    </row>
    <row r="742" spans="1:6" x14ac:dyDescent="0.2">
      <c r="A742" s="21" t="s">
        <v>9</v>
      </c>
      <c r="B742" s="28">
        <v>651051</v>
      </c>
      <c r="C742" s="28">
        <f>651051-100000</f>
        <v>551051</v>
      </c>
      <c r="D742" s="5">
        <v>643781</v>
      </c>
      <c r="E742" s="17">
        <f>D742/C742*100</f>
        <v>116.82784352083564</v>
      </c>
      <c r="F742" s="2"/>
    </row>
    <row r="743" spans="1:6" x14ac:dyDescent="0.2">
      <c r="A743" s="21" t="s">
        <v>35</v>
      </c>
      <c r="B743" s="28">
        <v>8260</v>
      </c>
      <c r="C743" s="28">
        <v>8260</v>
      </c>
      <c r="D743" s="5">
        <v>0</v>
      </c>
      <c r="E743" s="17">
        <f>D743/C743*100</f>
        <v>0</v>
      </c>
      <c r="F743" s="2"/>
    </row>
    <row r="744" spans="1:6" x14ac:dyDescent="0.2">
      <c r="A744" s="21" t="s">
        <v>8</v>
      </c>
      <c r="B744" s="28">
        <v>10000</v>
      </c>
      <c r="C744" s="28">
        <v>10000</v>
      </c>
      <c r="D744" s="5">
        <v>0</v>
      </c>
      <c r="E744" s="17">
        <f>D744/C744*100</f>
        <v>0</v>
      </c>
      <c r="F744" s="2"/>
    </row>
    <row r="745" spans="1:6" x14ac:dyDescent="0.2">
      <c r="A745" s="21" t="s">
        <v>34</v>
      </c>
      <c r="B745" s="28">
        <v>8850</v>
      </c>
      <c r="C745" s="28">
        <v>8850</v>
      </c>
      <c r="D745" s="5">
        <v>0</v>
      </c>
      <c r="E745" s="17">
        <f>D745/C745*100</f>
        <v>0</v>
      </c>
      <c r="F745" s="2"/>
    </row>
    <row r="746" spans="1:6" x14ac:dyDescent="0.2">
      <c r="A746" s="14" t="s">
        <v>2</v>
      </c>
      <c r="B746" s="12">
        <f>SUM(B742:B745)</f>
        <v>678161</v>
      </c>
      <c r="C746" s="12">
        <f>SUM(C742:C745)</f>
        <v>578161</v>
      </c>
      <c r="D746" s="11">
        <f>SUM(D742:D745)</f>
        <v>643781</v>
      </c>
      <c r="E746" s="10">
        <f>D746/C746*100</f>
        <v>111.34977973263503</v>
      </c>
      <c r="F746" s="2"/>
    </row>
    <row r="747" spans="1:6" x14ac:dyDescent="0.2">
      <c r="A747" s="32"/>
      <c r="B747" s="28"/>
      <c r="C747" s="28"/>
      <c r="D747" s="5"/>
      <c r="E747" s="17"/>
      <c r="F747" s="2"/>
    </row>
    <row r="748" spans="1:6" x14ac:dyDescent="0.2">
      <c r="A748" s="19" t="s">
        <v>33</v>
      </c>
      <c r="B748" s="31">
        <v>580000</v>
      </c>
      <c r="C748" s="31">
        <f>580000+307500</f>
        <v>887500</v>
      </c>
      <c r="D748" s="5">
        <v>871871</v>
      </c>
      <c r="E748" s="17">
        <f>D748/C748*100</f>
        <v>98.238985915492961</v>
      </c>
      <c r="F748" s="2"/>
    </row>
    <row r="749" spans="1:6" x14ac:dyDescent="0.2">
      <c r="A749" s="19" t="s">
        <v>32</v>
      </c>
      <c r="B749" s="31">
        <v>250000</v>
      </c>
      <c r="C749" s="31">
        <v>250000</v>
      </c>
      <c r="D749" s="5">
        <v>154706</v>
      </c>
      <c r="E749" s="17">
        <f>D749/C749*100</f>
        <v>61.882400000000004</v>
      </c>
      <c r="F749" s="2"/>
    </row>
    <row r="750" spans="1:6" x14ac:dyDescent="0.2">
      <c r="A750" s="19" t="s">
        <v>31</v>
      </c>
      <c r="B750" s="31">
        <v>50000</v>
      </c>
      <c r="C750" s="31">
        <v>50000</v>
      </c>
      <c r="D750" s="5">
        <v>4571</v>
      </c>
      <c r="E750" s="17">
        <f>D750/C750*100</f>
        <v>9.1419999999999995</v>
      </c>
      <c r="F750" s="2"/>
    </row>
    <row r="751" spans="1:6" x14ac:dyDescent="0.2">
      <c r="A751" s="29" t="s">
        <v>30</v>
      </c>
      <c r="B751" s="16">
        <f>SUM(B748:B750)</f>
        <v>880000</v>
      </c>
      <c r="C751" s="16">
        <f>SUM(C748:C750)</f>
        <v>1187500</v>
      </c>
      <c r="D751" s="11">
        <f>SUM(D748:D750)</f>
        <v>1031148</v>
      </c>
      <c r="E751" s="10">
        <f>D751/C751*100</f>
        <v>86.83351578947368</v>
      </c>
      <c r="F751" s="2"/>
    </row>
    <row r="752" spans="1:6" x14ac:dyDescent="0.2">
      <c r="A752" s="19" t="s">
        <v>29</v>
      </c>
      <c r="B752" s="20">
        <v>80000</v>
      </c>
      <c r="C752" s="20">
        <v>80000</v>
      </c>
      <c r="D752" s="5">
        <v>58559</v>
      </c>
      <c r="E752" s="17">
        <f>D752/C752*100</f>
        <v>73.198750000000004</v>
      </c>
      <c r="F752" s="2"/>
    </row>
    <row r="753" spans="1:6" x14ac:dyDescent="0.2">
      <c r="A753" s="19" t="s">
        <v>28</v>
      </c>
      <c r="B753" s="20">
        <v>24000</v>
      </c>
      <c r="C753" s="20">
        <v>24000</v>
      </c>
      <c r="D753" s="5">
        <v>0</v>
      </c>
      <c r="E753" s="17">
        <f>D753/C753*100</f>
        <v>0</v>
      </c>
      <c r="F753" s="2"/>
    </row>
    <row r="754" spans="1:6" x14ac:dyDescent="0.2">
      <c r="A754" s="19" t="s">
        <v>27</v>
      </c>
      <c r="B754" s="20">
        <v>50000</v>
      </c>
      <c r="C754" s="20">
        <v>50000</v>
      </c>
      <c r="D754" s="5">
        <v>26736</v>
      </c>
      <c r="E754" s="17">
        <f>D754/C754*100</f>
        <v>53.471999999999994</v>
      </c>
      <c r="F754" s="2"/>
    </row>
    <row r="755" spans="1:6" x14ac:dyDescent="0.2">
      <c r="A755" s="29" t="s">
        <v>26</v>
      </c>
      <c r="B755" s="16">
        <f>SUM(B752:B754)</f>
        <v>154000</v>
      </c>
      <c r="C755" s="16">
        <f>SUM(C752:C754)</f>
        <v>154000</v>
      </c>
      <c r="D755" s="11">
        <f>SUM(D752:D754)</f>
        <v>85295</v>
      </c>
      <c r="E755" s="10">
        <f>D755/C755*100</f>
        <v>55.386363636363633</v>
      </c>
      <c r="F755" s="2"/>
    </row>
    <row r="756" spans="1:6" x14ac:dyDescent="0.2">
      <c r="A756" s="19" t="s">
        <v>25</v>
      </c>
      <c r="B756" s="20">
        <v>80000</v>
      </c>
      <c r="C756" s="20">
        <v>80000</v>
      </c>
      <c r="D756" s="5">
        <v>52156</v>
      </c>
      <c r="E756" s="17">
        <f>D756/C756*100</f>
        <v>65.195000000000007</v>
      </c>
      <c r="F756" s="2"/>
    </row>
    <row r="757" spans="1:6" x14ac:dyDescent="0.2">
      <c r="A757" s="18" t="s">
        <v>24</v>
      </c>
      <c r="B757" s="16">
        <f>SUM(B756:B756)</f>
        <v>80000</v>
      </c>
      <c r="C757" s="16">
        <f>SUM(C756:C756)</f>
        <v>80000</v>
      </c>
      <c r="D757" s="11">
        <f>SUM(D756)</f>
        <v>52156</v>
      </c>
      <c r="E757" s="10">
        <f>D757/C757*100</f>
        <v>65.195000000000007</v>
      </c>
      <c r="F757" s="2"/>
    </row>
    <row r="758" spans="1:6" x14ac:dyDescent="0.2">
      <c r="A758" s="19" t="s">
        <v>23</v>
      </c>
      <c r="B758" s="20">
        <v>330000</v>
      </c>
      <c r="C758" s="20">
        <v>330000</v>
      </c>
      <c r="D758" s="5">
        <v>269222</v>
      </c>
      <c r="E758" s="17">
        <f>D758/C758*100</f>
        <v>81.582424242424239</v>
      </c>
      <c r="F758" s="2"/>
    </row>
    <row r="759" spans="1:6" x14ac:dyDescent="0.2">
      <c r="A759" s="19" t="s">
        <v>22</v>
      </c>
      <c r="B759" s="20">
        <v>110000</v>
      </c>
      <c r="C759" s="20">
        <v>110000</v>
      </c>
      <c r="D759" s="5">
        <v>124683</v>
      </c>
      <c r="E759" s="17">
        <f>D759/C759*100</f>
        <v>113.34818181818183</v>
      </c>
      <c r="F759" s="2"/>
    </row>
    <row r="760" spans="1:6" x14ac:dyDescent="0.2">
      <c r="A760" s="19" t="s">
        <v>21</v>
      </c>
      <c r="B760" s="30">
        <v>20000</v>
      </c>
      <c r="C760" s="30">
        <v>20000</v>
      </c>
      <c r="D760" s="5">
        <v>11928</v>
      </c>
      <c r="E760" s="17">
        <f>D760/C760*100</f>
        <v>59.64</v>
      </c>
      <c r="F760" s="2"/>
    </row>
    <row r="761" spans="1:6" x14ac:dyDescent="0.2">
      <c r="A761" s="18" t="s">
        <v>20</v>
      </c>
      <c r="B761" s="16">
        <f>SUM(B758:B760)</f>
        <v>460000</v>
      </c>
      <c r="C761" s="16">
        <f>SUM(C758:C760)</f>
        <v>460000</v>
      </c>
      <c r="D761" s="11">
        <f>SUM(D758:D760)</f>
        <v>405833</v>
      </c>
      <c r="E761" s="10">
        <f>D761/C761*100</f>
        <v>88.224565217391302</v>
      </c>
      <c r="F761" s="2"/>
    </row>
    <row r="762" spans="1:6" x14ac:dyDescent="0.2">
      <c r="A762" s="19" t="s">
        <v>19</v>
      </c>
      <c r="B762" s="20">
        <v>50000</v>
      </c>
      <c r="C762" s="20">
        <v>50000</v>
      </c>
      <c r="D762" s="5">
        <v>7320</v>
      </c>
      <c r="E762" s="17">
        <f>D762/C762*100</f>
        <v>14.64</v>
      </c>
      <c r="F762" s="2"/>
    </row>
    <row r="763" spans="1:6" x14ac:dyDescent="0.2">
      <c r="A763" s="19" t="s">
        <v>18</v>
      </c>
      <c r="B763" s="20">
        <v>1300000</v>
      </c>
      <c r="C763" s="20">
        <v>1300000</v>
      </c>
      <c r="D763" s="5">
        <v>1245682</v>
      </c>
      <c r="E763" s="17">
        <f>D763/C763*100</f>
        <v>95.821692307692302</v>
      </c>
      <c r="F763" s="2"/>
    </row>
    <row r="764" spans="1:6" x14ac:dyDescent="0.2">
      <c r="A764" s="19" t="s">
        <v>17</v>
      </c>
      <c r="B764" s="30">
        <v>50000</v>
      </c>
      <c r="C764" s="30">
        <v>50000</v>
      </c>
      <c r="D764" s="5">
        <v>78295</v>
      </c>
      <c r="E764" s="17">
        <f>D764/C764*100</f>
        <v>156.59</v>
      </c>
      <c r="F764" s="2"/>
    </row>
    <row r="765" spans="1:6" x14ac:dyDescent="0.2">
      <c r="A765" s="18" t="s">
        <v>6</v>
      </c>
      <c r="B765" s="16">
        <f>SUM(B762:B764)</f>
        <v>1400000</v>
      </c>
      <c r="C765" s="16">
        <f>SUM(C762:C764)</f>
        <v>1400000</v>
      </c>
      <c r="D765" s="11">
        <f>SUM(D762:D764)</f>
        <v>1331297</v>
      </c>
      <c r="E765" s="10">
        <f>D765/C765*100</f>
        <v>95.092642857142863</v>
      </c>
      <c r="F765" s="2"/>
    </row>
    <row r="766" spans="1:6" x14ac:dyDescent="0.2">
      <c r="A766" s="19" t="s">
        <v>16</v>
      </c>
      <c r="B766" s="30">
        <v>20000</v>
      </c>
      <c r="C766" s="30">
        <v>20000</v>
      </c>
      <c r="D766" s="5">
        <v>0</v>
      </c>
      <c r="E766" s="17">
        <f>D766/C766*100</f>
        <v>0</v>
      </c>
      <c r="F766" s="2"/>
    </row>
    <row r="767" spans="1:6" x14ac:dyDescent="0.2">
      <c r="A767" s="18" t="s">
        <v>15</v>
      </c>
      <c r="B767" s="16">
        <f>SUM(B766:B766)</f>
        <v>20000</v>
      </c>
      <c r="C767" s="16">
        <f>SUM(C766:C766)</f>
        <v>20000</v>
      </c>
      <c r="D767" s="11">
        <v>0</v>
      </c>
      <c r="E767" s="17">
        <f>D767/C767*100</f>
        <v>0</v>
      </c>
      <c r="F767" s="2"/>
    </row>
    <row r="768" spans="1:6" x14ac:dyDescent="0.2">
      <c r="A768" s="19" t="s">
        <v>14</v>
      </c>
      <c r="B768" s="20">
        <f>B748*0.05+(B749+B763)*0.05+(B752+B753+B754+B756+B758+B760+B762+B764+B759)*0.27</f>
        <v>320880</v>
      </c>
      <c r="C768" s="20">
        <f>C748*0.05+(C749+C763)*0.05+(C752+C753+C754+C756+C758+C760+C762+C764+C759)*0.27-307500*0.05+15350</f>
        <v>336230</v>
      </c>
      <c r="D768" s="5">
        <f>293945</f>
        <v>293945</v>
      </c>
      <c r="E768" s="17">
        <f>D768/C768*100</f>
        <v>87.423787288463245</v>
      </c>
      <c r="F768" s="2"/>
    </row>
    <row r="769" spans="1:6" x14ac:dyDescent="0.2">
      <c r="A769" s="29" t="s">
        <v>13</v>
      </c>
      <c r="B769" s="16">
        <f>SUM(B768:B768)</f>
        <v>320880</v>
      </c>
      <c r="C769" s="16">
        <f>SUM(C768:C768)</f>
        <v>336230</v>
      </c>
      <c r="D769" s="11">
        <f>SUM(D768)</f>
        <v>293945</v>
      </c>
      <c r="E769" s="10">
        <f>D769/C769*100</f>
        <v>87.423787288463245</v>
      </c>
      <c r="F769" s="2"/>
    </row>
    <row r="770" spans="1:6" x14ac:dyDescent="0.2">
      <c r="A770" s="13" t="s">
        <v>5</v>
      </c>
      <c r="B770" s="16">
        <f>B751+B755+B757+B761+B765+B767+B769</f>
        <v>3314880</v>
      </c>
      <c r="C770" s="16">
        <f>C751+C755+C757+C761+C765+C767+C769</f>
        <v>3637730</v>
      </c>
      <c r="D770" s="11">
        <f>D751+D755+D757+D761+D765+D767+D769</f>
        <v>3199674</v>
      </c>
      <c r="E770" s="10">
        <f>D770/C770*100</f>
        <v>87.957984787216205</v>
      </c>
      <c r="F770" s="2"/>
    </row>
    <row r="771" spans="1:6" x14ac:dyDescent="0.2">
      <c r="A771" s="13"/>
      <c r="B771" s="28"/>
      <c r="C771" s="28"/>
      <c r="D771" s="5"/>
      <c r="E771" s="17"/>
      <c r="F771" s="2"/>
    </row>
    <row r="772" spans="1:6" x14ac:dyDescent="0.2">
      <c r="A772" s="15" t="s">
        <v>4</v>
      </c>
      <c r="B772" s="12">
        <f>B740+B746+B770</f>
        <v>6775931</v>
      </c>
      <c r="C772" s="12">
        <f>C740+C746+C770</f>
        <v>7083281</v>
      </c>
      <c r="D772" s="11">
        <f>D740+D746+D770</f>
        <v>6727801</v>
      </c>
      <c r="E772" s="10">
        <f>D772/C772*100</f>
        <v>94.981421745092419</v>
      </c>
      <c r="F772" s="2"/>
    </row>
    <row r="773" spans="1:6" ht="13.5" thickBot="1" x14ac:dyDescent="0.25">
      <c r="A773" s="27"/>
      <c r="B773" s="27"/>
      <c r="C773" s="26"/>
      <c r="D773" s="25"/>
      <c r="E773" s="25"/>
      <c r="F773" s="2"/>
    </row>
    <row r="774" spans="1:6" ht="13.5" thickBot="1" x14ac:dyDescent="0.25">
      <c r="A774" s="24" t="s">
        <v>12</v>
      </c>
      <c r="B774" s="24"/>
      <c r="C774" s="24"/>
      <c r="D774" s="24"/>
      <c r="E774" s="24"/>
      <c r="F774" s="2"/>
    </row>
    <row r="775" spans="1:6" x14ac:dyDescent="0.2">
      <c r="A775" s="23"/>
      <c r="B775" s="23"/>
      <c r="C775" s="22"/>
      <c r="D775" s="5"/>
      <c r="E775" s="5"/>
      <c r="F775" s="2"/>
    </row>
    <row r="776" spans="1:6" x14ac:dyDescent="0.2">
      <c r="A776" s="21" t="s">
        <v>11</v>
      </c>
      <c r="B776" s="21"/>
      <c r="C776" s="20">
        <f>1942533+978360-300000</f>
        <v>2620893</v>
      </c>
      <c r="D776" s="5">
        <v>2705762</v>
      </c>
      <c r="E776" s="17">
        <f>D776/C776*100</f>
        <v>103.23817111190728</v>
      </c>
      <c r="F776" s="2"/>
    </row>
    <row r="777" spans="1:6" x14ac:dyDescent="0.2">
      <c r="A777" s="21" t="s">
        <v>10</v>
      </c>
      <c r="B777" s="21"/>
      <c r="C777" s="20"/>
      <c r="D777" s="5">
        <v>83891</v>
      </c>
      <c r="E777" s="17"/>
      <c r="F777" s="2"/>
    </row>
    <row r="778" spans="1:6" x14ac:dyDescent="0.2">
      <c r="A778" s="14" t="s">
        <v>3</v>
      </c>
      <c r="B778" s="14"/>
      <c r="C778" s="16">
        <f>C776</f>
        <v>2620893</v>
      </c>
      <c r="D778" s="11">
        <f>SUM(D776:D777)</f>
        <v>2789653</v>
      </c>
      <c r="E778" s="10">
        <f>D778/C778*100</f>
        <v>106.43902669815213</v>
      </c>
      <c r="F778" s="2"/>
    </row>
    <row r="779" spans="1:6" x14ac:dyDescent="0.2">
      <c r="A779" s="14"/>
      <c r="B779" s="14"/>
      <c r="C779" s="16"/>
      <c r="D779" s="5"/>
      <c r="E779" s="17"/>
      <c r="F779" s="2"/>
    </row>
    <row r="780" spans="1:6" x14ac:dyDescent="0.2">
      <c r="A780" s="21" t="s">
        <v>9</v>
      </c>
      <c r="B780" s="21"/>
      <c r="C780" s="20">
        <f>213679+107620-60000</f>
        <v>261299</v>
      </c>
      <c r="D780" s="5">
        <v>306344</v>
      </c>
      <c r="E780" s="17">
        <f>D780/C780*100</f>
        <v>117.23887194363544</v>
      </c>
      <c r="F780" s="2"/>
    </row>
    <row r="781" spans="1:6" x14ac:dyDescent="0.2">
      <c r="A781" s="21" t="s">
        <v>8</v>
      </c>
      <c r="B781" s="21"/>
      <c r="C781" s="20"/>
      <c r="D781" s="5">
        <v>4766</v>
      </c>
      <c r="E781" s="17"/>
      <c r="F781" s="2"/>
    </row>
    <row r="782" spans="1:6" x14ac:dyDescent="0.2">
      <c r="A782" s="14" t="s">
        <v>2</v>
      </c>
      <c r="B782" s="14"/>
      <c r="C782" s="16">
        <f>SUM(C780:C780)</f>
        <v>261299</v>
      </c>
      <c r="D782" s="11">
        <f>SUM(D780:D781)</f>
        <v>311110</v>
      </c>
      <c r="E782" s="10">
        <f>D782/C782*100</f>
        <v>119.06283606137032</v>
      </c>
      <c r="F782" s="2"/>
    </row>
    <row r="783" spans="1:6" x14ac:dyDescent="0.2">
      <c r="A783" s="14"/>
      <c r="B783" s="14"/>
      <c r="C783" s="16"/>
      <c r="D783" s="5"/>
      <c r="E783" s="17"/>
      <c r="F783" s="2"/>
    </row>
    <row r="784" spans="1:6" x14ac:dyDescent="0.2">
      <c r="A784" s="19" t="s">
        <v>7</v>
      </c>
      <c r="B784" s="14"/>
      <c r="C784" s="16"/>
      <c r="D784" s="5">
        <v>7600</v>
      </c>
      <c r="E784" s="17"/>
      <c r="F784" s="2"/>
    </row>
    <row r="785" spans="1:6" x14ac:dyDescent="0.2">
      <c r="A785" s="18" t="s">
        <v>6</v>
      </c>
      <c r="B785" s="14"/>
      <c r="C785" s="16"/>
      <c r="D785" s="5">
        <v>7600</v>
      </c>
      <c r="E785" s="17"/>
      <c r="F785" s="2"/>
    </row>
    <row r="786" spans="1:6" x14ac:dyDescent="0.2">
      <c r="A786" s="13" t="s">
        <v>5</v>
      </c>
      <c r="B786" s="14"/>
      <c r="C786" s="16"/>
      <c r="D786" s="11">
        <v>7600</v>
      </c>
      <c r="E786" s="17"/>
      <c r="F786" s="2"/>
    </row>
    <row r="787" spans="1:6" x14ac:dyDescent="0.2">
      <c r="A787" s="14"/>
      <c r="B787" s="14"/>
      <c r="C787" s="16"/>
      <c r="D787" s="5"/>
      <c r="E787" s="10"/>
      <c r="F787" s="2"/>
    </row>
    <row r="788" spans="1:6" x14ac:dyDescent="0.2">
      <c r="A788" s="15" t="s">
        <v>4</v>
      </c>
      <c r="B788" s="15"/>
      <c r="C788" s="16">
        <f>C778+C782</f>
        <v>2882192</v>
      </c>
      <c r="D788" s="11">
        <f>D778+D782+D786</f>
        <v>3108363</v>
      </c>
      <c r="E788" s="10">
        <f>D788/C788*100</f>
        <v>107.84718714089831</v>
      </c>
      <c r="F788" s="2"/>
    </row>
    <row r="789" spans="1:6" x14ac:dyDescent="0.2">
      <c r="A789" s="15"/>
      <c r="B789" s="15"/>
      <c r="C789" s="12"/>
      <c r="D789" s="5"/>
      <c r="E789" s="10"/>
      <c r="F789" s="2"/>
    </row>
    <row r="790" spans="1:6" x14ac:dyDescent="0.2">
      <c r="A790" s="15"/>
      <c r="B790" s="15"/>
      <c r="C790" s="12"/>
      <c r="D790" s="5"/>
      <c r="E790" s="10"/>
      <c r="F790" s="2"/>
    </row>
    <row r="791" spans="1:6" x14ac:dyDescent="0.2">
      <c r="A791" s="14" t="s">
        <v>3</v>
      </c>
      <c r="B791" s="12">
        <f>B678+B713+B740+B778</f>
        <v>70234227</v>
      </c>
      <c r="C791" s="12">
        <f>C678+C713+C740+C778</f>
        <v>72030220</v>
      </c>
      <c r="D791" s="11">
        <f>D678+D713+D740+D778</f>
        <v>70828854</v>
      </c>
      <c r="E791" s="10">
        <f>D791/C791*100</f>
        <v>98.332136150632337</v>
      </c>
      <c r="F791" s="2"/>
    </row>
    <row r="792" spans="1:6" x14ac:dyDescent="0.2">
      <c r="A792" s="14" t="s">
        <v>2</v>
      </c>
      <c r="B792" s="12">
        <f>B683+B720+B746+B782</f>
        <v>16948005</v>
      </c>
      <c r="C792" s="12">
        <f>C683+C720+C746+C782</f>
        <v>15878136</v>
      </c>
      <c r="D792" s="11">
        <f>D683+D720+D746+D782</f>
        <v>15510994</v>
      </c>
      <c r="E792" s="10">
        <f>D792/C792*100</f>
        <v>97.687751257452376</v>
      </c>
      <c r="F792" s="2"/>
    </row>
    <row r="793" spans="1:6" x14ac:dyDescent="0.2">
      <c r="A793" s="13" t="s">
        <v>1</v>
      </c>
      <c r="B793" s="12">
        <f>B668+B702+B731+B770</f>
        <v>63064908</v>
      </c>
      <c r="C793" s="12">
        <f>C668+C702+C731+C770</f>
        <v>58307758</v>
      </c>
      <c r="D793" s="11">
        <f>D668+D702+D731+D770+D786</f>
        <v>55567603</v>
      </c>
      <c r="E793" s="10">
        <f>D793/C793*100</f>
        <v>95.300531020246055</v>
      </c>
      <c r="F793" s="2"/>
    </row>
    <row r="794" spans="1:6" ht="22.5" x14ac:dyDescent="0.2">
      <c r="A794" s="9" t="s">
        <v>0</v>
      </c>
      <c r="B794" s="8">
        <f>SUM(B791:B793)</f>
        <v>150247140</v>
      </c>
      <c r="C794" s="8">
        <f>SUM(C791:C793)</f>
        <v>146216114</v>
      </c>
      <c r="D794" s="7">
        <f>D791+D792+D793</f>
        <v>141907451</v>
      </c>
      <c r="E794" s="6">
        <f>D794/C794*100</f>
        <v>97.053222875284462</v>
      </c>
      <c r="F794" s="2"/>
    </row>
    <row r="795" spans="1:6" x14ac:dyDescent="0.2">
      <c r="A795" s="5"/>
      <c r="B795" s="5"/>
      <c r="C795" s="5"/>
      <c r="D795" s="5"/>
      <c r="E795" s="5"/>
      <c r="F795" s="2"/>
    </row>
    <row r="796" spans="1:6" x14ac:dyDescent="0.2">
      <c r="A796" s="5"/>
      <c r="B796" s="5"/>
      <c r="C796" s="5"/>
      <c r="D796" s="5"/>
      <c r="E796" s="5"/>
      <c r="F796" s="2"/>
    </row>
    <row r="797" spans="1:6" x14ac:dyDescent="0.2">
      <c r="A797" s="5"/>
      <c r="B797" s="5"/>
      <c r="C797" s="5"/>
      <c r="D797" s="5"/>
      <c r="E797" s="5"/>
      <c r="F797" s="2"/>
    </row>
    <row r="798" spans="1:6" x14ac:dyDescent="0.2">
      <c r="A798" s="5"/>
      <c r="B798" s="5"/>
      <c r="C798" s="5"/>
      <c r="D798" s="5"/>
      <c r="E798" s="5"/>
      <c r="F798" s="2"/>
    </row>
    <row r="799" spans="1:6" x14ac:dyDescent="0.2">
      <c r="A799" s="4"/>
      <c r="B799" s="4"/>
      <c r="C799" s="4"/>
      <c r="D799" s="2"/>
      <c r="E799" s="2"/>
      <c r="F799" s="2"/>
    </row>
    <row r="800" spans="1:6" x14ac:dyDescent="0.2">
      <c r="A800" s="4"/>
      <c r="B800" s="4"/>
      <c r="C800" s="4"/>
      <c r="D800" s="2"/>
      <c r="E800" s="2"/>
      <c r="F800" s="2"/>
    </row>
    <row r="801" spans="1:6" x14ac:dyDescent="0.2">
      <c r="A801" s="4"/>
      <c r="B801" s="4"/>
      <c r="C801" s="4"/>
      <c r="D801" s="2"/>
      <c r="E801" s="2"/>
      <c r="F801" s="2"/>
    </row>
    <row r="802" spans="1:6" x14ac:dyDescent="0.2">
      <c r="A802" s="4"/>
      <c r="B802" s="4"/>
      <c r="C802" s="4"/>
      <c r="D802" s="2"/>
      <c r="E802" s="2"/>
      <c r="F802" s="2"/>
    </row>
    <row r="803" spans="1:6" x14ac:dyDescent="0.2">
      <c r="A803" s="4"/>
      <c r="B803" s="4"/>
      <c r="C803" s="4"/>
      <c r="D803" s="2"/>
      <c r="E803" s="2"/>
      <c r="F803" s="2"/>
    </row>
    <row r="804" spans="1:6" x14ac:dyDescent="0.2">
      <c r="A804" s="4"/>
      <c r="B804" s="4"/>
      <c r="C804" s="4"/>
      <c r="D804" s="2"/>
      <c r="E804" s="2"/>
      <c r="F804" s="2"/>
    </row>
    <row r="805" spans="1:6" x14ac:dyDescent="0.2">
      <c r="A805" s="4"/>
      <c r="B805" s="4"/>
      <c r="C805" s="4"/>
      <c r="D805" s="2"/>
      <c r="E805" s="2"/>
      <c r="F805" s="2"/>
    </row>
    <row r="806" spans="1:6" x14ac:dyDescent="0.2">
      <c r="A806" s="4"/>
      <c r="B806" s="4"/>
      <c r="C806" s="4"/>
      <c r="D806" s="2"/>
      <c r="E806" s="2"/>
      <c r="F806" s="2"/>
    </row>
    <row r="807" spans="1:6" x14ac:dyDescent="0.2">
      <c r="A807" s="4"/>
      <c r="B807" s="4"/>
      <c r="C807" s="4"/>
      <c r="D807" s="2"/>
      <c r="E807" s="2"/>
      <c r="F807" s="2"/>
    </row>
    <row r="808" spans="1:6" x14ac:dyDescent="0.2">
      <c r="A808" s="4"/>
      <c r="B808" s="4"/>
      <c r="C808" s="4"/>
      <c r="D808" s="2"/>
      <c r="E808" s="2"/>
      <c r="F808" s="2"/>
    </row>
    <row r="809" spans="1:6" x14ac:dyDescent="0.2">
      <c r="A809" s="4"/>
      <c r="B809" s="4"/>
      <c r="C809" s="4"/>
      <c r="D809" s="2"/>
      <c r="E809" s="2"/>
      <c r="F809" s="2"/>
    </row>
    <row r="810" spans="1:6" x14ac:dyDescent="0.2">
      <c r="A810" s="4"/>
      <c r="B810" s="4"/>
      <c r="C810" s="4"/>
      <c r="D810" s="2"/>
      <c r="E810" s="2"/>
      <c r="F810" s="2"/>
    </row>
    <row r="811" spans="1:6" x14ac:dyDescent="0.2">
      <c r="A811" s="4"/>
      <c r="B811" s="4"/>
      <c r="C811" s="4"/>
      <c r="D811" s="2"/>
      <c r="E811" s="2"/>
      <c r="F811" s="2"/>
    </row>
    <row r="812" spans="1:6" x14ac:dyDescent="0.2">
      <c r="A812" s="4"/>
      <c r="B812" s="4"/>
      <c r="C812" s="4"/>
      <c r="D812" s="2"/>
      <c r="E812" s="2"/>
      <c r="F812" s="2"/>
    </row>
    <row r="813" spans="1:6" x14ac:dyDescent="0.2">
      <c r="A813" s="4"/>
      <c r="B813" s="4"/>
      <c r="C813" s="4"/>
      <c r="D813" s="2"/>
      <c r="E813" s="2"/>
      <c r="F813" s="2"/>
    </row>
    <row r="814" spans="1:6" x14ac:dyDescent="0.2">
      <c r="A814" s="4"/>
      <c r="B814" s="4"/>
      <c r="C814" s="4"/>
      <c r="D814" s="2"/>
      <c r="E814" s="2"/>
      <c r="F814" s="2"/>
    </row>
    <row r="815" spans="1:6" x14ac:dyDescent="0.2">
      <c r="A815" s="4"/>
      <c r="B815" s="4"/>
      <c r="C815" s="4"/>
      <c r="D815" s="2"/>
      <c r="E815" s="2"/>
      <c r="F815" s="2"/>
    </row>
    <row r="816" spans="1:6" x14ac:dyDescent="0.2">
      <c r="A816" s="4"/>
      <c r="B816" s="4"/>
      <c r="C816" s="4"/>
      <c r="D816" s="2"/>
      <c r="E816" s="2"/>
      <c r="F816" s="2"/>
    </row>
    <row r="817" spans="1:6" x14ac:dyDescent="0.2">
      <c r="A817" s="4"/>
      <c r="B817" s="4"/>
      <c r="C817" s="4"/>
      <c r="D817" s="2"/>
      <c r="E817" s="2"/>
      <c r="F817" s="2"/>
    </row>
    <row r="818" spans="1:6" x14ac:dyDescent="0.2">
      <c r="A818" s="4"/>
      <c r="B818" s="4"/>
      <c r="C818" s="4"/>
      <c r="D818" s="2"/>
      <c r="E818" s="2"/>
      <c r="F818" s="2"/>
    </row>
    <row r="819" spans="1:6" x14ac:dyDescent="0.2">
      <c r="A819" s="4"/>
      <c r="B819" s="4"/>
      <c r="C819" s="4"/>
      <c r="D819" s="2"/>
      <c r="E819" s="2"/>
      <c r="F819" s="2"/>
    </row>
    <row r="820" spans="1:6" x14ac:dyDescent="0.2">
      <c r="A820" s="4"/>
      <c r="B820" s="4"/>
      <c r="C820" s="4"/>
      <c r="D820" s="2"/>
      <c r="E820" s="2"/>
      <c r="F820" s="2"/>
    </row>
    <row r="821" spans="1:6" x14ac:dyDescent="0.2">
      <c r="A821" s="4"/>
      <c r="B821" s="4"/>
      <c r="C821" s="4"/>
      <c r="D821" s="2"/>
      <c r="E821" s="2"/>
      <c r="F821" s="2"/>
    </row>
    <row r="822" spans="1:6" x14ac:dyDescent="0.2">
      <c r="A822" s="4"/>
      <c r="B822" s="4"/>
      <c r="C822" s="4"/>
      <c r="D822" s="2"/>
      <c r="E822" s="2"/>
      <c r="F822" s="2"/>
    </row>
    <row r="823" spans="1:6" x14ac:dyDescent="0.2">
      <c r="A823" s="4"/>
      <c r="B823" s="4"/>
      <c r="C823" s="4"/>
      <c r="D823" s="2"/>
      <c r="E823" s="2"/>
      <c r="F823" s="2"/>
    </row>
    <row r="824" spans="1:6" x14ac:dyDescent="0.2">
      <c r="A824" s="4"/>
      <c r="B824" s="4"/>
      <c r="C824" s="4"/>
      <c r="D824" s="2"/>
      <c r="E824" s="2"/>
      <c r="F824" s="2"/>
    </row>
    <row r="825" spans="1:6" x14ac:dyDescent="0.2">
      <c r="A825" s="4"/>
      <c r="B825" s="4"/>
      <c r="C825" s="4"/>
      <c r="D825" s="2"/>
      <c r="E825" s="2"/>
      <c r="F825" s="2"/>
    </row>
    <row r="826" spans="1:6" x14ac:dyDescent="0.2">
      <c r="A826" s="4"/>
      <c r="B826" s="4"/>
      <c r="C826" s="4"/>
      <c r="D826" s="2"/>
      <c r="E826" s="2"/>
      <c r="F826" s="2"/>
    </row>
    <row r="827" spans="1:6" x14ac:dyDescent="0.2">
      <c r="A827" s="4"/>
      <c r="B827" s="4"/>
      <c r="C827" s="4"/>
      <c r="D827" s="2"/>
      <c r="E827" s="2"/>
      <c r="F827" s="2"/>
    </row>
    <row r="828" spans="1:6" x14ac:dyDescent="0.2">
      <c r="A828" s="4"/>
      <c r="B828" s="4"/>
      <c r="C828" s="4"/>
      <c r="D828" s="2"/>
      <c r="E828" s="2"/>
      <c r="F828" s="2"/>
    </row>
    <row r="829" spans="1:6" x14ac:dyDescent="0.2">
      <c r="A829" s="4"/>
      <c r="B829" s="4"/>
      <c r="C829" s="4"/>
      <c r="D829" s="2"/>
      <c r="E829" s="2"/>
      <c r="F829" s="2"/>
    </row>
    <row r="830" spans="1:6" x14ac:dyDescent="0.2">
      <c r="A830" s="4"/>
      <c r="B830" s="4"/>
      <c r="C830" s="4"/>
      <c r="D830" s="2"/>
      <c r="E830" s="2"/>
      <c r="F830" s="2"/>
    </row>
    <row r="831" spans="1:6" x14ac:dyDescent="0.2">
      <c r="A831" s="4"/>
      <c r="B831" s="4"/>
      <c r="C831" s="4"/>
      <c r="D831" s="2"/>
      <c r="E831" s="2"/>
      <c r="F831" s="2"/>
    </row>
    <row r="832" spans="1:6" x14ac:dyDescent="0.2">
      <c r="A832" s="4"/>
      <c r="B832" s="4"/>
      <c r="C832" s="4"/>
      <c r="D832" s="2"/>
      <c r="E832" s="2"/>
      <c r="F832" s="2"/>
    </row>
    <row r="833" spans="1:6" x14ac:dyDescent="0.2">
      <c r="A833" s="4"/>
      <c r="B833" s="4"/>
      <c r="C833" s="4"/>
      <c r="D833" s="2"/>
      <c r="E833" s="2"/>
      <c r="F833" s="2"/>
    </row>
    <row r="834" spans="1:6" x14ac:dyDescent="0.2">
      <c r="A834" s="4"/>
      <c r="B834" s="4"/>
      <c r="C834" s="4"/>
      <c r="D834" s="2"/>
      <c r="E834" s="2"/>
      <c r="F834" s="2"/>
    </row>
    <row r="835" spans="1:6" x14ac:dyDescent="0.2">
      <c r="A835" s="4"/>
      <c r="B835" s="4"/>
      <c r="C835" s="4"/>
      <c r="D835" s="2"/>
      <c r="E835" s="2"/>
      <c r="F835" s="2"/>
    </row>
    <row r="836" spans="1:6" x14ac:dyDescent="0.2">
      <c r="A836" s="4"/>
      <c r="B836" s="4"/>
      <c r="C836" s="4"/>
      <c r="D836" s="2"/>
      <c r="E836" s="2"/>
      <c r="F836" s="2"/>
    </row>
    <row r="837" spans="1:6" x14ac:dyDescent="0.2">
      <c r="A837" s="4"/>
      <c r="B837" s="4"/>
      <c r="C837" s="4"/>
      <c r="D837" s="2"/>
      <c r="E837" s="2"/>
      <c r="F837" s="2"/>
    </row>
    <row r="838" spans="1:6" x14ac:dyDescent="0.2">
      <c r="A838" s="4"/>
      <c r="B838" s="4"/>
      <c r="C838" s="4"/>
      <c r="D838" s="2"/>
      <c r="E838" s="2"/>
      <c r="F838" s="2"/>
    </row>
    <row r="839" spans="1:6" x14ac:dyDescent="0.2">
      <c r="A839" s="4"/>
      <c r="B839" s="4"/>
      <c r="C839" s="4"/>
      <c r="D839" s="2"/>
      <c r="E839" s="2"/>
      <c r="F839" s="2"/>
    </row>
    <row r="840" spans="1:6" x14ac:dyDescent="0.2">
      <c r="A840" s="4"/>
      <c r="B840" s="4"/>
      <c r="C840" s="4"/>
      <c r="D840" s="2"/>
      <c r="E840" s="2"/>
      <c r="F840" s="2"/>
    </row>
    <row r="841" spans="1:6" x14ac:dyDescent="0.2">
      <c r="A841" s="4"/>
      <c r="B841" s="4"/>
      <c r="C841" s="4"/>
      <c r="D841" s="2"/>
      <c r="E841" s="2"/>
      <c r="F841" s="2"/>
    </row>
    <row r="842" spans="1:6" x14ac:dyDescent="0.2">
      <c r="A842" s="4"/>
      <c r="B842" s="4"/>
      <c r="C842" s="4"/>
      <c r="D842" s="2"/>
      <c r="E842" s="2"/>
      <c r="F842" s="2"/>
    </row>
    <row r="843" spans="1:6" x14ac:dyDescent="0.2">
      <c r="A843" s="4"/>
      <c r="B843" s="4"/>
      <c r="C843" s="4"/>
      <c r="D843" s="2"/>
      <c r="E843" s="2"/>
      <c r="F843" s="2"/>
    </row>
    <row r="844" spans="1:6" x14ac:dyDescent="0.2">
      <c r="A844" s="4"/>
      <c r="B844" s="4"/>
      <c r="C844" s="4"/>
      <c r="D844" s="2"/>
      <c r="E844" s="2"/>
      <c r="F844" s="2"/>
    </row>
    <row r="845" spans="1:6" x14ac:dyDescent="0.2">
      <c r="A845" s="4"/>
      <c r="B845" s="4"/>
      <c r="C845" s="4"/>
      <c r="D845" s="2"/>
      <c r="E845" s="2"/>
      <c r="F845" s="2"/>
    </row>
    <row r="846" spans="1:6" x14ac:dyDescent="0.2">
      <c r="A846" s="4"/>
      <c r="B846" s="4"/>
      <c r="C846" s="4"/>
      <c r="D846" s="2"/>
      <c r="E846" s="2"/>
      <c r="F846" s="2"/>
    </row>
    <row r="847" spans="1:6" x14ac:dyDescent="0.2">
      <c r="A847" s="4"/>
      <c r="B847" s="4"/>
      <c r="C847" s="4"/>
      <c r="D847" s="2"/>
      <c r="E847" s="2"/>
      <c r="F847" s="2"/>
    </row>
    <row r="848" spans="1:6" x14ac:dyDescent="0.2">
      <c r="A848" s="4"/>
      <c r="B848" s="4"/>
      <c r="C848" s="4"/>
      <c r="D848" s="2"/>
      <c r="E848" s="2"/>
      <c r="F848" s="2"/>
    </row>
    <row r="849" spans="1:6" x14ac:dyDescent="0.2">
      <c r="A849" s="4"/>
      <c r="B849" s="4"/>
      <c r="C849" s="4"/>
      <c r="D849" s="2"/>
      <c r="E849" s="2"/>
      <c r="F849" s="2"/>
    </row>
    <row r="850" spans="1:6" x14ac:dyDescent="0.2">
      <c r="A850" s="4"/>
      <c r="B850" s="4"/>
      <c r="C850" s="4"/>
      <c r="D850" s="2"/>
      <c r="E850" s="2"/>
      <c r="F850" s="2"/>
    </row>
    <row r="851" spans="1:6" x14ac:dyDescent="0.2">
      <c r="A851" s="4"/>
      <c r="B851" s="4"/>
      <c r="C851" s="4"/>
      <c r="D851" s="2"/>
      <c r="E851" s="2"/>
      <c r="F851" s="2"/>
    </row>
    <row r="852" spans="1:6" x14ac:dyDescent="0.2">
      <c r="A852" s="4"/>
      <c r="B852" s="4"/>
      <c r="C852" s="4"/>
      <c r="D852" s="2"/>
      <c r="E852" s="2"/>
      <c r="F852" s="2"/>
    </row>
    <row r="853" spans="1:6" x14ac:dyDescent="0.2">
      <c r="A853" s="4"/>
      <c r="B853" s="4"/>
      <c r="C853" s="4"/>
      <c r="D853" s="2"/>
      <c r="E853" s="2"/>
      <c r="F853" s="2"/>
    </row>
    <row r="854" spans="1:6" x14ac:dyDescent="0.2">
      <c r="A854" s="4"/>
      <c r="B854" s="4"/>
      <c r="C854" s="4"/>
      <c r="D854" s="2"/>
      <c r="E854" s="2"/>
      <c r="F854" s="2"/>
    </row>
    <row r="855" spans="1:6" x14ac:dyDescent="0.2">
      <c r="A855" s="4"/>
      <c r="B855" s="4"/>
      <c r="C855" s="4"/>
      <c r="D855" s="2"/>
      <c r="E855" s="2"/>
      <c r="F855" s="2"/>
    </row>
    <row r="856" spans="1:6" x14ac:dyDescent="0.2">
      <c r="A856" s="3"/>
      <c r="B856" s="3"/>
      <c r="C856" s="3"/>
      <c r="D856" s="2"/>
      <c r="E856" s="2"/>
      <c r="F856" s="2"/>
    </row>
    <row r="857" spans="1:6" x14ac:dyDescent="0.2">
      <c r="A857" s="3"/>
      <c r="B857" s="3"/>
      <c r="C857" s="3"/>
      <c r="D857" s="2"/>
      <c r="E857" s="2"/>
      <c r="F857" s="2"/>
    </row>
    <row r="858" spans="1:6" x14ac:dyDescent="0.2">
      <c r="A858" s="3"/>
      <c r="B858" s="3"/>
      <c r="C858" s="3"/>
      <c r="D858" s="2"/>
      <c r="E858" s="2"/>
      <c r="F858" s="2"/>
    </row>
    <row r="859" spans="1:6" x14ac:dyDescent="0.2">
      <c r="A859" s="1"/>
      <c r="B859" s="1"/>
      <c r="C859" s="1"/>
    </row>
    <row r="860" spans="1:6" x14ac:dyDescent="0.2">
      <c r="A860" s="1"/>
      <c r="B860" s="1"/>
      <c r="C860" s="1"/>
    </row>
    <row r="861" spans="1:6" x14ac:dyDescent="0.2">
      <c r="A861" s="1"/>
      <c r="B861" s="1"/>
      <c r="C861" s="1"/>
    </row>
  </sheetData>
  <mergeCells count="43">
    <mergeCell ref="A362:E362"/>
    <mergeCell ref="A192:E192"/>
    <mergeCell ref="A205:E205"/>
    <mergeCell ref="A75:E75"/>
    <mergeCell ref="A87:E87"/>
    <mergeCell ref="A1:E1"/>
    <mergeCell ref="A99:E99"/>
    <mergeCell ref="B9:C9"/>
    <mergeCell ref="A11:E11"/>
    <mergeCell ref="A20:E20"/>
    <mergeCell ref="A248:E248"/>
    <mergeCell ref="A29:E29"/>
    <mergeCell ref="A58:E58"/>
    <mergeCell ref="A294:E294"/>
    <mergeCell ref="A246:E246"/>
    <mergeCell ref="A292:E292"/>
    <mergeCell ref="A273:E273"/>
    <mergeCell ref="A664:E664"/>
    <mergeCell ref="A672:D672"/>
    <mergeCell ref="A364:E364"/>
    <mergeCell ref="A250:E250"/>
    <mergeCell ref="A7:E7"/>
    <mergeCell ref="A3:E3"/>
    <mergeCell ref="A149:E149"/>
    <mergeCell ref="A130:E130"/>
    <mergeCell ref="A128:E128"/>
    <mergeCell ref="A5:E5"/>
    <mergeCell ref="A366:D366"/>
    <mergeCell ref="A409:E409"/>
    <mergeCell ref="A660:E660"/>
    <mergeCell ref="A662:E662"/>
    <mergeCell ref="A626:E626"/>
    <mergeCell ref="A637:E637"/>
    <mergeCell ref="A774:E774"/>
    <mergeCell ref="A735:E735"/>
    <mergeCell ref="A476:E476"/>
    <mergeCell ref="A432:E432"/>
    <mergeCell ref="A203:E203"/>
    <mergeCell ref="A345:E345"/>
    <mergeCell ref="A706:E706"/>
    <mergeCell ref="A585:E585"/>
    <mergeCell ref="A560:E560"/>
    <mergeCell ref="A517:E517"/>
  </mergeCells>
  <printOptions gridLines="1"/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2018-05-02T07:11:16Z</dcterms:created>
  <dcterms:modified xsi:type="dcterms:W3CDTF">2018-05-02T07:11:33Z</dcterms:modified>
</cp:coreProperties>
</file>