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75" windowWidth="12120" windowHeight="2460" tabRatio="803" activeTab="0"/>
  </bookViews>
  <sheets>
    <sheet name="önként2016." sheetId="1" r:id="rId1"/>
    <sheet name="kötelező2016." sheetId="2" r:id="rId2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'kötelező2016.'!$A$1:$M$44</definedName>
    <definedName name="_xlnm.Print_Area" localSheetId="0">'önként2016.'!$A$1:$L$34</definedName>
  </definedNames>
  <calcPr fullCalcOnLoad="1"/>
</workbook>
</file>

<file path=xl/sharedStrings.xml><?xml version="1.0" encoding="utf-8"?>
<sst xmlns="http://schemas.openxmlformats.org/spreadsheetml/2006/main" count="98" uniqueCount="89">
  <si>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</si>
  <si>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</si>
  <si>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</si>
  <si>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</si>
  <si>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</si>
  <si>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</si>
  <si>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</si>
  <si>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</si>
  <si>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</si>
  <si>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</si>
  <si>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</si>
  <si>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</si>
  <si>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</si>
  <si>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</si>
  <si>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</si>
  <si>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</si>
  <si>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</si>
  <si>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</si>
  <si>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</si>
  <si>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</si>
  <si>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</si>
  <si>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</si>
  <si>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</si>
  <si>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</si>
  <si>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</si>
  <si>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</si>
  <si>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</si>
  <si>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</si>
  <si>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</si>
  <si>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</si>
  <si>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</si>
  <si>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</si>
  <si>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</si>
  <si>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</si>
  <si>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</si>
  <si>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</si>
  <si>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</si>
  <si>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</si>
  <si>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</si>
  <si>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</si>
  <si>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</si>
  <si>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</si>
  <si>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</si>
  <si>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</si>
  <si>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</si>
  <si>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</si>
  <si>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</si>
  <si>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</si>
  <si>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</si>
  <si>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</si>
  <si>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</si>
  <si>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</si>
  <si>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</si>
  <si>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</si>
  <si>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</si>
  <si>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</si>
  <si>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</si>
  <si>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Képviselő-testület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</si>
  <si>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</si>
  <si>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</si>
  <si>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</si>
  <si>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</si>
  <si>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</si>
  <si>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</si>
  <si>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Egészségügyi és Szoc. Biz. Kiad.</t>
  </si>
  <si>
    <t>Kulturális és tanácsnoki keret kiad.</t>
  </si>
  <si>
    <t xml:space="preserve">Állami támogatás </t>
  </si>
  <si>
    <t>2016. Működési költségvetés  -  Kötelezően előírt feladatkörök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</si>
  <si>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</si>
  <si>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</si>
  <si>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</si>
  <si>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</si>
  <si>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</si>
  <si>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OEP fin. +átvett pe.</t>
  </si>
  <si>
    <t>Átvett pe.       fedezete %</t>
  </si>
  <si>
    <t>Önkorm. Hozzájárulás</t>
  </si>
  <si>
    <t>Önkormányzati hozzájárulás fedezete %</t>
  </si>
  <si>
    <t>2016. Működési költségvetés -  Önként vállalt feladatkörök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</si>
  <si>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</si>
  <si>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</si>
  <si>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</si>
  <si>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</si>
  <si>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</si>
  <si>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</si>
  <si>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</si>
  <si>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Oktatási Bizottság kiadásai</t>
  </si>
  <si>
    <t>Emberi jogi,Nemz.és Egyházügyi Biz.</t>
  </si>
  <si>
    <t>Kv.       Maradvány és betétlekötés megszüntetése</t>
  </si>
  <si>
    <t>Közbiztonság kiadásai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</si>
</sst>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2" fontId="9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2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3" fontId="10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3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shrinkToFit="1"/>
    </xf>
    <xf numFmtId="2" fontId="3" fillId="0" borderId="20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 shrinkToFit="1"/>
    </xf>
    <xf numFmtId="2" fontId="12" fillId="0" borderId="27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0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9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  <xf numFmtId="2" fontId="3" fillId="0" borderId="3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0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172" fontId="10" fillId="0" borderId="17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shrinkToFit="1"/>
    </xf>
    <xf numFmtId="172" fontId="1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0" fillId="0" borderId="20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N8" sqref="N8:R26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9.75390625" style="1" customWidth="1"/>
    <col min="4" max="4" width="9.625" style="96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125" style="1" customWidth="1"/>
    <col min="14" max="14" width="11.75390625" style="1" bestFit="1" customWidth="1"/>
    <col min="15" max="16384" width="9.125" style="1" customWidth="1"/>
  </cols>
  <sheetData>
    <row r="1" spans="1:12" ht="12.75">
      <c r="A1" s="48"/>
      <c r="B1" s="48"/>
      <c r="C1" s="48"/>
      <c r="D1" s="91"/>
      <c r="E1" s="48"/>
      <c r="F1" s="48"/>
      <c r="G1" s="48"/>
      <c r="H1" s="48"/>
      <c r="I1" s="48"/>
      <c r="J1" s="48"/>
      <c r="K1" s="97" t="s">
        <v>34</v>
      </c>
      <c r="L1" s="97"/>
    </row>
    <row r="2" spans="1:12" ht="12.75">
      <c r="A2" s="98" t="s">
        <v>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3.5" thickBot="1">
      <c r="A4" s="75"/>
      <c r="B4" s="75"/>
      <c r="C4" s="75"/>
      <c r="D4" s="92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78</v>
      </c>
      <c r="C5" s="61" t="s">
        <v>71</v>
      </c>
      <c r="D5" s="62" t="s">
        <v>79</v>
      </c>
      <c r="E5" s="61" t="s">
        <v>66</v>
      </c>
      <c r="F5" s="62" t="s">
        <v>80</v>
      </c>
      <c r="G5" s="61" t="s">
        <v>81</v>
      </c>
      <c r="H5" s="62" t="s">
        <v>82</v>
      </c>
      <c r="I5" s="62" t="s">
        <v>87</v>
      </c>
      <c r="J5" s="62" t="s">
        <v>51</v>
      </c>
      <c r="K5" s="63" t="s">
        <v>83</v>
      </c>
      <c r="L5" s="71" t="s">
        <v>84</v>
      </c>
    </row>
    <row r="6" spans="1:12" ht="12.75">
      <c r="A6" s="14" t="s">
        <v>21</v>
      </c>
      <c r="B6" s="15">
        <f>864773-265000-300000+43290+583+1210+600+4753+80+3800+799+9788+1502+458+580+830+115+300+24515+740</f>
        <v>393716</v>
      </c>
      <c r="C6" s="15"/>
      <c r="D6" s="121">
        <f>SUM(C6/B6)*100</f>
        <v>0</v>
      </c>
      <c r="E6" s="16"/>
      <c r="F6" s="17">
        <f aca="true" t="shared" si="0" ref="F6:F19">SUM(E6/B6)*100</f>
        <v>0</v>
      </c>
      <c r="G6" s="16"/>
      <c r="H6" s="17">
        <f>SUM(G6/B6*100)</f>
        <v>0</v>
      </c>
      <c r="I6" s="16">
        <f>4330+4513+340+13774+300+80+1</f>
        <v>23338</v>
      </c>
      <c r="J6" s="17">
        <f>SUM(I6/B6*100)</f>
        <v>5.927622956648955</v>
      </c>
      <c r="K6" s="21">
        <f>SUM(B6-C6-E6-G6-I6)</f>
        <v>370378</v>
      </c>
      <c r="L6" s="18">
        <f>SUM(K6/B6)*100</f>
        <v>94.07237704335104</v>
      </c>
    </row>
    <row r="7" spans="1:15" ht="12.75">
      <c r="A7" s="14" t="s">
        <v>22</v>
      </c>
      <c r="B7" s="20">
        <f>3399017-'kötelező2016.'!C11</f>
        <v>1755045</v>
      </c>
      <c r="C7" s="20">
        <f>25+5080+13020+27843+22348+23432+14491+5085+15+98+333+7366+10+18434</f>
        <v>137580</v>
      </c>
      <c r="D7" s="122">
        <f>SUM(C7/B7)*100</f>
        <v>7.83911523636146</v>
      </c>
      <c r="E7" s="21"/>
      <c r="F7" s="22">
        <f t="shared" si="0"/>
        <v>0</v>
      </c>
      <c r="G7" s="21"/>
      <c r="H7" s="22">
        <f>SUM(G7/B7*100)</f>
        <v>0</v>
      </c>
      <c r="I7" s="21">
        <v>183685</v>
      </c>
      <c r="J7" s="17">
        <f aca="true" t="shared" si="1" ref="J7:J31">SUM(I7/B7*100)</f>
        <v>10.4661134044996</v>
      </c>
      <c r="K7" s="21">
        <f aca="true" t="shared" si="2" ref="K7:K19">SUM(B7-C7-E7-G7-I7)</f>
        <v>1433780</v>
      </c>
      <c r="L7" s="23">
        <f>SUM(K7/B7)*100</f>
        <v>81.69477135913894</v>
      </c>
      <c r="N7" s="3"/>
      <c r="O7" s="3"/>
    </row>
    <row r="8" spans="1:15" ht="12.75">
      <c r="A8" s="14" t="s">
        <v>1</v>
      </c>
      <c r="B8" s="20">
        <v>100000</v>
      </c>
      <c r="C8" s="20"/>
      <c r="D8" s="122">
        <f>SUM(C8/B8)*100</f>
        <v>0</v>
      </c>
      <c r="E8" s="21"/>
      <c r="F8" s="22">
        <f t="shared" si="0"/>
        <v>0</v>
      </c>
      <c r="G8" s="21"/>
      <c r="H8" s="22">
        <f>SUM(G8/B8*100)</f>
        <v>0</v>
      </c>
      <c r="I8" s="21"/>
      <c r="J8" s="17">
        <f t="shared" si="1"/>
        <v>0</v>
      </c>
      <c r="K8" s="21">
        <f t="shared" si="2"/>
        <v>100000</v>
      </c>
      <c r="L8" s="23">
        <f>SUM(K8/B8)*100</f>
        <v>100</v>
      </c>
      <c r="O8" s="3"/>
    </row>
    <row r="9" spans="1:14" ht="12.75">
      <c r="A9" s="19" t="s">
        <v>26</v>
      </c>
      <c r="B9" s="20">
        <f>720843-10523-1652-2147-11934-45000-765-1630-300+34308-9180-15017+1873-2500-860-300-5800-1108-930-830-20761-25639</f>
        <v>600148</v>
      </c>
      <c r="C9" s="20"/>
      <c r="D9" s="122">
        <f aca="true" t="shared" si="3" ref="D9:D20">SUM(C9/B9)*100</f>
        <v>0</v>
      </c>
      <c r="E9" s="21"/>
      <c r="F9" s="22">
        <f t="shared" si="0"/>
        <v>0</v>
      </c>
      <c r="G9" s="21"/>
      <c r="H9" s="22">
        <f aca="true" t="shared" si="4" ref="H9:H20">SUM(G9/B9*100)</f>
        <v>0</v>
      </c>
      <c r="I9" s="21">
        <f>136811+28048</f>
        <v>164859</v>
      </c>
      <c r="J9" s="17">
        <f t="shared" si="1"/>
        <v>27.469724134713434</v>
      </c>
      <c r="K9" s="21">
        <f t="shared" si="2"/>
        <v>435289</v>
      </c>
      <c r="L9" s="23">
        <f aca="true" t="shared" si="5" ref="L9:L20">SUM(K9/B9)*100</f>
        <v>72.53027586528657</v>
      </c>
      <c r="N9" s="3"/>
    </row>
    <row r="10" spans="1:12" ht="12.75">
      <c r="A10" s="19" t="s">
        <v>62</v>
      </c>
      <c r="B10" s="20">
        <f>378739-'kötelező2016.'!C12-B34</f>
        <v>307456</v>
      </c>
      <c r="C10" s="20"/>
      <c r="D10" s="122">
        <f t="shared" si="3"/>
        <v>0</v>
      </c>
      <c r="E10" s="21"/>
      <c r="F10" s="22">
        <f t="shared" si="0"/>
        <v>0</v>
      </c>
      <c r="G10" s="21"/>
      <c r="H10" s="22">
        <f t="shared" si="4"/>
        <v>0</v>
      </c>
      <c r="I10" s="21">
        <f>274+43657+27287</f>
        <v>71218</v>
      </c>
      <c r="J10" s="17">
        <f t="shared" si="1"/>
        <v>23.16363967527061</v>
      </c>
      <c r="K10" s="21">
        <f t="shared" si="2"/>
        <v>236238</v>
      </c>
      <c r="L10" s="23">
        <f t="shared" si="5"/>
        <v>76.8363603247294</v>
      </c>
    </row>
    <row r="11" spans="1:14" ht="12.75">
      <c r="A11" s="19" t="s">
        <v>64</v>
      </c>
      <c r="B11" s="20">
        <f>907+2617</f>
        <v>3524</v>
      </c>
      <c r="C11" s="20"/>
      <c r="D11" s="122">
        <f>SUM(C11/B11)*100</f>
        <v>0</v>
      </c>
      <c r="E11" s="21"/>
      <c r="F11" s="22">
        <f>SUM(E11/B11)*100</f>
        <v>0</v>
      </c>
      <c r="G11" s="21"/>
      <c r="H11" s="22">
        <f>SUM(G11/B11*100)</f>
        <v>0</v>
      </c>
      <c r="I11" s="21">
        <f>907+42+894</f>
        <v>1843</v>
      </c>
      <c r="J11" s="17">
        <f>SUM(I11/B11*100)</f>
        <v>52.298524404086265</v>
      </c>
      <c r="K11" s="21">
        <f>SUM(B11-C11-E11-G11-I11)</f>
        <v>1681</v>
      </c>
      <c r="L11" s="23">
        <f>SUM(K11/B11)*100</f>
        <v>47.701475595913735</v>
      </c>
      <c r="N11" s="3"/>
    </row>
    <row r="12" spans="1:14" ht="12.75">
      <c r="A12" s="19" t="s">
        <v>18</v>
      </c>
      <c r="B12" s="20">
        <f>407119-'kötelező2016.'!C10</f>
        <v>70744</v>
      </c>
      <c r="C12" s="20"/>
      <c r="D12" s="122">
        <f>SUM(C12/B12)*100</f>
        <v>0</v>
      </c>
      <c r="E12" s="21"/>
      <c r="F12" s="22">
        <f>SUM(E12/B12)*100</f>
        <v>0</v>
      </c>
      <c r="G12" s="21"/>
      <c r="H12" s="22">
        <f>SUM(G12/B12*100)</f>
        <v>0</v>
      </c>
      <c r="I12" s="21">
        <v>11000</v>
      </c>
      <c r="J12" s="17">
        <f>SUM(I12/B12*100)</f>
        <v>15.549021825172451</v>
      </c>
      <c r="K12" s="21">
        <f>SUM(B12-C12-E12-G12-I12)</f>
        <v>59744</v>
      </c>
      <c r="L12" s="23">
        <f>SUM(K12/B12)*100</f>
        <v>84.45097817482755</v>
      </c>
      <c r="N12" s="3"/>
    </row>
    <row r="13" spans="1:12" ht="12.75">
      <c r="A13" s="19" t="s">
        <v>65</v>
      </c>
      <c r="B13" s="20">
        <f>7835+4977+1124</f>
        <v>13936</v>
      </c>
      <c r="C13" s="20"/>
      <c r="D13" s="122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f>7835-58+17+38</f>
        <v>7832</v>
      </c>
      <c r="J13" s="17">
        <f>SUM(I13/B13*100)</f>
        <v>56.19977037887486</v>
      </c>
      <c r="K13" s="21">
        <f>SUM(B13-C13-E13-G13-I13)</f>
        <v>6104</v>
      </c>
      <c r="L13" s="23">
        <f>SUM(K13/B13)*100</f>
        <v>43.80022962112514</v>
      </c>
    </row>
    <row r="14" spans="1:12" ht="12.75">
      <c r="A14" s="19" t="s">
        <v>85</v>
      </c>
      <c r="B14" s="20">
        <f>1358+34</f>
        <v>1392</v>
      </c>
      <c r="C14" s="20"/>
      <c r="D14" s="122">
        <f>SUM(C14/B14)*100</f>
        <v>0</v>
      </c>
      <c r="E14" s="21"/>
      <c r="F14" s="22">
        <f>SUM(E14/B14)*100</f>
        <v>0</v>
      </c>
      <c r="G14" s="21"/>
      <c r="H14" s="22">
        <f>SUM(G14/B14*100)</f>
        <v>0</v>
      </c>
      <c r="I14" s="21">
        <f>139+286+723</f>
        <v>1148</v>
      </c>
      <c r="J14" s="17"/>
      <c r="K14" s="21">
        <f>SUM(B14-C14-E14-G14-I14)</f>
        <v>244</v>
      </c>
      <c r="L14" s="23">
        <f>SUM(K14/B14)*100</f>
        <v>17.52873563218391</v>
      </c>
    </row>
    <row r="15" spans="1:14" ht="12.75">
      <c r="A15" s="19" t="s">
        <v>86</v>
      </c>
      <c r="B15" s="20">
        <f>565+120</f>
        <v>685</v>
      </c>
      <c r="C15" s="20"/>
      <c r="D15" s="122">
        <f>SUM(C15/B15)*100</f>
        <v>0</v>
      </c>
      <c r="E15" s="21"/>
      <c r="F15" s="22">
        <f>SUM(E15/B15)*100</f>
        <v>0</v>
      </c>
      <c r="G15" s="21"/>
      <c r="H15" s="22">
        <f>SUM(G15/B15*100)</f>
        <v>0</v>
      </c>
      <c r="I15" s="21">
        <f>148+146+121</f>
        <v>415</v>
      </c>
      <c r="J15" s="17"/>
      <c r="K15" s="21">
        <f>SUM(B15-C15-E15-G15-I15)</f>
        <v>270</v>
      </c>
      <c r="L15" s="23">
        <f>SUM(K15/B15)*100</f>
        <v>39.416058394160586</v>
      </c>
      <c r="N15" s="3"/>
    </row>
    <row r="16" spans="1:14" ht="12.75">
      <c r="A16" s="19" t="s">
        <v>2</v>
      </c>
      <c r="B16" s="20">
        <v>15000</v>
      </c>
      <c r="C16" s="20"/>
      <c r="D16" s="122">
        <f t="shared" si="3"/>
        <v>0</v>
      </c>
      <c r="E16" s="21"/>
      <c r="F16" s="22">
        <f t="shared" si="0"/>
        <v>0</v>
      </c>
      <c r="G16" s="21"/>
      <c r="H16" s="22">
        <f t="shared" si="4"/>
        <v>0</v>
      </c>
      <c r="I16" s="21"/>
      <c r="J16" s="17">
        <f t="shared" si="1"/>
        <v>0</v>
      </c>
      <c r="K16" s="21">
        <f t="shared" si="2"/>
        <v>15000</v>
      </c>
      <c r="L16" s="23">
        <f t="shared" si="5"/>
        <v>100</v>
      </c>
      <c r="N16" s="3"/>
    </row>
    <row r="17" spans="1:12" ht="12.75">
      <c r="A17" s="19" t="s">
        <v>27</v>
      </c>
      <c r="B17" s="20">
        <v>66180</v>
      </c>
      <c r="C17" s="20"/>
      <c r="D17" s="122">
        <f t="shared" si="3"/>
        <v>0</v>
      </c>
      <c r="E17" s="21"/>
      <c r="F17" s="22">
        <f t="shared" si="0"/>
        <v>0</v>
      </c>
      <c r="G17" s="21"/>
      <c r="H17" s="22">
        <f t="shared" si="4"/>
        <v>0</v>
      </c>
      <c r="I17" s="21"/>
      <c r="J17" s="17">
        <f t="shared" si="1"/>
        <v>0</v>
      </c>
      <c r="K17" s="21">
        <f t="shared" si="2"/>
        <v>66180</v>
      </c>
      <c r="L17" s="23">
        <f t="shared" si="5"/>
        <v>100</v>
      </c>
    </row>
    <row r="18" spans="1:12" ht="12.75">
      <c r="A18" s="19" t="s">
        <v>88</v>
      </c>
      <c r="B18" s="20">
        <v>5800</v>
      </c>
      <c r="C18" s="20"/>
      <c r="D18" s="122">
        <f t="shared" si="3"/>
        <v>0</v>
      </c>
      <c r="E18" s="21"/>
      <c r="F18" s="22">
        <f t="shared" si="0"/>
        <v>0</v>
      </c>
      <c r="G18" s="21"/>
      <c r="H18" s="22">
        <f t="shared" si="4"/>
        <v>0</v>
      </c>
      <c r="I18" s="21"/>
      <c r="J18" s="17"/>
      <c r="K18" s="21">
        <f t="shared" si="2"/>
        <v>5800</v>
      </c>
      <c r="L18" s="23">
        <f t="shared" si="5"/>
        <v>100</v>
      </c>
    </row>
    <row r="19" spans="1:14" ht="13.5" thickBot="1">
      <c r="A19" s="19" t="s">
        <v>28</v>
      </c>
      <c r="B19" s="20">
        <f>629702-'kötelező2016.'!C6</f>
        <v>544431</v>
      </c>
      <c r="C19" s="20"/>
      <c r="D19" s="122">
        <f t="shared" si="3"/>
        <v>0</v>
      </c>
      <c r="E19" s="21"/>
      <c r="F19" s="22">
        <f t="shared" si="0"/>
        <v>0</v>
      </c>
      <c r="G19" s="21"/>
      <c r="H19" s="22">
        <f t="shared" si="4"/>
        <v>0</v>
      </c>
      <c r="I19" s="21">
        <v>17770</v>
      </c>
      <c r="J19" s="17">
        <f t="shared" si="1"/>
        <v>3.2639581508033157</v>
      </c>
      <c r="K19" s="21">
        <f t="shared" si="2"/>
        <v>526661</v>
      </c>
      <c r="L19" s="23">
        <f t="shared" si="5"/>
        <v>96.73604184919668</v>
      </c>
      <c r="N19" s="3"/>
    </row>
    <row r="20" spans="1:16" s="37" customFormat="1" ht="13.5" thickBot="1">
      <c r="A20" s="32" t="s">
        <v>42</v>
      </c>
      <c r="B20" s="29">
        <f>SUM(B6:B19)</f>
        <v>3878057</v>
      </c>
      <c r="C20" s="29">
        <f>SUM(C6:C19)</f>
        <v>137580</v>
      </c>
      <c r="D20" s="123">
        <f t="shared" si="3"/>
        <v>3.547652858119414</v>
      </c>
      <c r="E20" s="29">
        <f>SUM(E6:E19)</f>
        <v>0</v>
      </c>
      <c r="F20" s="73">
        <f>SUM(E20/B20*100)</f>
        <v>0</v>
      </c>
      <c r="G20" s="29">
        <f>SUM(G6:G19)</f>
        <v>0</v>
      </c>
      <c r="H20" s="33">
        <f t="shared" si="4"/>
        <v>0</v>
      </c>
      <c r="I20" s="29">
        <f>SUM(I6:I19)</f>
        <v>483108</v>
      </c>
      <c r="J20" s="33">
        <f t="shared" si="1"/>
        <v>12.45747548321234</v>
      </c>
      <c r="K20" s="29">
        <f>SUM(K6:K19)</f>
        <v>3257369</v>
      </c>
      <c r="L20" s="53">
        <f t="shared" si="5"/>
        <v>83.99487165866825</v>
      </c>
      <c r="N20" s="74"/>
      <c r="P20" s="44"/>
    </row>
    <row r="21" spans="1:14" ht="12.75">
      <c r="A21" s="124" t="s">
        <v>23</v>
      </c>
      <c r="B21" s="15">
        <v>69746</v>
      </c>
      <c r="C21" s="15">
        <v>1728</v>
      </c>
      <c r="D21" s="121">
        <f aca="true" t="shared" si="6" ref="D21:D31">SUM(C21/B21)*100</f>
        <v>2.4775614372150376</v>
      </c>
      <c r="E21" s="107"/>
      <c r="F21" s="17">
        <f aca="true" t="shared" si="7" ref="F21:F31">SUM(E21/B21)*100</f>
        <v>0</v>
      </c>
      <c r="G21" s="107">
        <v>58100</v>
      </c>
      <c r="H21" s="17">
        <f aca="true" t="shared" si="8" ref="H21:H26">SUM(G21/B21*100)</f>
        <v>83.30226823043616</v>
      </c>
      <c r="I21" s="16">
        <v>52</v>
      </c>
      <c r="J21" s="17">
        <f t="shared" si="1"/>
        <v>0.07455624695323029</v>
      </c>
      <c r="K21" s="16">
        <f aca="true" t="shared" si="9" ref="K21:K26">SUM(B21-C21-E21-G21-I21)</f>
        <v>9866</v>
      </c>
      <c r="L21" s="18">
        <f aca="true" t="shared" si="10" ref="L21:L29">SUM(K21/B21)*100</f>
        <v>14.145614085395577</v>
      </c>
      <c r="N21" s="74"/>
    </row>
    <row r="22" spans="1:14" ht="12.75">
      <c r="A22" s="103" t="s">
        <v>36</v>
      </c>
      <c r="B22" s="20">
        <f>828420+2417</f>
        <v>830837</v>
      </c>
      <c r="C22" s="20">
        <v>49106</v>
      </c>
      <c r="D22" s="122">
        <f t="shared" si="6"/>
        <v>5.910425269938628</v>
      </c>
      <c r="E22" s="104">
        <f>1030+4392+2417</f>
        <v>7839</v>
      </c>
      <c r="F22" s="22">
        <f t="shared" si="7"/>
        <v>0.9435063676750073</v>
      </c>
      <c r="G22" s="104">
        <v>517838</v>
      </c>
      <c r="H22" s="22">
        <f t="shared" si="8"/>
        <v>62.32726756271085</v>
      </c>
      <c r="I22" s="16">
        <f>34113-27839</f>
        <v>6274</v>
      </c>
      <c r="J22" s="17">
        <f t="shared" si="1"/>
        <v>0.7551421036858011</v>
      </c>
      <c r="K22" s="16">
        <f t="shared" si="9"/>
        <v>249780</v>
      </c>
      <c r="L22" s="23">
        <f t="shared" si="10"/>
        <v>30.06365869598971</v>
      </c>
      <c r="N22" s="74"/>
    </row>
    <row r="23" spans="1:14" ht="12.75">
      <c r="A23" s="103" t="s">
        <v>24</v>
      </c>
      <c r="B23" s="20">
        <v>110404</v>
      </c>
      <c r="C23" s="20">
        <v>8098</v>
      </c>
      <c r="D23" s="122">
        <f t="shared" si="6"/>
        <v>7.334879171044527</v>
      </c>
      <c r="E23" s="104"/>
      <c r="F23" s="22">
        <f t="shared" si="7"/>
        <v>0</v>
      </c>
      <c r="G23" s="104">
        <v>87155</v>
      </c>
      <c r="H23" s="22">
        <f t="shared" si="8"/>
        <v>78.9418861635448</v>
      </c>
      <c r="I23" s="16">
        <v>614</v>
      </c>
      <c r="J23" s="17">
        <f t="shared" si="1"/>
        <v>0.5561392703162928</v>
      </c>
      <c r="K23" s="16">
        <f t="shared" si="9"/>
        <v>14537</v>
      </c>
      <c r="L23" s="23">
        <f t="shared" si="10"/>
        <v>13.16709539509438</v>
      </c>
      <c r="N23" s="74"/>
    </row>
    <row r="24" spans="1:14" ht="12.75">
      <c r="A24" s="103" t="s">
        <v>25</v>
      </c>
      <c r="B24" s="20">
        <v>56390</v>
      </c>
      <c r="C24" s="20">
        <v>9201</v>
      </c>
      <c r="D24" s="122">
        <f t="shared" si="6"/>
        <v>16.3167228231956</v>
      </c>
      <c r="E24" s="104"/>
      <c r="F24" s="22">
        <f t="shared" si="7"/>
        <v>0</v>
      </c>
      <c r="G24" s="104">
        <v>51989</v>
      </c>
      <c r="H24" s="22">
        <f t="shared" si="8"/>
        <v>92.19542472069516</v>
      </c>
      <c r="I24" s="16"/>
      <c r="J24" s="17">
        <f t="shared" si="1"/>
        <v>0</v>
      </c>
      <c r="K24" s="16">
        <f t="shared" si="9"/>
        <v>-4800</v>
      </c>
      <c r="L24" s="23">
        <f t="shared" si="10"/>
        <v>-8.51214754389076</v>
      </c>
      <c r="N24" s="74"/>
    </row>
    <row r="25" spans="1:14" ht="12.75">
      <c r="A25" s="103" t="s">
        <v>37</v>
      </c>
      <c r="B25" s="20">
        <v>39127</v>
      </c>
      <c r="C25" s="20">
        <v>42190</v>
      </c>
      <c r="D25" s="122">
        <f t="shared" si="6"/>
        <v>107.82835382216885</v>
      </c>
      <c r="E25" s="104"/>
      <c r="F25" s="22">
        <f t="shared" si="7"/>
        <v>0</v>
      </c>
      <c r="G25" s="104"/>
      <c r="H25" s="22">
        <f t="shared" si="8"/>
        <v>0</v>
      </c>
      <c r="I25" s="16">
        <v>137</v>
      </c>
      <c r="J25" s="17">
        <f t="shared" si="1"/>
        <v>0.35014184578424107</v>
      </c>
      <c r="K25" s="16">
        <f t="shared" si="9"/>
        <v>-3200</v>
      </c>
      <c r="L25" s="23">
        <f t="shared" si="10"/>
        <v>-8.178495667953076</v>
      </c>
      <c r="N25" s="74"/>
    </row>
    <row r="26" spans="1:14" ht="13.5" thickBot="1">
      <c r="A26" s="110" t="s">
        <v>38</v>
      </c>
      <c r="B26" s="25">
        <v>81844</v>
      </c>
      <c r="C26" s="25">
        <v>180</v>
      </c>
      <c r="D26" s="125">
        <f t="shared" si="6"/>
        <v>0.21993059967743514</v>
      </c>
      <c r="E26" s="111"/>
      <c r="F26" s="27">
        <f t="shared" si="7"/>
        <v>0</v>
      </c>
      <c r="G26" s="111">
        <v>2551</v>
      </c>
      <c r="H26" s="27">
        <f t="shared" si="8"/>
        <v>3.1169053320952056</v>
      </c>
      <c r="I26" s="40">
        <v>165</v>
      </c>
      <c r="J26" s="17">
        <f t="shared" si="1"/>
        <v>0.20160304970431553</v>
      </c>
      <c r="K26" s="16">
        <f t="shared" si="9"/>
        <v>78948</v>
      </c>
      <c r="L26" s="101">
        <f t="shared" si="10"/>
        <v>96.46156101852304</v>
      </c>
      <c r="N26" s="74"/>
    </row>
    <row r="27" spans="1:14" s="37" customFormat="1" ht="13.5" thickBot="1">
      <c r="A27" s="28" t="s">
        <v>46</v>
      </c>
      <c r="B27" s="29">
        <f>SUM(B21:B26)</f>
        <v>1188348</v>
      </c>
      <c r="C27" s="29">
        <f aca="true" t="shared" si="11" ref="C27:K27">SUM(C21:C26)</f>
        <v>110503</v>
      </c>
      <c r="D27" s="93">
        <f t="shared" si="6"/>
        <v>9.298875413599383</v>
      </c>
      <c r="E27" s="29">
        <f t="shared" si="11"/>
        <v>7839</v>
      </c>
      <c r="F27" s="33">
        <f t="shared" si="7"/>
        <v>0.6596552525017925</v>
      </c>
      <c r="G27" s="29">
        <f t="shared" si="11"/>
        <v>717633</v>
      </c>
      <c r="H27" s="33">
        <f t="shared" si="11"/>
        <v>319.8837520094821</v>
      </c>
      <c r="I27" s="29">
        <f>SUM(I21:I26)</f>
        <v>7242</v>
      </c>
      <c r="J27" s="33">
        <f t="shared" si="1"/>
        <v>0.6094174433751729</v>
      </c>
      <c r="K27" s="29">
        <f t="shared" si="11"/>
        <v>345131</v>
      </c>
      <c r="L27" s="53">
        <f t="shared" si="10"/>
        <v>29.042923453399172</v>
      </c>
      <c r="N27" s="74"/>
    </row>
    <row r="28" spans="1:14" s="128" customFormat="1" ht="12.75">
      <c r="A28" s="126" t="s">
        <v>59</v>
      </c>
      <c r="B28" s="39">
        <f>2421035-'kötelező2016.'!C25-'kötelező2016.'!C26</f>
        <v>226637</v>
      </c>
      <c r="C28" s="39">
        <v>1016</v>
      </c>
      <c r="D28" s="127">
        <f t="shared" si="6"/>
        <v>0.44829396788697345</v>
      </c>
      <c r="E28" s="39"/>
      <c r="F28" s="41">
        <f t="shared" si="7"/>
        <v>0</v>
      </c>
      <c r="G28" s="39"/>
      <c r="H28" s="41">
        <f>SUM(G28/B28*100)</f>
        <v>0</v>
      </c>
      <c r="I28" s="39">
        <v>108818</v>
      </c>
      <c r="J28" s="41">
        <f t="shared" si="1"/>
        <v>48.01422539126444</v>
      </c>
      <c r="K28" s="40">
        <f>SUM(B28-C28-E28-G28-I28)</f>
        <v>116803</v>
      </c>
      <c r="L28" s="42">
        <f t="shared" si="10"/>
        <v>51.53748064084858</v>
      </c>
      <c r="N28" s="74"/>
    </row>
    <row r="29" spans="1:14" ht="13.5" thickBot="1">
      <c r="A29" s="50" t="s">
        <v>39</v>
      </c>
      <c r="B29" s="30">
        <v>2550</v>
      </c>
      <c r="C29" s="30"/>
      <c r="D29" s="129">
        <f t="shared" si="6"/>
        <v>0</v>
      </c>
      <c r="E29" s="31"/>
      <c r="F29" s="51">
        <f t="shared" si="7"/>
        <v>0</v>
      </c>
      <c r="G29" s="31"/>
      <c r="H29" s="51">
        <f>SUM(G29/B29*100)</f>
        <v>0</v>
      </c>
      <c r="I29" s="31"/>
      <c r="J29" s="51">
        <f t="shared" si="1"/>
        <v>0</v>
      </c>
      <c r="K29" s="31">
        <f>SUM(B29-C29-E29-G29-I29)</f>
        <v>2550</v>
      </c>
      <c r="L29" s="52">
        <f t="shared" si="10"/>
        <v>100</v>
      </c>
      <c r="M29" s="3"/>
      <c r="N29" s="74"/>
    </row>
    <row r="30" spans="1:14" s="37" customFormat="1" ht="13.5" thickBot="1">
      <c r="A30" s="32" t="s">
        <v>43</v>
      </c>
      <c r="B30" s="29">
        <f>SUM(B28:B29)</f>
        <v>229187</v>
      </c>
      <c r="C30" s="29">
        <f aca="true" t="shared" si="12" ref="C30:L30">SUM(C29)</f>
        <v>0</v>
      </c>
      <c r="D30" s="93">
        <f t="shared" si="6"/>
        <v>0</v>
      </c>
      <c r="E30" s="29">
        <f t="shared" si="12"/>
        <v>0</v>
      </c>
      <c r="F30" s="33">
        <f t="shared" si="7"/>
        <v>0</v>
      </c>
      <c r="G30" s="29">
        <f t="shared" si="12"/>
        <v>0</v>
      </c>
      <c r="H30" s="33">
        <f t="shared" si="12"/>
        <v>0</v>
      </c>
      <c r="I30" s="29">
        <f>SUM(I28:I29)</f>
        <v>108818</v>
      </c>
      <c r="J30" s="33">
        <f t="shared" si="1"/>
        <v>47.48000541042904</v>
      </c>
      <c r="K30" s="29">
        <f>SUM(K28:K29)</f>
        <v>119353</v>
      </c>
      <c r="L30" s="53">
        <f t="shared" si="12"/>
        <v>100</v>
      </c>
      <c r="M30" s="44"/>
      <c r="N30" s="74"/>
    </row>
    <row r="31" spans="1:16" s="37" customFormat="1" ht="13.5" thickBot="1">
      <c r="A31" s="28" t="s">
        <v>20</v>
      </c>
      <c r="B31" s="29">
        <f>SUM(B30,B27,B20)</f>
        <v>5295592</v>
      </c>
      <c r="C31" s="29">
        <f>SUM(C30,C27,C20)</f>
        <v>248083</v>
      </c>
      <c r="D31" s="93">
        <f t="shared" si="6"/>
        <v>4.684707583212604</v>
      </c>
      <c r="E31" s="29">
        <f>SUM(E30,E27,E20)</f>
        <v>7839</v>
      </c>
      <c r="F31" s="33">
        <f t="shared" si="7"/>
        <v>0.148028775630751</v>
      </c>
      <c r="G31" s="29">
        <f>SUM(G30,G27,G20)</f>
        <v>717633</v>
      </c>
      <c r="H31" s="33">
        <f>SUM(G31/B31*100)</f>
        <v>13.551516053351541</v>
      </c>
      <c r="I31" s="29">
        <f>SUM(I30,I27,I20)</f>
        <v>599168</v>
      </c>
      <c r="J31" s="33">
        <f t="shared" si="1"/>
        <v>11.314466824483457</v>
      </c>
      <c r="K31" s="29">
        <f>SUM(K30,K27,K20)</f>
        <v>3721853</v>
      </c>
      <c r="L31" s="53">
        <f>SUM(K31/B31)*100</f>
        <v>70.28209499523376</v>
      </c>
      <c r="N31" s="74"/>
      <c r="O31" s="44"/>
      <c r="P31" s="44"/>
    </row>
    <row r="32" spans="3:11" ht="12.75">
      <c r="C32" s="6"/>
      <c r="D32" s="94"/>
      <c r="E32" s="3"/>
      <c r="F32" s="2"/>
      <c r="G32" s="3"/>
      <c r="H32" s="2"/>
      <c r="I32" s="2"/>
      <c r="J32" s="2"/>
      <c r="K32" s="6"/>
    </row>
    <row r="33" spans="1:7" s="3" customFormat="1" ht="13.5" thickBot="1">
      <c r="A33" s="79" t="s">
        <v>60</v>
      </c>
      <c r="D33" s="95"/>
      <c r="G33" s="64"/>
    </row>
    <row r="34" spans="1:12" s="3" customFormat="1" ht="13.5" thickBot="1">
      <c r="A34" s="130" t="s">
        <v>61</v>
      </c>
      <c r="B34" s="131">
        <v>36000</v>
      </c>
      <c r="C34" s="131">
        <v>60000</v>
      </c>
      <c r="D34" s="132">
        <f>SUM(C34/B34)*100</f>
        <v>166.66666666666669</v>
      </c>
      <c r="E34" s="131"/>
      <c r="F34" s="131">
        <f>SUM(E34/B34)*100</f>
        <v>0</v>
      </c>
      <c r="G34" s="133"/>
      <c r="H34" s="131">
        <f>SUM(G34/B34*100)</f>
        <v>0</v>
      </c>
      <c r="I34" s="131"/>
      <c r="J34" s="131">
        <f>SUM(I34/B34*100)</f>
        <v>0</v>
      </c>
      <c r="K34" s="131">
        <f>SUM(B34-C34-E34-G34-I34)</f>
        <v>-24000</v>
      </c>
      <c r="L34" s="134">
        <f>SUM(K34/B34)*100</f>
        <v>-66.66666666666666</v>
      </c>
    </row>
    <row r="35" spans="4:7" s="3" customFormat="1" ht="12.75">
      <c r="D35" s="95"/>
      <c r="G35" s="64"/>
    </row>
    <row r="36" ht="12.75">
      <c r="B36" s="3"/>
    </row>
    <row r="37" spans="2:3" ht="12.75">
      <c r="B37" s="3"/>
      <c r="C37" s="3"/>
    </row>
    <row r="38" ht="12.75">
      <c r="B38" s="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B1">
      <selection activeCell="P19" sqref="P1:P1638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6" customWidth="1"/>
    <col min="9" max="9" width="8.375" style="80" customWidth="1"/>
    <col min="10" max="10" width="9.75390625" style="5" customWidth="1"/>
    <col min="11" max="11" width="10.00390625" style="88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100" t="s">
        <v>33</v>
      </c>
      <c r="M1" s="100"/>
    </row>
    <row r="2" spans="2:13" ht="18" customHeight="1">
      <c r="B2" s="99" t="s">
        <v>67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13" ht="12" customHeight="1" thickBot="1">
      <c r="B3" s="48"/>
      <c r="C3" s="64"/>
      <c r="D3" s="64"/>
      <c r="E3" s="65"/>
      <c r="F3" s="64"/>
      <c r="G3" s="66"/>
      <c r="H3" s="77"/>
      <c r="I3" s="81"/>
      <c r="J3" s="67"/>
      <c r="K3" s="89"/>
      <c r="L3" s="68"/>
      <c r="M3" s="69" t="s">
        <v>0</v>
      </c>
    </row>
    <row r="4" spans="2:13" s="72" customFormat="1" ht="51.75" customHeight="1" thickBot="1">
      <c r="B4" s="49" t="s">
        <v>3</v>
      </c>
      <c r="C4" s="61" t="s">
        <v>72</v>
      </c>
      <c r="D4" s="61" t="s">
        <v>71</v>
      </c>
      <c r="E4" s="62" t="s">
        <v>70</v>
      </c>
      <c r="F4" s="61" t="s">
        <v>69</v>
      </c>
      <c r="G4" s="70" t="s">
        <v>68</v>
      </c>
      <c r="H4" s="61" t="s">
        <v>73</v>
      </c>
      <c r="I4" s="70" t="s">
        <v>74</v>
      </c>
      <c r="J4" s="62" t="s">
        <v>63</v>
      </c>
      <c r="K4" s="62" t="s">
        <v>51</v>
      </c>
      <c r="L4" s="63" t="s">
        <v>75</v>
      </c>
      <c r="M4" s="71" t="s">
        <v>76</v>
      </c>
    </row>
    <row r="5" spans="2:13" ht="12" customHeight="1">
      <c r="B5" s="19" t="s">
        <v>40</v>
      </c>
      <c r="C5" s="20">
        <f>27285+21114</f>
        <v>48399</v>
      </c>
      <c r="D5" s="21"/>
      <c r="E5" s="22">
        <f>SUM(D5/C5)*100</f>
        <v>0</v>
      </c>
      <c r="F5" s="21"/>
      <c r="G5" s="17">
        <f>SUM(F5/C5)*100</f>
        <v>0</v>
      </c>
      <c r="H5" s="21"/>
      <c r="I5" s="82">
        <f aca="true" t="shared" si="0" ref="I5:I20">SUM(H5/C5)*100</f>
        <v>0</v>
      </c>
      <c r="J5" s="16"/>
      <c r="K5" s="17">
        <f aca="true" t="shared" si="1" ref="K5:K20">SUM(J5/C5)*100</f>
        <v>0</v>
      </c>
      <c r="L5" s="16">
        <f aca="true" t="shared" si="2" ref="L5:L14">SUM(C5-D5-F5-H5-J5)</f>
        <v>48399</v>
      </c>
      <c r="M5" s="23">
        <f>SUM(L5/C5)*100</f>
        <v>100</v>
      </c>
    </row>
    <row r="6" spans="2:13" ht="12" customHeight="1">
      <c r="B6" s="19" t="s">
        <v>5</v>
      </c>
      <c r="C6" s="20">
        <f>85104+17+132+18</f>
        <v>85271</v>
      </c>
      <c r="D6" s="21"/>
      <c r="E6" s="22">
        <f>SUM(D6/C6)*100</f>
        <v>0</v>
      </c>
      <c r="F6" s="21">
        <v>17</v>
      </c>
      <c r="G6" s="17">
        <f>SUM(F6/C6)*100</f>
        <v>0.01993643794490507</v>
      </c>
      <c r="H6" s="21">
        <f>132+18</f>
        <v>150</v>
      </c>
      <c r="I6" s="82">
        <f t="shared" si="0"/>
        <v>0.1759097465726918</v>
      </c>
      <c r="J6" s="16"/>
      <c r="K6" s="17">
        <f t="shared" si="1"/>
        <v>0</v>
      </c>
      <c r="L6" s="16">
        <f t="shared" si="2"/>
        <v>85104</v>
      </c>
      <c r="M6" s="23">
        <f>SUM(L6/C6)*100</f>
        <v>99.8041538154824</v>
      </c>
    </row>
    <row r="7" spans="2:13" ht="12" customHeight="1">
      <c r="B7" s="19" t="s">
        <v>6</v>
      </c>
      <c r="C7" s="20">
        <v>265000</v>
      </c>
      <c r="D7" s="21"/>
      <c r="E7" s="22">
        <f>SUM(D7/C7)*100</f>
        <v>0</v>
      </c>
      <c r="F7" s="21">
        <v>10561</v>
      </c>
      <c r="G7" s="17">
        <f>SUM(F7/C7)*100</f>
        <v>3.9852830188679245</v>
      </c>
      <c r="H7" s="21"/>
      <c r="I7" s="82">
        <f t="shared" si="0"/>
        <v>0</v>
      </c>
      <c r="J7" s="16"/>
      <c r="K7" s="17">
        <f t="shared" si="1"/>
        <v>0</v>
      </c>
      <c r="L7" s="16">
        <f t="shared" si="2"/>
        <v>254439</v>
      </c>
      <c r="M7" s="23">
        <f>SUM(L7/C7)*100</f>
        <v>96.01471698113208</v>
      </c>
    </row>
    <row r="8" spans="2:13" ht="12" customHeight="1">
      <c r="B8" s="19" t="s">
        <v>16</v>
      </c>
      <c r="C8" s="20">
        <v>148703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82">
        <f t="shared" si="0"/>
        <v>0</v>
      </c>
      <c r="J8" s="16"/>
      <c r="K8" s="17">
        <f t="shared" si="1"/>
        <v>0</v>
      </c>
      <c r="L8" s="16">
        <f t="shared" si="2"/>
        <v>148703</v>
      </c>
      <c r="M8" s="23">
        <f aca="true" t="shared" si="5" ref="M8:M15">SUM(L8/C8)*100</f>
        <v>100</v>
      </c>
    </row>
    <row r="9" spans="2:13" ht="12" customHeight="1">
      <c r="B9" s="19" t="s">
        <v>17</v>
      </c>
      <c r="C9" s="20">
        <f>986027+2734</f>
        <v>988761</v>
      </c>
      <c r="D9" s="21"/>
      <c r="E9" s="22">
        <f t="shared" si="3"/>
        <v>0</v>
      </c>
      <c r="F9" s="21"/>
      <c r="G9" s="22">
        <f t="shared" si="4"/>
        <v>0</v>
      </c>
      <c r="H9" s="21"/>
      <c r="I9" s="82">
        <f t="shared" si="0"/>
        <v>0</v>
      </c>
      <c r="J9" s="16">
        <f>191862+2734</f>
        <v>194596</v>
      </c>
      <c r="K9" s="17">
        <f t="shared" si="1"/>
        <v>19.68079242607668</v>
      </c>
      <c r="L9" s="16">
        <f t="shared" si="2"/>
        <v>794165</v>
      </c>
      <c r="M9" s="23">
        <f t="shared" si="5"/>
        <v>80.31920757392332</v>
      </c>
    </row>
    <row r="10" spans="2:13" ht="12" customHeight="1">
      <c r="B10" s="19" t="s">
        <v>18</v>
      </c>
      <c r="C10" s="20">
        <v>336375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82">
        <f t="shared" si="0"/>
        <v>0</v>
      </c>
      <c r="J10" s="16"/>
      <c r="K10" s="17">
        <f t="shared" si="1"/>
        <v>0</v>
      </c>
      <c r="L10" s="16">
        <f t="shared" si="2"/>
        <v>336375</v>
      </c>
      <c r="M10" s="23">
        <f t="shared" si="5"/>
        <v>100</v>
      </c>
    </row>
    <row r="11" spans="2:13" ht="12" customHeight="1">
      <c r="B11" s="19" t="s">
        <v>19</v>
      </c>
      <c r="C11" s="20">
        <f>1166277+477695</f>
        <v>1643972</v>
      </c>
      <c r="D11" s="21">
        <f>38857+301308+1594400</f>
        <v>1934565</v>
      </c>
      <c r="E11" s="22">
        <f t="shared" si="3"/>
        <v>117.67627429177625</v>
      </c>
      <c r="F11" s="21"/>
      <c r="G11" s="22">
        <f t="shared" si="4"/>
        <v>0</v>
      </c>
      <c r="H11" s="21"/>
      <c r="I11" s="82">
        <f t="shared" si="0"/>
        <v>0</v>
      </c>
      <c r="J11" s="16">
        <v>47556</v>
      </c>
      <c r="K11" s="17">
        <f t="shared" si="1"/>
        <v>2.892749998175151</v>
      </c>
      <c r="L11" s="16">
        <f>SUM(C11-D11-F11-H11-J11)</f>
        <v>-338149</v>
      </c>
      <c r="M11" s="23">
        <f t="shared" si="5"/>
        <v>-20.56902428995141</v>
      </c>
    </row>
    <row r="12" spans="2:13" ht="12" customHeight="1">
      <c r="B12" s="19" t="s">
        <v>62</v>
      </c>
      <c r="C12" s="25">
        <v>35283</v>
      </c>
      <c r="D12" s="26"/>
      <c r="E12" s="22">
        <f t="shared" si="3"/>
        <v>0</v>
      </c>
      <c r="F12" s="26"/>
      <c r="G12" s="22">
        <f t="shared" si="4"/>
        <v>0</v>
      </c>
      <c r="H12" s="26"/>
      <c r="I12" s="82">
        <f t="shared" si="0"/>
        <v>0</v>
      </c>
      <c r="J12" s="21"/>
      <c r="K12" s="17">
        <f t="shared" si="1"/>
        <v>0</v>
      </c>
      <c r="L12" s="16">
        <f>SUM(C12-D12-F12-H12-J12)</f>
        <v>35283</v>
      </c>
      <c r="M12" s="23">
        <f t="shared" si="5"/>
        <v>100</v>
      </c>
    </row>
    <row r="13" spans="2:13" ht="12" customHeight="1">
      <c r="B13" s="24" t="s">
        <v>56</v>
      </c>
      <c r="C13" s="25">
        <f>1094963+300000</f>
        <v>1394963</v>
      </c>
      <c r="D13" s="26">
        <v>2780822</v>
      </c>
      <c r="E13" s="27">
        <f t="shared" si="3"/>
        <v>199.34736620254444</v>
      </c>
      <c r="F13" s="26"/>
      <c r="G13" s="27">
        <f t="shared" si="4"/>
        <v>0</v>
      </c>
      <c r="H13" s="26"/>
      <c r="I13" s="82">
        <f t="shared" si="0"/>
        <v>0</v>
      </c>
      <c r="J13" s="40"/>
      <c r="K13" s="17">
        <f t="shared" si="1"/>
        <v>0</v>
      </c>
      <c r="L13" s="16">
        <f t="shared" si="2"/>
        <v>-1385859</v>
      </c>
      <c r="M13" s="101">
        <f t="shared" si="5"/>
        <v>-99.34736620254444</v>
      </c>
    </row>
    <row r="14" spans="2:13" ht="12" customHeight="1" thickBot="1">
      <c r="B14" s="24" t="s">
        <v>32</v>
      </c>
      <c r="C14" s="25">
        <f>447185+5130+696</f>
        <v>453011</v>
      </c>
      <c r="D14" s="26">
        <v>38178</v>
      </c>
      <c r="E14" s="27">
        <f t="shared" si="3"/>
        <v>8.427609925586795</v>
      </c>
      <c r="F14" s="26">
        <v>46796</v>
      </c>
      <c r="G14" s="27">
        <f t="shared" si="4"/>
        <v>10.329991986949544</v>
      </c>
      <c r="H14" s="26"/>
      <c r="I14" s="83">
        <f t="shared" si="0"/>
        <v>0</v>
      </c>
      <c r="J14" s="26">
        <v>101</v>
      </c>
      <c r="K14" s="41">
        <f t="shared" si="1"/>
        <v>0.02229526435340422</v>
      </c>
      <c r="L14" s="40">
        <f t="shared" si="2"/>
        <v>367936</v>
      </c>
      <c r="M14" s="101">
        <f t="shared" si="5"/>
        <v>81.22010282311025</v>
      </c>
    </row>
    <row r="15" spans="2:13" s="37" customFormat="1" ht="12" customHeight="1" thickBot="1">
      <c r="B15" s="32" t="s">
        <v>42</v>
      </c>
      <c r="C15" s="29">
        <f>SUM(C5:C14)</f>
        <v>5399738</v>
      </c>
      <c r="D15" s="29">
        <f>SUM(D5:D14)</f>
        <v>4753565</v>
      </c>
      <c r="E15" s="73">
        <f t="shared" si="3"/>
        <v>88.03325272448403</v>
      </c>
      <c r="F15" s="29">
        <f>SUM(F5:F14)</f>
        <v>57374</v>
      </c>
      <c r="G15" s="73">
        <f t="shared" si="4"/>
        <v>1.0625330340101686</v>
      </c>
      <c r="H15" s="29">
        <f>SUM(H5:H14)</f>
        <v>150</v>
      </c>
      <c r="I15" s="73">
        <f t="shared" si="0"/>
        <v>0.002777912557979665</v>
      </c>
      <c r="J15" s="29">
        <f>SUM(J5:J14)</f>
        <v>242253</v>
      </c>
      <c r="K15" s="33">
        <f t="shared" si="1"/>
        <v>4.4863843393883185</v>
      </c>
      <c r="L15" s="29">
        <f>SUM(L5:L14)</f>
        <v>346396</v>
      </c>
      <c r="M15" s="102">
        <f t="shared" si="5"/>
        <v>6.415051989559493</v>
      </c>
    </row>
    <row r="16" spans="2:13" s="109" customFormat="1" ht="12" customHeight="1">
      <c r="B16" s="103" t="s">
        <v>15</v>
      </c>
      <c r="C16" s="20">
        <v>39452</v>
      </c>
      <c r="D16" s="104">
        <v>3720</v>
      </c>
      <c r="E16" s="22">
        <f aca="true" t="shared" si="6" ref="E16:E24">SUM(D16/C16)*100</f>
        <v>9.429179762749671</v>
      </c>
      <c r="F16" s="104"/>
      <c r="G16" s="105">
        <f aca="true" t="shared" si="7" ref="G16:G23">SUM(F16/C16)*100</f>
        <v>0</v>
      </c>
      <c r="H16" s="104"/>
      <c r="I16" s="106">
        <f t="shared" si="0"/>
        <v>0</v>
      </c>
      <c r="J16" s="107"/>
      <c r="K16" s="108">
        <f t="shared" si="1"/>
        <v>0</v>
      </c>
      <c r="L16" s="16">
        <f>SUM(C16-D16-F16-H16-J16)</f>
        <v>35732</v>
      </c>
      <c r="M16" s="23">
        <f aca="true" t="shared" si="8" ref="M16:M24">SUM(L16/C16)*100</f>
        <v>90.57082023725033</v>
      </c>
    </row>
    <row r="17" spans="2:13" s="109" customFormat="1" ht="12" customHeight="1">
      <c r="B17" s="103" t="s">
        <v>29</v>
      </c>
      <c r="C17" s="20">
        <v>33048</v>
      </c>
      <c r="D17" s="104">
        <v>750</v>
      </c>
      <c r="E17" s="22">
        <f t="shared" si="6"/>
        <v>2.269426289034132</v>
      </c>
      <c r="F17" s="104"/>
      <c r="G17" s="105">
        <f t="shared" si="7"/>
        <v>0</v>
      </c>
      <c r="H17" s="104">
        <v>12952</v>
      </c>
      <c r="I17" s="106">
        <f t="shared" si="0"/>
        <v>39.1914790607601</v>
      </c>
      <c r="J17" s="107">
        <v>136</v>
      </c>
      <c r="K17" s="108">
        <f t="shared" si="1"/>
        <v>0.411522633744856</v>
      </c>
      <c r="L17" s="16">
        <f>SUM(C17-D17-F17-H17-J17)</f>
        <v>19210</v>
      </c>
      <c r="M17" s="23">
        <f t="shared" si="8"/>
        <v>58.1275720164609</v>
      </c>
    </row>
    <row r="18" spans="2:13" s="109" customFormat="1" ht="12" customHeight="1">
      <c r="B18" s="103" t="s">
        <v>35</v>
      </c>
      <c r="C18" s="20">
        <v>65671</v>
      </c>
      <c r="D18" s="104"/>
      <c r="E18" s="22">
        <f t="shared" si="6"/>
        <v>0</v>
      </c>
      <c r="F18" s="104"/>
      <c r="G18" s="105">
        <f t="shared" si="7"/>
        <v>0</v>
      </c>
      <c r="H18" s="104">
        <v>36076</v>
      </c>
      <c r="I18" s="106">
        <f t="shared" si="0"/>
        <v>54.93444595026724</v>
      </c>
      <c r="J18" s="107">
        <v>558</v>
      </c>
      <c r="K18" s="108">
        <f t="shared" si="1"/>
        <v>0.8496901219716465</v>
      </c>
      <c r="L18" s="16">
        <f>SUM(C18-D18-F18-H18-J18)</f>
        <v>29037</v>
      </c>
      <c r="M18" s="23">
        <f t="shared" si="8"/>
        <v>44.21586392776111</v>
      </c>
    </row>
    <row r="19" spans="2:13" s="109" customFormat="1" ht="12" customHeight="1">
      <c r="B19" s="103" t="s">
        <v>31</v>
      </c>
      <c r="C19" s="20">
        <v>20383</v>
      </c>
      <c r="D19" s="104"/>
      <c r="E19" s="22">
        <f t="shared" si="6"/>
        <v>0</v>
      </c>
      <c r="F19" s="104"/>
      <c r="G19" s="105">
        <f t="shared" si="7"/>
        <v>0</v>
      </c>
      <c r="H19" s="104">
        <v>13304</v>
      </c>
      <c r="I19" s="106">
        <f t="shared" si="0"/>
        <v>65.27007800618162</v>
      </c>
      <c r="J19" s="107"/>
      <c r="K19" s="108">
        <f t="shared" si="1"/>
        <v>0</v>
      </c>
      <c r="L19" s="16">
        <f>SUM(C19-D19-F19-H19-J19)</f>
        <v>7079</v>
      </c>
      <c r="M19" s="23">
        <f t="shared" si="8"/>
        <v>34.72992199381838</v>
      </c>
    </row>
    <row r="20" spans="2:13" s="109" customFormat="1" ht="12" customHeight="1" thickBot="1">
      <c r="B20" s="110" t="s">
        <v>30</v>
      </c>
      <c r="C20" s="25">
        <v>29872</v>
      </c>
      <c r="D20" s="111"/>
      <c r="E20" s="27">
        <f t="shared" si="6"/>
        <v>0</v>
      </c>
      <c r="F20" s="111"/>
      <c r="G20" s="112">
        <f t="shared" si="7"/>
        <v>0</v>
      </c>
      <c r="H20" s="111">
        <v>18091</v>
      </c>
      <c r="I20" s="106">
        <f t="shared" si="0"/>
        <v>60.561730048205675</v>
      </c>
      <c r="J20" s="113"/>
      <c r="K20" s="108">
        <f t="shared" si="1"/>
        <v>0</v>
      </c>
      <c r="L20" s="16">
        <f>SUM(C20-D20-F20-H20-J20)</f>
        <v>11781</v>
      </c>
      <c r="M20" s="101">
        <f t="shared" si="8"/>
        <v>39.438269951794325</v>
      </c>
    </row>
    <row r="21" spans="2:13" s="37" customFormat="1" ht="12" customHeight="1" thickBot="1">
      <c r="B21" s="32" t="s">
        <v>41</v>
      </c>
      <c r="C21" s="29">
        <f>SUM(C16:C20)</f>
        <v>188426</v>
      </c>
      <c r="D21" s="29">
        <f aca="true" t="shared" si="9" ref="D21:L21">SUM(D16:D20)</f>
        <v>4470</v>
      </c>
      <c r="E21" s="33">
        <f t="shared" si="6"/>
        <v>2.3722840796917626</v>
      </c>
      <c r="F21" s="29">
        <f t="shared" si="9"/>
        <v>0</v>
      </c>
      <c r="G21" s="33">
        <f t="shared" si="7"/>
        <v>0</v>
      </c>
      <c r="H21" s="29">
        <f t="shared" si="9"/>
        <v>80423</v>
      </c>
      <c r="I21" s="73">
        <f aca="true" t="shared" si="10" ref="I21:I38">SUM(H21/C21)*100</f>
        <v>42.681477078534805</v>
      </c>
      <c r="J21" s="29">
        <f>SUM(J16:J20)</f>
        <v>694</v>
      </c>
      <c r="K21" s="33">
        <f aca="true" t="shared" si="11" ref="K21:K38">SUM(J21/C21)*100</f>
        <v>0.36831435152261366</v>
      </c>
      <c r="L21" s="29">
        <f t="shared" si="9"/>
        <v>102839</v>
      </c>
      <c r="M21" s="53">
        <f t="shared" si="8"/>
        <v>54.577924490250815</v>
      </c>
    </row>
    <row r="22" spans="2:13" ht="12" customHeight="1">
      <c r="B22" s="114" t="s">
        <v>53</v>
      </c>
      <c r="C22" s="115">
        <f>313095+41602+168</f>
        <v>354865</v>
      </c>
      <c r="D22" s="116">
        <v>379000</v>
      </c>
      <c r="E22" s="117">
        <f t="shared" si="6"/>
        <v>106.80117791272738</v>
      </c>
      <c r="F22" s="116">
        <f>105+476+168</f>
        <v>749</v>
      </c>
      <c r="G22" s="117">
        <f t="shared" si="7"/>
        <v>0.21106618009665645</v>
      </c>
      <c r="H22" s="116"/>
      <c r="I22" s="118">
        <f>SUM(H22/C22)*100</f>
        <v>0</v>
      </c>
      <c r="J22" s="116">
        <f>8488+41021</f>
        <v>49509</v>
      </c>
      <c r="K22" s="117">
        <f>SUM(J22/C22)*100</f>
        <v>13.951502684119314</v>
      </c>
      <c r="L22" s="116">
        <f>SUM(C22-D22-F22-H22-J22)</f>
        <v>-74393</v>
      </c>
      <c r="M22" s="119">
        <f t="shared" si="8"/>
        <v>-20.963746776943346</v>
      </c>
    </row>
    <row r="23" spans="2:13" ht="12" customHeight="1" thickBot="1">
      <c r="B23" s="50" t="s">
        <v>54</v>
      </c>
      <c r="C23" s="30">
        <v>811361</v>
      </c>
      <c r="D23" s="31">
        <v>106000</v>
      </c>
      <c r="E23" s="51">
        <f t="shared" si="6"/>
        <v>13.064468220681052</v>
      </c>
      <c r="F23" s="31"/>
      <c r="G23" s="51">
        <f t="shared" si="7"/>
        <v>0</v>
      </c>
      <c r="H23" s="31"/>
      <c r="I23" s="84">
        <f>SUM(H23/C23)*100</f>
        <v>0</v>
      </c>
      <c r="J23" s="31">
        <v>12418</v>
      </c>
      <c r="K23" s="51">
        <f>SUM(J23/C23)*100</f>
        <v>1.530514777022805</v>
      </c>
      <c r="L23" s="31">
        <f>SUM(C23-D23-F23-H23-J23)</f>
        <v>692943</v>
      </c>
      <c r="M23" s="52">
        <f t="shared" si="8"/>
        <v>85.40501700229615</v>
      </c>
    </row>
    <row r="24" spans="2:13" ht="12" customHeight="1" thickBot="1">
      <c r="B24" s="32" t="s">
        <v>55</v>
      </c>
      <c r="C24" s="29">
        <f>SUM(C22:C23)</f>
        <v>1166226</v>
      </c>
      <c r="D24" s="29">
        <f>SUM(D22:D23)</f>
        <v>485000</v>
      </c>
      <c r="E24" s="73">
        <f t="shared" si="6"/>
        <v>41.58713662703455</v>
      </c>
      <c r="F24" s="29">
        <f aca="true" t="shared" si="12" ref="F24:L24">SUM(F22:F23)</f>
        <v>749</v>
      </c>
      <c r="G24" s="73">
        <f t="shared" si="12"/>
        <v>0.21106618009665645</v>
      </c>
      <c r="H24" s="29">
        <f t="shared" si="12"/>
        <v>0</v>
      </c>
      <c r="I24" s="73">
        <f t="shared" si="12"/>
        <v>0</v>
      </c>
      <c r="J24" s="29">
        <f t="shared" si="12"/>
        <v>61927</v>
      </c>
      <c r="K24" s="33">
        <f t="shared" si="12"/>
        <v>15.482017461142119</v>
      </c>
      <c r="L24" s="29">
        <f t="shared" si="12"/>
        <v>618550</v>
      </c>
      <c r="M24" s="102">
        <f t="shared" si="8"/>
        <v>53.03860486732417</v>
      </c>
    </row>
    <row r="25" spans="2:13" ht="12" customHeight="1">
      <c r="B25" s="38" t="s">
        <v>4</v>
      </c>
      <c r="C25" s="39">
        <f>2189980+205+1026+911+1005+271</f>
        <v>2193398</v>
      </c>
      <c r="D25" s="40">
        <f>67138-60000</f>
        <v>7138</v>
      </c>
      <c r="E25" s="41">
        <f aca="true" t="shared" si="13" ref="E25:E44">SUM(D25/C25)*100</f>
        <v>0.32543113470514695</v>
      </c>
      <c r="F25" s="40">
        <f>326325+205+1026+911+1005+271</f>
        <v>329743</v>
      </c>
      <c r="G25" s="41">
        <f aca="true" t="shared" si="14" ref="G25:G44">SUM(F25/C25)*100</f>
        <v>15.033432145009707</v>
      </c>
      <c r="H25" s="40"/>
      <c r="I25" s="83">
        <f t="shared" si="10"/>
        <v>0</v>
      </c>
      <c r="J25" s="40">
        <v>45532</v>
      </c>
      <c r="K25" s="41">
        <f t="shared" si="11"/>
        <v>2.075865848332131</v>
      </c>
      <c r="L25" s="40">
        <f>SUM(C25-D25-F25-H25-J25)</f>
        <v>1810985</v>
      </c>
      <c r="M25" s="42">
        <f aca="true" t="shared" si="15" ref="M25:M44">SUM(L25/C25)*100</f>
        <v>82.56527087195302</v>
      </c>
    </row>
    <row r="26" spans="2:13" ht="12" customHeight="1">
      <c r="B26" s="19" t="s">
        <v>52</v>
      </c>
      <c r="C26" s="20">
        <v>1000</v>
      </c>
      <c r="D26" s="21"/>
      <c r="E26" s="22">
        <f t="shared" si="13"/>
        <v>0</v>
      </c>
      <c r="F26" s="21"/>
      <c r="G26" s="22">
        <f t="shared" si="14"/>
        <v>0</v>
      </c>
      <c r="H26" s="21"/>
      <c r="I26" s="120">
        <f t="shared" si="10"/>
        <v>0</v>
      </c>
      <c r="J26" s="21"/>
      <c r="K26" s="22">
        <f t="shared" si="11"/>
        <v>0</v>
      </c>
      <c r="L26" s="21">
        <f>SUM(C26-D26-F26-H26-J26)</f>
        <v>1000</v>
      </c>
      <c r="M26" s="23">
        <f t="shared" si="15"/>
        <v>100</v>
      </c>
    </row>
    <row r="27" spans="2:13" ht="12" customHeight="1" thickBot="1">
      <c r="B27" s="38" t="s">
        <v>57</v>
      </c>
      <c r="C27" s="39">
        <v>202387</v>
      </c>
      <c r="D27" s="40"/>
      <c r="E27" s="41">
        <f t="shared" si="13"/>
        <v>0</v>
      </c>
      <c r="F27" s="40"/>
      <c r="G27" s="41">
        <f t="shared" si="14"/>
        <v>0</v>
      </c>
      <c r="H27" s="40"/>
      <c r="I27" s="83">
        <f t="shared" si="10"/>
        <v>0</v>
      </c>
      <c r="J27" s="40"/>
      <c r="K27" s="41">
        <f t="shared" si="11"/>
        <v>0</v>
      </c>
      <c r="L27" s="40">
        <f>SUM(C27-D27-F27-H27-J27)</f>
        <v>202387</v>
      </c>
      <c r="M27" s="42">
        <f t="shared" si="15"/>
        <v>100</v>
      </c>
    </row>
    <row r="28" spans="2:13" ht="12" customHeight="1" thickBot="1">
      <c r="B28" s="32" t="s">
        <v>43</v>
      </c>
      <c r="C28" s="29">
        <f>SUM(C25:C27)</f>
        <v>2396785</v>
      </c>
      <c r="D28" s="29">
        <f>SUM(D25:D27)</f>
        <v>7138</v>
      </c>
      <c r="E28" s="33">
        <f t="shared" si="13"/>
        <v>0.297815615501599</v>
      </c>
      <c r="F28" s="29">
        <f>SUM(F25:F27)</f>
        <v>329743</v>
      </c>
      <c r="G28" s="33">
        <f t="shared" si="14"/>
        <v>13.757721280799071</v>
      </c>
      <c r="H28" s="29">
        <f>SUM(H25:H27)</f>
        <v>0</v>
      </c>
      <c r="I28" s="73">
        <f t="shared" si="10"/>
        <v>0</v>
      </c>
      <c r="J28" s="29">
        <f>SUM(J25)</f>
        <v>45532</v>
      </c>
      <c r="K28" s="33">
        <f t="shared" si="11"/>
        <v>1.8997114885148232</v>
      </c>
      <c r="L28" s="29">
        <f>SUM(L25:L27)</f>
        <v>2014372</v>
      </c>
      <c r="M28" s="53">
        <f t="shared" si="15"/>
        <v>84.04475161518451</v>
      </c>
    </row>
    <row r="29" spans="2:13" ht="12" customHeight="1" thickBot="1">
      <c r="B29" s="38" t="s">
        <v>7</v>
      </c>
      <c r="C29" s="39">
        <f>173982+15639+2828</f>
        <v>192449</v>
      </c>
      <c r="D29" s="40">
        <v>4200</v>
      </c>
      <c r="E29" s="41">
        <f t="shared" si="13"/>
        <v>2.182396375143545</v>
      </c>
      <c r="F29" s="40">
        <f>48422+4380+291+1330+4764+2828+381+2447+6035-2847</f>
        <v>68031</v>
      </c>
      <c r="G29" s="41">
        <f t="shared" si="14"/>
        <v>35.3501447136644</v>
      </c>
      <c r="H29" s="40"/>
      <c r="I29" s="83">
        <f t="shared" si="10"/>
        <v>0</v>
      </c>
      <c r="J29" s="40">
        <f>1888+3379</f>
        <v>5267</v>
      </c>
      <c r="K29" s="41">
        <f t="shared" si="11"/>
        <v>2.7368289780669164</v>
      </c>
      <c r="L29" s="40">
        <f>SUM(C29-D29-F29-H29-J29)</f>
        <v>114951</v>
      </c>
      <c r="M29" s="42">
        <f t="shared" si="15"/>
        <v>59.73062993312514</v>
      </c>
    </row>
    <row r="30" spans="2:13" ht="12" customHeight="1" thickBot="1">
      <c r="B30" s="32" t="s">
        <v>44</v>
      </c>
      <c r="C30" s="29">
        <f>SUM(C29)</f>
        <v>192449</v>
      </c>
      <c r="D30" s="34">
        <f>SUM(D29)</f>
        <v>4200</v>
      </c>
      <c r="E30" s="35">
        <f t="shared" si="13"/>
        <v>2.182396375143545</v>
      </c>
      <c r="F30" s="34">
        <f>SUM(F29)</f>
        <v>68031</v>
      </c>
      <c r="G30" s="35">
        <f t="shared" si="14"/>
        <v>35.3501447136644</v>
      </c>
      <c r="H30" s="34">
        <f>SUM(H29)</f>
        <v>0</v>
      </c>
      <c r="I30" s="85">
        <f t="shared" si="10"/>
        <v>0</v>
      </c>
      <c r="J30" s="34">
        <f>SUM(J29)</f>
        <v>5267</v>
      </c>
      <c r="K30" s="35">
        <f t="shared" si="11"/>
        <v>2.7368289780669164</v>
      </c>
      <c r="L30" s="34">
        <f>SUM(L29)</f>
        <v>114951</v>
      </c>
      <c r="M30" s="36">
        <f t="shared" si="15"/>
        <v>59.73062993312514</v>
      </c>
    </row>
    <row r="31" spans="2:13" ht="12" customHeight="1">
      <c r="B31" s="14" t="s">
        <v>8</v>
      </c>
      <c r="C31" s="15">
        <f>247553+16280+2921</f>
        <v>266754</v>
      </c>
      <c r="D31" s="16">
        <v>56300</v>
      </c>
      <c r="E31" s="17">
        <f t="shared" si="13"/>
        <v>21.105587919956214</v>
      </c>
      <c r="F31" s="16">
        <f>31065+198+750+4817</f>
        <v>36830</v>
      </c>
      <c r="G31" s="17">
        <f t="shared" si="14"/>
        <v>13.8067282964829</v>
      </c>
      <c r="H31" s="16">
        <v>7070</v>
      </c>
      <c r="I31" s="82">
        <f t="shared" si="10"/>
        <v>2.650381999895034</v>
      </c>
      <c r="J31" s="16">
        <f>6037+12158</f>
        <v>18195</v>
      </c>
      <c r="K31" s="17">
        <f t="shared" si="11"/>
        <v>6.820891158145708</v>
      </c>
      <c r="L31" s="16">
        <f>SUM(C31-D31-F31-H31-J31)</f>
        <v>148359</v>
      </c>
      <c r="M31" s="18">
        <f t="shared" si="15"/>
        <v>55.61641062552014</v>
      </c>
    </row>
    <row r="32" spans="2:13" ht="12" customHeight="1">
      <c r="B32" s="19" t="s">
        <v>9</v>
      </c>
      <c r="C32" s="20">
        <v>207625</v>
      </c>
      <c r="D32" s="21"/>
      <c r="E32" s="22">
        <f t="shared" si="13"/>
        <v>0</v>
      </c>
      <c r="F32" s="21">
        <f>12325+4780</f>
        <v>17105</v>
      </c>
      <c r="G32" s="22">
        <f t="shared" si="14"/>
        <v>8.238410596026489</v>
      </c>
      <c r="H32" s="21"/>
      <c r="I32" s="82">
        <f t="shared" si="10"/>
        <v>0</v>
      </c>
      <c r="J32" s="16"/>
      <c r="K32" s="17">
        <f t="shared" si="11"/>
        <v>0</v>
      </c>
      <c r="L32" s="16">
        <f aca="true" t="shared" si="16" ref="L32:L38">SUM(C32-D32-F32-H32-J32)</f>
        <v>190520</v>
      </c>
      <c r="M32" s="23">
        <f t="shared" si="15"/>
        <v>91.7615894039735</v>
      </c>
    </row>
    <row r="33" spans="2:13" ht="12" customHeight="1">
      <c r="B33" s="19" t="s">
        <v>10</v>
      </c>
      <c r="C33" s="20">
        <v>55899</v>
      </c>
      <c r="D33" s="21"/>
      <c r="E33" s="22">
        <f t="shared" si="13"/>
        <v>0</v>
      </c>
      <c r="F33" s="21">
        <f>10424+8960+1192</f>
        <v>20576</v>
      </c>
      <c r="G33" s="22">
        <f t="shared" si="14"/>
        <v>36.80924524588991</v>
      </c>
      <c r="H33" s="21"/>
      <c r="I33" s="82">
        <f t="shared" si="10"/>
        <v>0</v>
      </c>
      <c r="J33" s="16"/>
      <c r="K33" s="17">
        <f t="shared" si="11"/>
        <v>0</v>
      </c>
      <c r="L33" s="16">
        <f t="shared" si="16"/>
        <v>35323</v>
      </c>
      <c r="M33" s="23">
        <f t="shared" si="15"/>
        <v>63.19075475411009</v>
      </c>
    </row>
    <row r="34" spans="2:13" ht="12" customHeight="1">
      <c r="B34" s="19" t="s">
        <v>11</v>
      </c>
      <c r="C34" s="20">
        <v>7986</v>
      </c>
      <c r="D34" s="21"/>
      <c r="E34" s="22">
        <f t="shared" si="13"/>
        <v>0</v>
      </c>
      <c r="F34" s="21">
        <f>27680+388</f>
        <v>28068</v>
      </c>
      <c r="G34" s="22">
        <f t="shared" si="14"/>
        <v>351.46506386175804</v>
      </c>
      <c r="H34" s="21"/>
      <c r="I34" s="82">
        <f t="shared" si="10"/>
        <v>0</v>
      </c>
      <c r="J34" s="16"/>
      <c r="K34" s="17">
        <f t="shared" si="11"/>
        <v>0</v>
      </c>
      <c r="L34" s="16">
        <f t="shared" si="16"/>
        <v>-20082</v>
      </c>
      <c r="M34" s="23">
        <f t="shared" si="15"/>
        <v>-251.46506386175807</v>
      </c>
    </row>
    <row r="35" spans="2:13" ht="12" customHeight="1">
      <c r="B35" s="19" t="s">
        <v>12</v>
      </c>
      <c r="C35" s="20">
        <v>8211</v>
      </c>
      <c r="D35" s="21"/>
      <c r="E35" s="22">
        <f t="shared" si="13"/>
        <v>0</v>
      </c>
      <c r="F35" s="21"/>
      <c r="G35" s="22">
        <f t="shared" si="14"/>
        <v>0</v>
      </c>
      <c r="H35" s="21"/>
      <c r="I35" s="82">
        <f t="shared" si="10"/>
        <v>0</v>
      </c>
      <c r="J35" s="16"/>
      <c r="K35" s="17">
        <f t="shared" si="11"/>
        <v>0</v>
      </c>
      <c r="L35" s="16">
        <f t="shared" si="16"/>
        <v>8211</v>
      </c>
      <c r="M35" s="23">
        <f t="shared" si="15"/>
        <v>100</v>
      </c>
    </row>
    <row r="36" spans="2:13" ht="12" customHeight="1">
      <c r="B36" s="19" t="s">
        <v>13</v>
      </c>
      <c r="C36" s="20">
        <f>183669-8211</f>
        <v>175458</v>
      </c>
      <c r="D36" s="21"/>
      <c r="E36" s="22">
        <f t="shared" si="13"/>
        <v>0</v>
      </c>
      <c r="F36" s="21">
        <f>6600+6600+4876+1907</f>
        <v>19983</v>
      </c>
      <c r="G36" s="22">
        <f t="shared" si="14"/>
        <v>11.389050371028963</v>
      </c>
      <c r="H36" s="21"/>
      <c r="I36" s="82">
        <f t="shared" si="10"/>
        <v>0</v>
      </c>
      <c r="J36" s="16"/>
      <c r="K36" s="17">
        <f t="shared" si="11"/>
        <v>0</v>
      </c>
      <c r="L36" s="16">
        <f t="shared" si="16"/>
        <v>155475</v>
      </c>
      <c r="M36" s="23">
        <f t="shared" si="15"/>
        <v>88.61094962897104</v>
      </c>
    </row>
    <row r="37" spans="2:13" ht="12" customHeight="1">
      <c r="B37" s="24" t="s">
        <v>58</v>
      </c>
      <c r="C37" s="25">
        <v>7986</v>
      </c>
      <c r="D37" s="26"/>
      <c r="E37" s="27">
        <f t="shared" si="13"/>
        <v>0</v>
      </c>
      <c r="F37" s="26">
        <v>254</v>
      </c>
      <c r="G37" s="22">
        <f t="shared" si="14"/>
        <v>3.1805659904833457</v>
      </c>
      <c r="H37" s="26"/>
      <c r="I37" s="83">
        <f t="shared" si="10"/>
        <v>0</v>
      </c>
      <c r="J37" s="40"/>
      <c r="K37" s="41">
        <f t="shared" si="11"/>
        <v>0</v>
      </c>
      <c r="L37" s="16">
        <f t="shared" si="16"/>
        <v>7732</v>
      </c>
      <c r="M37" s="23">
        <f t="shared" si="15"/>
        <v>96.81943400951666</v>
      </c>
    </row>
    <row r="38" spans="2:13" ht="12" customHeight="1" thickBot="1">
      <c r="B38" s="50" t="s">
        <v>14</v>
      </c>
      <c r="C38" s="30">
        <v>23956</v>
      </c>
      <c r="D38" s="31"/>
      <c r="E38" s="51">
        <f t="shared" si="13"/>
        <v>0</v>
      </c>
      <c r="F38" s="31">
        <f>8150+1178</f>
        <v>9328</v>
      </c>
      <c r="G38" s="51">
        <f t="shared" si="14"/>
        <v>38.93805309734513</v>
      </c>
      <c r="H38" s="31"/>
      <c r="I38" s="84">
        <f t="shared" si="10"/>
        <v>0</v>
      </c>
      <c r="J38" s="31"/>
      <c r="K38" s="51">
        <f t="shared" si="11"/>
        <v>0</v>
      </c>
      <c r="L38" s="31">
        <f t="shared" si="16"/>
        <v>14628</v>
      </c>
      <c r="M38" s="52">
        <f t="shared" si="15"/>
        <v>61.06194690265486</v>
      </c>
    </row>
    <row r="39" spans="2:13" s="37" customFormat="1" ht="12.75" customHeight="1" thickBot="1">
      <c r="B39" s="32" t="s">
        <v>45</v>
      </c>
      <c r="C39" s="29">
        <f>SUM(C31:C38)</f>
        <v>753875</v>
      </c>
      <c r="D39" s="34">
        <f>SUM(D31:D38)</f>
        <v>56300</v>
      </c>
      <c r="E39" s="35">
        <f t="shared" si="13"/>
        <v>7.468081578511026</v>
      </c>
      <c r="F39" s="34">
        <f>SUM(F31:F38)</f>
        <v>132144</v>
      </c>
      <c r="G39" s="35">
        <f t="shared" si="14"/>
        <v>17.52863538385011</v>
      </c>
      <c r="H39" s="34">
        <f>SUM(H31:H38)</f>
        <v>7070</v>
      </c>
      <c r="I39" s="85">
        <f aca="true" t="shared" si="17" ref="I39:I44">SUM(H39/C39)*100</f>
        <v>0.9378212568396618</v>
      </c>
      <c r="J39" s="34">
        <f>SUM(J31:J38)</f>
        <v>18195</v>
      </c>
      <c r="K39" s="35">
        <f aca="true" t="shared" si="18" ref="K39:K44">SUM(J39/C39)*100</f>
        <v>2.4135300945116898</v>
      </c>
      <c r="L39" s="34">
        <f>SUM(L31:L38)</f>
        <v>540166</v>
      </c>
      <c r="M39" s="36">
        <f t="shared" si="15"/>
        <v>71.65193168628751</v>
      </c>
    </row>
    <row r="40" spans="2:13" s="37" customFormat="1" ht="12" customHeight="1" thickBot="1">
      <c r="B40" s="54" t="s">
        <v>47</v>
      </c>
      <c r="C40" s="43">
        <f>157613+1066+259</f>
        <v>158938</v>
      </c>
      <c r="D40" s="45">
        <v>5020</v>
      </c>
      <c r="E40" s="46">
        <f t="shared" si="13"/>
        <v>3.158464306836628</v>
      </c>
      <c r="F40" s="45">
        <f>93942+17+97+46+13-300</f>
        <v>93815</v>
      </c>
      <c r="G40" s="46">
        <f t="shared" si="14"/>
        <v>59.02616114459727</v>
      </c>
      <c r="H40" s="45"/>
      <c r="I40" s="86">
        <f t="shared" si="17"/>
        <v>0</v>
      </c>
      <c r="J40" s="45">
        <f>1816+952</f>
        <v>2768</v>
      </c>
      <c r="K40" s="35">
        <f t="shared" si="18"/>
        <v>1.741559601857328</v>
      </c>
      <c r="L40" s="45">
        <f>SUM(C40-D40-F40-H40-J40)</f>
        <v>57335</v>
      </c>
      <c r="M40" s="47">
        <f t="shared" si="15"/>
        <v>36.07381494670878</v>
      </c>
    </row>
    <row r="41" spans="2:13" s="37" customFormat="1" ht="12" customHeight="1" thickBot="1">
      <c r="B41" s="32" t="s">
        <v>48</v>
      </c>
      <c r="C41" s="29">
        <f>92165+583+296</f>
        <v>93044</v>
      </c>
      <c r="D41" s="34">
        <v>3000</v>
      </c>
      <c r="E41" s="35">
        <f t="shared" si="13"/>
        <v>3.224280985340269</v>
      </c>
      <c r="F41" s="34">
        <f>47842+105+478+208+56-300</f>
        <v>48389</v>
      </c>
      <c r="G41" s="35">
        <f t="shared" si="14"/>
        <v>52.0065775332101</v>
      </c>
      <c r="H41" s="34"/>
      <c r="I41" s="85">
        <f t="shared" si="17"/>
        <v>0</v>
      </c>
      <c r="J41" s="34">
        <f>1145-209</f>
        <v>936</v>
      </c>
      <c r="K41" s="55">
        <f t="shared" si="18"/>
        <v>1.005975667426164</v>
      </c>
      <c r="L41" s="57">
        <f>SUM(C41-D41-F41-H41-J41)</f>
        <v>40719</v>
      </c>
      <c r="M41" s="56">
        <f t="shared" si="15"/>
        <v>43.76316581402347</v>
      </c>
    </row>
    <row r="42" spans="2:13" s="37" customFormat="1" ht="12" customHeight="1" thickBot="1">
      <c r="B42" s="32" t="s">
        <v>49</v>
      </c>
      <c r="C42" s="29">
        <f>169380+1492+297</f>
        <v>171169</v>
      </c>
      <c r="D42" s="34">
        <v>22500</v>
      </c>
      <c r="E42" s="35">
        <f t="shared" si="13"/>
        <v>13.144903574829556</v>
      </c>
      <c r="F42" s="34">
        <f>93430+142+567+297-300</f>
        <v>94136</v>
      </c>
      <c r="G42" s="35">
        <f t="shared" si="14"/>
        <v>54.995939685340225</v>
      </c>
      <c r="H42" s="34"/>
      <c r="I42" s="85">
        <f t="shared" si="17"/>
        <v>0</v>
      </c>
      <c r="J42" s="34">
        <f>1889+474</f>
        <v>2363</v>
      </c>
      <c r="K42" s="55">
        <f t="shared" si="18"/>
        <v>1.3805069843254327</v>
      </c>
      <c r="L42" s="57">
        <f>SUM(C42-D42-F42-H42-J42)</f>
        <v>52170</v>
      </c>
      <c r="M42" s="56">
        <f t="shared" si="15"/>
        <v>30.478649755504794</v>
      </c>
    </row>
    <row r="43" spans="2:13" s="37" customFormat="1" ht="12" customHeight="1" thickBot="1">
      <c r="B43" s="54" t="s">
        <v>50</v>
      </c>
      <c r="C43" s="43">
        <f>129668+16879+29</f>
        <v>146576</v>
      </c>
      <c r="D43" s="45">
        <v>2350</v>
      </c>
      <c r="E43" s="46">
        <f t="shared" si="13"/>
        <v>1.6032638358257831</v>
      </c>
      <c r="F43" s="45">
        <f>78509+17+59+29-336</f>
        <v>78278</v>
      </c>
      <c r="G43" s="46">
        <f t="shared" si="14"/>
        <v>53.404377251391765</v>
      </c>
      <c r="H43" s="45"/>
      <c r="I43" s="86">
        <f t="shared" si="17"/>
        <v>0</v>
      </c>
      <c r="J43" s="45">
        <f>1548+16582</f>
        <v>18130</v>
      </c>
      <c r="K43" s="35">
        <f t="shared" si="18"/>
        <v>12.369009933413382</v>
      </c>
      <c r="L43" s="45">
        <f>SUM(C43-D43-F43-H43-J43)</f>
        <v>47818</v>
      </c>
      <c r="M43" s="47">
        <f t="shared" si="15"/>
        <v>32.62334897936906</v>
      </c>
    </row>
    <row r="44" spans="2:13" s="4" customFormat="1" ht="12" customHeight="1" thickBot="1">
      <c r="B44" s="28" t="s">
        <v>20</v>
      </c>
      <c r="C44" s="29">
        <f>SUM(C39,C30,C28,C21,C15,C40,C41,C42,C43,C24)</f>
        <v>10667226</v>
      </c>
      <c r="D44" s="29">
        <f>SUM(D39,D30,D28,D21,D15,D40,D41,D42,D43,D24)</f>
        <v>5343543</v>
      </c>
      <c r="E44" s="33">
        <f t="shared" si="13"/>
        <v>50.093088868652444</v>
      </c>
      <c r="F44" s="29">
        <f>SUM(F39,F30,F28,F21,F15,F40,F41,F42,F43,F24)</f>
        <v>902659</v>
      </c>
      <c r="G44" s="33">
        <f t="shared" si="14"/>
        <v>8.46198439969304</v>
      </c>
      <c r="H44" s="29">
        <f>SUM(H39,H30,H28,H21,H15,H40,H41,H42,H43)</f>
        <v>87643</v>
      </c>
      <c r="I44" s="73">
        <f t="shared" si="17"/>
        <v>0.8216100418234319</v>
      </c>
      <c r="J44" s="29">
        <f>SUM(J39,J30,J28,J21,J15,J40,J41,J42,J43,J24)</f>
        <v>398065</v>
      </c>
      <c r="K44" s="35">
        <f t="shared" si="18"/>
        <v>3.731663695884947</v>
      </c>
      <c r="L44" s="29">
        <f>SUM(L39,L30,L28,L21,L15,L40,L41,L42,L43,L24)</f>
        <v>3935316</v>
      </c>
      <c r="M44" s="53">
        <f t="shared" si="15"/>
        <v>36.89165299394613</v>
      </c>
    </row>
    <row r="45" spans="2:13" ht="12.75">
      <c r="B45" s="8"/>
      <c r="C45" s="9"/>
      <c r="D45" s="9"/>
      <c r="E45" s="13"/>
      <c r="F45" s="9"/>
      <c r="G45" s="10"/>
      <c r="H45" s="78"/>
      <c r="I45" s="87"/>
      <c r="J45" s="11"/>
      <c r="K45" s="90"/>
      <c r="L45" s="12"/>
      <c r="M45" s="8"/>
    </row>
    <row r="46" ht="12.75">
      <c r="J46" s="76"/>
    </row>
  </sheetData>
  <sheetProtection/>
  <mergeCells count="2">
    <mergeCell ref="B2:M2"/>
    <mergeCell ref="L1:M1"/>
  </mergeCells>
  <printOptions/>
  <pageMargins left="0.2" right="0.17" top="0.2" bottom="0.25" header="0.17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2016-06-15T14:11:24Z</cp:lastPrinted>
  <dcterms:created xsi:type="dcterms:W3CDTF">2009-02-04T11:37:44Z</dcterms:created>
  <dcterms:modified xsi:type="dcterms:W3CDTF">2016-08-31T13:39:16Z</dcterms:modified>
  <cp:category/>
  <cp:version/>
  <cp:contentType/>
  <cp:contentStatus/>
</cp:coreProperties>
</file>