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rendeletek\2019\"/>
    </mc:Choice>
  </mc:AlternateContent>
  <xr:revisionPtr revIDLastSave="0" documentId="13_ncr:1_{547EA69A-09C4-4E7B-9F28-2164E92B779D}" xr6:coauthVersionLast="45" xr6:coauthVersionMax="45" xr10:uidLastSave="{00000000-0000-0000-0000-000000000000}"/>
  <bookViews>
    <workbookView xWindow="-120" yWindow="-120" windowWidth="19440" windowHeight="15000" tabRatio="847" firstSheet="12" activeTab="19" xr2:uid="{00000000-000D-0000-FFFF-FFFF00000000}"/>
  </bookViews>
  <sheets>
    <sheet name="Önk.bev." sheetId="34" r:id="rId1"/>
    <sheet name="Önk.kiad." sheetId="33" r:id="rId2"/>
    <sheet name="Hiv.bev." sheetId="32" r:id="rId3"/>
    <sheet name="Hiv.kiad." sheetId="31" r:id="rId4"/>
    <sheet name="Művh.bev." sheetId="36" r:id="rId5"/>
    <sheet name="Művh.kiad." sheetId="35" r:id="rId6"/>
    <sheet name="Ovibev." sheetId="30" r:id="rId7"/>
    <sheet name="Ovikiad." sheetId="29" r:id="rId8"/>
    <sheet name="1.sz.melléklet" sheetId="19" r:id="rId9"/>
    <sheet name="2. sz.melléklet" sheetId="3" r:id="rId10"/>
    <sheet name="3.sz. melléklet" sheetId="20" r:id="rId11"/>
    <sheet name="4. sz. melléklet" sheetId="2" r:id="rId12"/>
    <sheet name="5. sz. melléklet" sheetId="18" r:id="rId13"/>
    <sheet name="6. sz.melléklet" sheetId="5" r:id="rId14"/>
    <sheet name="7.sz. melléklet" sheetId="21" r:id="rId15"/>
    <sheet name="8.sz. melléklet" sheetId="22" r:id="rId16"/>
    <sheet name="9.sz.melléklet" sheetId="23" r:id="rId17"/>
    <sheet name="10.sz.melléklet" sheetId="24" r:id="rId18"/>
    <sheet name="11.sz.melléklet" sheetId="25" r:id="rId19"/>
    <sheet name="12.sz.melléklet" sheetId="28" r:id="rId20"/>
  </sheets>
  <externalReferences>
    <externalReference r:id="rId21"/>
    <externalReference r:id="rId22"/>
  </externalReferences>
  <definedNames>
    <definedName name="_xlnm._FilterDatabase" localSheetId="10" hidden="1">'3.sz. melléklet'!$B$1:$B$160</definedName>
    <definedName name="_xlnm.Print_Area" localSheetId="8">'1.sz.melléklet'!$A$1:$E$92</definedName>
    <definedName name="_xlnm.Print_Area" localSheetId="12">'5. sz. melléklet'!$A$1:$B$14</definedName>
    <definedName name="_xlnm.Print_Area" localSheetId="3">'Hiv.kiad.'!$A$1:$F$51</definedName>
    <definedName name="_xlnm.Print_Area" localSheetId="5">'Művh.kiad.'!$A$1:$F$58</definedName>
    <definedName name="_xlnm.Print_Area" localSheetId="7">Ovikiad.!$A$1:$F$83</definedName>
    <definedName name="_xlnm.Print_Area" localSheetId="0">'Önk.bev.'!$A$1:$F$150</definedName>
    <definedName name="_xlnm.Print_Area" localSheetId="1">'Önk.kiad.'!$A$1:$F$274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24" l="1"/>
  <c r="E20" i="24"/>
  <c r="F20" i="24"/>
  <c r="G20" i="24"/>
  <c r="H20" i="24"/>
  <c r="I20" i="24"/>
  <c r="J20" i="24"/>
  <c r="K20" i="24"/>
  <c r="L20" i="24"/>
  <c r="M20" i="24"/>
  <c r="C20" i="24"/>
  <c r="D21" i="24"/>
  <c r="E21" i="24"/>
  <c r="F21" i="24"/>
  <c r="G21" i="24"/>
  <c r="H21" i="24"/>
  <c r="I21" i="24"/>
  <c r="J21" i="24"/>
  <c r="K21" i="24"/>
  <c r="L21" i="24"/>
  <c r="M21" i="24"/>
  <c r="N21" i="24"/>
  <c r="C21" i="24"/>
  <c r="D42" i="24"/>
  <c r="E42" i="24"/>
  <c r="F42" i="24"/>
  <c r="G42" i="24"/>
  <c r="H42" i="24"/>
  <c r="I42" i="24"/>
  <c r="J42" i="24"/>
  <c r="K42" i="24"/>
  <c r="L42" i="24"/>
  <c r="M42" i="24"/>
  <c r="N42" i="24"/>
  <c r="C42" i="24"/>
  <c r="C75" i="23"/>
  <c r="C32" i="23"/>
  <c r="D20" i="23"/>
  <c r="E20" i="23"/>
  <c r="C63" i="23"/>
  <c r="C17" i="22"/>
  <c r="C14" i="22"/>
  <c r="C30" i="21"/>
  <c r="C33" i="21" s="1"/>
  <c r="C22" i="21"/>
  <c r="C17" i="21"/>
  <c r="C21" i="21"/>
  <c r="C20" i="21"/>
  <c r="C23" i="21" s="1"/>
  <c r="B9" i="2" l="1"/>
  <c r="B10" i="2" s="1"/>
  <c r="B29" i="2"/>
  <c r="B28" i="2"/>
  <c r="B12" i="2"/>
  <c r="B11" i="2"/>
  <c r="N157" i="20"/>
  <c r="O157" i="20"/>
  <c r="J10" i="20"/>
  <c r="P68" i="20"/>
  <c r="P66" i="20"/>
  <c r="H60" i="20"/>
  <c r="F60" i="20"/>
  <c r="P60" i="20"/>
  <c r="I60" i="20"/>
  <c r="H18" i="20" l="1"/>
  <c r="E74" i="20"/>
  <c r="F74" i="20"/>
  <c r="G74" i="20"/>
  <c r="I74" i="20"/>
  <c r="J74" i="20"/>
  <c r="K74" i="20"/>
  <c r="L74" i="20"/>
  <c r="M74" i="20"/>
  <c r="N74" i="20"/>
  <c r="O74" i="20"/>
  <c r="P74" i="20"/>
  <c r="C13" i="3"/>
  <c r="C11" i="3"/>
  <c r="C9" i="3"/>
  <c r="C8" i="3"/>
  <c r="F22" i="3"/>
  <c r="C22" i="3"/>
  <c r="B22" i="3" s="1"/>
  <c r="C60" i="23" s="1"/>
  <c r="C16" i="3"/>
  <c r="F16" i="3"/>
  <c r="B16" i="3"/>
  <c r="F12" i="3"/>
  <c r="C21" i="3"/>
  <c r="B21" i="3" s="1"/>
  <c r="C20" i="3"/>
  <c r="B20" i="3" s="1"/>
  <c r="C19" i="3"/>
  <c r="B19" i="3" s="1"/>
  <c r="G21" i="3"/>
  <c r="F21" i="3" s="1"/>
  <c r="B40" i="24" s="1"/>
  <c r="G20" i="3"/>
  <c r="F20" i="3" s="1"/>
  <c r="G19" i="3"/>
  <c r="F19" i="3" s="1"/>
  <c r="H13" i="3"/>
  <c r="F13" i="3" s="1"/>
  <c r="G12" i="3"/>
  <c r="H11" i="3"/>
  <c r="G11" i="3"/>
  <c r="F11" i="3" s="1"/>
  <c r="C19" i="23" l="1"/>
  <c r="C54" i="23"/>
  <c r="B17" i="24"/>
  <c r="B34" i="24"/>
  <c r="C25" i="23"/>
  <c r="B32" i="24"/>
  <c r="C27" i="23"/>
  <c r="B33" i="24"/>
  <c r="C24" i="23"/>
  <c r="C66" i="23"/>
  <c r="B38" i="24"/>
  <c r="C71" i="23"/>
  <c r="B39" i="24"/>
  <c r="H10" i="3"/>
  <c r="H17" i="3" s="1"/>
  <c r="B11" i="3"/>
  <c r="D12" i="3"/>
  <c r="C14" i="3"/>
  <c r="C10" i="3"/>
  <c r="B10" i="3" s="1"/>
  <c r="B8" i="3"/>
  <c r="H23" i="3"/>
  <c r="H25" i="3" s="1"/>
  <c r="B13" i="3"/>
  <c r="B14" i="3"/>
  <c r="F80" i="29"/>
  <c r="F156" i="20" s="1"/>
  <c r="C80" i="29"/>
  <c r="D79" i="29"/>
  <c r="E78" i="29"/>
  <c r="D78" i="29"/>
  <c r="F77" i="29"/>
  <c r="C77" i="29"/>
  <c r="C81" i="29" s="1"/>
  <c r="D76" i="29"/>
  <c r="D75" i="29"/>
  <c r="E74" i="29"/>
  <c r="D74" i="29"/>
  <c r="E73" i="29"/>
  <c r="D73" i="29"/>
  <c r="E72" i="29"/>
  <c r="D72" i="29"/>
  <c r="D77" i="29" s="1"/>
  <c r="F67" i="29"/>
  <c r="F155" i="20" s="1"/>
  <c r="C67" i="29"/>
  <c r="D66" i="29"/>
  <c r="E65" i="29"/>
  <c r="D65" i="29"/>
  <c r="F64" i="29"/>
  <c r="C64" i="29"/>
  <c r="C68" i="29" s="1"/>
  <c r="D63" i="29"/>
  <c r="D62" i="29"/>
  <c r="E61" i="29"/>
  <c r="D61" i="29"/>
  <c r="E60" i="29"/>
  <c r="D60" i="29"/>
  <c r="E59" i="29"/>
  <c r="D59" i="29"/>
  <c r="C55" i="29"/>
  <c r="F54" i="29"/>
  <c r="L152" i="20" s="1"/>
  <c r="C54" i="29"/>
  <c r="D53" i="29"/>
  <c r="D52" i="29"/>
  <c r="D54" i="29" s="1"/>
  <c r="F51" i="29"/>
  <c r="C51" i="29"/>
  <c r="D50" i="29"/>
  <c r="E49" i="29"/>
  <c r="D49" i="29"/>
  <c r="D48" i="29"/>
  <c r="E47" i="29"/>
  <c r="D47" i="29"/>
  <c r="D46" i="29"/>
  <c r="E45" i="29"/>
  <c r="D45" i="29"/>
  <c r="D44" i="29"/>
  <c r="D43" i="29"/>
  <c r="D42" i="29"/>
  <c r="E41" i="29"/>
  <c r="D41" i="29"/>
  <c r="D51" i="29" s="1"/>
  <c r="D55" i="29" s="1"/>
  <c r="D40" i="29"/>
  <c r="E39" i="29"/>
  <c r="D39" i="29"/>
  <c r="E38" i="29"/>
  <c r="D38" i="29"/>
  <c r="F33" i="29"/>
  <c r="C33" i="29"/>
  <c r="D32" i="29"/>
  <c r="E31" i="29"/>
  <c r="D31" i="29"/>
  <c r="F30" i="29"/>
  <c r="C30" i="29"/>
  <c r="C34" i="29" s="1"/>
  <c r="D29" i="29"/>
  <c r="D28" i="29"/>
  <c r="E27" i="29"/>
  <c r="D27" i="29"/>
  <c r="E26" i="29"/>
  <c r="D26" i="29"/>
  <c r="E25" i="29"/>
  <c r="D25" i="29"/>
  <c r="E24" i="29"/>
  <c r="D24" i="29"/>
  <c r="E23" i="29"/>
  <c r="D23" i="29"/>
  <c r="D30" i="29" s="1"/>
  <c r="C18" i="29"/>
  <c r="D17" i="29"/>
  <c r="F16" i="29"/>
  <c r="F18" i="29" s="1"/>
  <c r="F151" i="20" s="1"/>
  <c r="F15" i="29"/>
  <c r="C15" i="29"/>
  <c r="C19" i="29" s="1"/>
  <c r="D14" i="29"/>
  <c r="E13" i="29"/>
  <c r="D13" i="29"/>
  <c r="E12" i="29"/>
  <c r="D12" i="29"/>
  <c r="E11" i="29"/>
  <c r="D11" i="29"/>
  <c r="E10" i="29"/>
  <c r="D10" i="29"/>
  <c r="E9" i="29"/>
  <c r="D9" i="29"/>
  <c r="F20" i="30"/>
  <c r="H69" i="20" s="1"/>
  <c r="C20" i="30"/>
  <c r="D19" i="30"/>
  <c r="D18" i="30"/>
  <c r="D17" i="30"/>
  <c r="D12" i="30"/>
  <c r="E11" i="30"/>
  <c r="D11" i="30"/>
  <c r="F10" i="30"/>
  <c r="C10" i="30"/>
  <c r="C13" i="30" s="1"/>
  <c r="C22" i="30" s="1"/>
  <c r="E9" i="30"/>
  <c r="D9" i="30"/>
  <c r="F34" i="29" l="1"/>
  <c r="E154" i="20"/>
  <c r="D64" i="29"/>
  <c r="E77" i="29"/>
  <c r="B12" i="24"/>
  <c r="C16" i="23"/>
  <c r="B10" i="24"/>
  <c r="C12" i="23"/>
  <c r="F13" i="30"/>
  <c r="D151" i="20"/>
  <c r="D68" i="20"/>
  <c r="D20" i="30"/>
  <c r="D33" i="29"/>
  <c r="E33" i="29"/>
  <c r="F154" i="20"/>
  <c r="E64" i="29"/>
  <c r="E155" i="20"/>
  <c r="F81" i="29"/>
  <c r="E81" i="29" s="1"/>
  <c r="E156" i="20"/>
  <c r="C55" i="23"/>
  <c r="B16" i="24"/>
  <c r="B13" i="24"/>
  <c r="C11" i="23"/>
  <c r="B14" i="24"/>
  <c r="C10" i="23"/>
  <c r="D17" i="3"/>
  <c r="D23" i="3" s="1"/>
  <c r="D25" i="3" s="1"/>
  <c r="D15" i="29"/>
  <c r="F19" i="29"/>
  <c r="E151" i="20"/>
  <c r="F55" i="29"/>
  <c r="E55" i="29" s="1"/>
  <c r="G152" i="20"/>
  <c r="D67" i="29"/>
  <c r="D80" i="29"/>
  <c r="B12" i="3"/>
  <c r="B9" i="3"/>
  <c r="E19" i="29"/>
  <c r="C83" i="29"/>
  <c r="D34" i="29"/>
  <c r="E34" i="29"/>
  <c r="D81" i="29"/>
  <c r="D16" i="29"/>
  <c r="D18" i="29" s="1"/>
  <c r="E51" i="29"/>
  <c r="F68" i="29"/>
  <c r="E68" i="29" s="1"/>
  <c r="E16" i="29"/>
  <c r="E30" i="29"/>
  <c r="E15" i="29"/>
  <c r="F22" i="30"/>
  <c r="E13" i="30"/>
  <c r="D10" i="30"/>
  <c r="D13" i="30" s="1"/>
  <c r="E10" i="30"/>
  <c r="D68" i="29" l="1"/>
  <c r="B11" i="24"/>
  <c r="C13" i="23"/>
  <c r="B15" i="24"/>
  <c r="C52" i="23"/>
  <c r="C64" i="23" s="1"/>
  <c r="D19" i="29"/>
  <c r="D83" i="29" s="1"/>
  <c r="D22" i="30"/>
  <c r="F83" i="29"/>
  <c r="E83" i="29" s="1"/>
  <c r="F25" i="30"/>
  <c r="E22" i="30"/>
  <c r="F55" i="35" l="1"/>
  <c r="C55" i="35"/>
  <c r="E54" i="35"/>
  <c r="D54" i="35"/>
  <c r="E53" i="35"/>
  <c r="D53" i="35"/>
  <c r="D55" i="35" s="1"/>
  <c r="F52" i="35"/>
  <c r="C52" i="35"/>
  <c r="D51" i="35"/>
  <c r="E50" i="35"/>
  <c r="D50" i="35"/>
  <c r="D49" i="35"/>
  <c r="E48" i="35"/>
  <c r="D48" i="35"/>
  <c r="E47" i="35"/>
  <c r="D47" i="35"/>
  <c r="E46" i="35"/>
  <c r="D46" i="35"/>
  <c r="E45" i="35"/>
  <c r="D45" i="35"/>
  <c r="E44" i="35"/>
  <c r="D44" i="35"/>
  <c r="E43" i="35"/>
  <c r="D43" i="35"/>
  <c r="E42" i="35"/>
  <c r="D42" i="35"/>
  <c r="E41" i="35"/>
  <c r="D41" i="35"/>
  <c r="E40" i="35"/>
  <c r="D40" i="35"/>
  <c r="F39" i="35"/>
  <c r="F149" i="20" s="1"/>
  <c r="C39" i="35"/>
  <c r="E38" i="35"/>
  <c r="D38" i="35"/>
  <c r="E37" i="35"/>
  <c r="D37" i="35"/>
  <c r="D39" i="35" s="1"/>
  <c r="F36" i="35"/>
  <c r="D36" i="35"/>
  <c r="C36" i="35"/>
  <c r="E35" i="35"/>
  <c r="D35" i="35"/>
  <c r="E34" i="35"/>
  <c r="D34" i="35"/>
  <c r="E33" i="35"/>
  <c r="D33" i="35"/>
  <c r="E32" i="35"/>
  <c r="D32" i="35"/>
  <c r="E31" i="35"/>
  <c r="D31" i="35"/>
  <c r="E30" i="35"/>
  <c r="D30" i="35"/>
  <c r="F25" i="35"/>
  <c r="C25" i="35"/>
  <c r="E24" i="35"/>
  <c r="D24" i="35"/>
  <c r="E23" i="35"/>
  <c r="D23" i="35"/>
  <c r="E22" i="35"/>
  <c r="D22" i="35"/>
  <c r="E21" i="35"/>
  <c r="D21" i="35"/>
  <c r="D25" i="35" s="1"/>
  <c r="F20" i="35"/>
  <c r="C20" i="35"/>
  <c r="D19" i="35"/>
  <c r="E18" i="35"/>
  <c r="D18" i="35"/>
  <c r="F17" i="35"/>
  <c r="D17" i="35"/>
  <c r="C17" i="35"/>
  <c r="C26" i="35" s="1"/>
  <c r="E16" i="35"/>
  <c r="D16" i="35"/>
  <c r="F12" i="35"/>
  <c r="C12" i="35"/>
  <c r="E11" i="35"/>
  <c r="D11" i="35"/>
  <c r="D10" i="35"/>
  <c r="D12" i="35" s="1"/>
  <c r="E9" i="35"/>
  <c r="D9" i="35"/>
  <c r="F19" i="36"/>
  <c r="C19" i="36"/>
  <c r="D18" i="36"/>
  <c r="D17" i="36"/>
  <c r="E12" i="36"/>
  <c r="D12" i="36"/>
  <c r="E11" i="36"/>
  <c r="D11" i="36"/>
  <c r="F10" i="36"/>
  <c r="E10" i="36"/>
  <c r="D10" i="36"/>
  <c r="C10" i="36"/>
  <c r="C13" i="36" s="1"/>
  <c r="C21" i="36" s="1"/>
  <c r="E9" i="36"/>
  <c r="D9" i="36"/>
  <c r="E52" i="35" l="1"/>
  <c r="G149" i="20"/>
  <c r="F56" i="35"/>
  <c r="E149" i="20"/>
  <c r="D13" i="36"/>
  <c r="G146" i="20"/>
  <c r="F13" i="36"/>
  <c r="D66" i="20"/>
  <c r="D149" i="20"/>
  <c r="E19" i="36"/>
  <c r="B27" i="2"/>
  <c r="B30" i="2" s="1"/>
  <c r="H66" i="20"/>
  <c r="H74" i="20" s="1"/>
  <c r="F26" i="35"/>
  <c r="F58" i="35" s="1"/>
  <c r="E58" i="35" s="1"/>
  <c r="E148" i="20"/>
  <c r="E25" i="35"/>
  <c r="G148" i="20"/>
  <c r="E55" i="35"/>
  <c r="L149" i="20"/>
  <c r="G18" i="3"/>
  <c r="F18" i="3" s="1"/>
  <c r="D19" i="36"/>
  <c r="D20" i="35"/>
  <c r="D26" i="35" s="1"/>
  <c r="E20" i="35"/>
  <c r="F148" i="20"/>
  <c r="C56" i="35"/>
  <c r="C58" i="35" s="1"/>
  <c r="D56" i="35"/>
  <c r="D58" i="35"/>
  <c r="E56" i="35"/>
  <c r="E26" i="35"/>
  <c r="E12" i="35"/>
  <c r="E36" i="35"/>
  <c r="D52" i="35"/>
  <c r="D21" i="36"/>
  <c r="F21" i="36"/>
  <c r="E21" i="36" s="1"/>
  <c r="E13" i="36"/>
  <c r="B37" i="24" l="1"/>
  <c r="C65" i="23"/>
  <c r="C76" i="23" s="1"/>
  <c r="F48" i="31"/>
  <c r="G138" i="20" s="1"/>
  <c r="C48" i="31"/>
  <c r="F45" i="31"/>
  <c r="F138" i="20" s="1"/>
  <c r="C45" i="31"/>
  <c r="D44" i="31"/>
  <c r="D43" i="31"/>
  <c r="F42" i="31"/>
  <c r="E138" i="20" s="1"/>
  <c r="C42" i="31"/>
  <c r="C49" i="31" s="1"/>
  <c r="D41" i="31"/>
  <c r="D40" i="31"/>
  <c r="D39" i="31"/>
  <c r="E34" i="31"/>
  <c r="D34" i="31"/>
  <c r="F33" i="31"/>
  <c r="C33" i="31"/>
  <c r="D32" i="31"/>
  <c r="E31" i="31"/>
  <c r="D31" i="31"/>
  <c r="D30" i="31"/>
  <c r="E29" i="31"/>
  <c r="D29" i="31"/>
  <c r="E28" i="31"/>
  <c r="D28" i="31"/>
  <c r="E27" i="31"/>
  <c r="D27" i="31"/>
  <c r="D26" i="31"/>
  <c r="E25" i="31"/>
  <c r="D25" i="31"/>
  <c r="E24" i="31"/>
  <c r="D24" i="31"/>
  <c r="F23" i="31"/>
  <c r="C23" i="31"/>
  <c r="D22" i="31"/>
  <c r="E21" i="31"/>
  <c r="D21" i="31"/>
  <c r="C20" i="31"/>
  <c r="C35" i="31" s="1"/>
  <c r="C51" i="31" s="1"/>
  <c r="E19" i="31"/>
  <c r="D19" i="31"/>
  <c r="D18" i="31"/>
  <c r="E17" i="31"/>
  <c r="D17" i="31"/>
  <c r="E16" i="31"/>
  <c r="D16" i="31"/>
  <c r="E15" i="31"/>
  <c r="D15" i="31"/>
  <c r="E14" i="31"/>
  <c r="D14" i="31"/>
  <c r="E13" i="31"/>
  <c r="D13" i="31"/>
  <c r="E12" i="31"/>
  <c r="D12" i="31"/>
  <c r="F11" i="31"/>
  <c r="F20" i="31" s="1"/>
  <c r="D10" i="31"/>
  <c r="E9" i="31"/>
  <c r="D9" i="31"/>
  <c r="F25" i="32"/>
  <c r="C25" i="32"/>
  <c r="D24" i="32"/>
  <c r="D25" i="32" s="1"/>
  <c r="F20" i="32"/>
  <c r="C20" i="32"/>
  <c r="D19" i="32"/>
  <c r="D18" i="32"/>
  <c r="E17" i="32"/>
  <c r="D17" i="32"/>
  <c r="C13" i="32"/>
  <c r="C27" i="32" s="1"/>
  <c r="E12" i="32"/>
  <c r="D12" i="32"/>
  <c r="D11" i="32"/>
  <c r="F10" i="32"/>
  <c r="E10" i="32" s="1"/>
  <c r="C10" i="32"/>
  <c r="C9" i="32"/>
  <c r="E8" i="32"/>
  <c r="D8" i="32"/>
  <c r="F49" i="31" l="1"/>
  <c r="D20" i="32"/>
  <c r="E20" i="32"/>
  <c r="D23" i="31"/>
  <c r="F143" i="20"/>
  <c r="G9" i="3"/>
  <c r="F9" i="3" s="1"/>
  <c r="D49" i="31"/>
  <c r="E143" i="20"/>
  <c r="G8" i="3"/>
  <c r="F8" i="3" s="1"/>
  <c r="F9" i="32"/>
  <c r="E33" i="31"/>
  <c r="G143" i="20"/>
  <c r="G10" i="3"/>
  <c r="F10" i="3" s="1"/>
  <c r="F35" i="31"/>
  <c r="E20" i="31"/>
  <c r="D33" i="31"/>
  <c r="D11" i="31"/>
  <c r="D20" i="31" s="1"/>
  <c r="D9" i="32"/>
  <c r="D13" i="32" s="1"/>
  <c r="D27" i="32" s="1"/>
  <c r="D10" i="32"/>
  <c r="E9" i="32"/>
  <c r="F13" i="32" l="1"/>
  <c r="D143" i="20"/>
  <c r="D157" i="20" s="1"/>
  <c r="E159" i="20" s="1"/>
  <c r="D60" i="20"/>
  <c r="D74" i="20" s="1"/>
  <c r="D76" i="20" s="1"/>
  <c r="C15" i="3"/>
  <c r="B30" i="24"/>
  <c r="C22" i="23"/>
  <c r="D35" i="31"/>
  <c r="D51" i="31" s="1"/>
  <c r="B31" i="24"/>
  <c r="C23" i="23"/>
  <c r="B29" i="24"/>
  <c r="C21" i="23"/>
  <c r="E35" i="31"/>
  <c r="F51" i="31"/>
  <c r="E51" i="31" s="1"/>
  <c r="C17" i="3" l="1"/>
  <c r="B15" i="3"/>
  <c r="C24" i="3"/>
  <c r="B24" i="3" s="1"/>
  <c r="Q159" i="20"/>
  <c r="F27" i="32"/>
  <c r="E27" i="32" s="1"/>
  <c r="E13" i="32"/>
  <c r="C268" i="33"/>
  <c r="F267" i="33"/>
  <c r="E267" i="33" s="1"/>
  <c r="F266" i="33"/>
  <c r="D266" i="33" s="1"/>
  <c r="F265" i="33"/>
  <c r="F264" i="33"/>
  <c r="D264" i="33"/>
  <c r="F263" i="33"/>
  <c r="D263" i="33" s="1"/>
  <c r="D262" i="33"/>
  <c r="F261" i="33"/>
  <c r="C257" i="33"/>
  <c r="F256" i="33"/>
  <c r="F255" i="33"/>
  <c r="G122" i="20" s="1"/>
  <c r="C251" i="33"/>
  <c r="F250" i="33"/>
  <c r="F251" i="33" s="1"/>
  <c r="J117" i="20" s="1"/>
  <c r="C246" i="33"/>
  <c r="F245" i="33"/>
  <c r="E245" i="33" s="1"/>
  <c r="F244" i="33"/>
  <c r="D244" i="33" s="1"/>
  <c r="C240" i="33"/>
  <c r="F239" i="33"/>
  <c r="D239" i="33" s="1"/>
  <c r="F238" i="33"/>
  <c r="C234" i="33"/>
  <c r="F233" i="33"/>
  <c r="E233" i="33" s="1"/>
  <c r="C229" i="33"/>
  <c r="F228" i="33"/>
  <c r="D228" i="33" s="1"/>
  <c r="F227" i="33"/>
  <c r="D227" i="33" s="1"/>
  <c r="F226" i="33"/>
  <c r="D226" i="33" s="1"/>
  <c r="F225" i="33"/>
  <c r="D225" i="33" s="1"/>
  <c r="F224" i="33"/>
  <c r="E224" i="33" s="1"/>
  <c r="F223" i="33"/>
  <c r="E223" i="33" s="1"/>
  <c r="F222" i="33"/>
  <c r="D222" i="33" s="1"/>
  <c r="F221" i="33"/>
  <c r="E221" i="33" s="1"/>
  <c r="F220" i="33"/>
  <c r="D220" i="33" s="1"/>
  <c r="F219" i="33"/>
  <c r="F218" i="33"/>
  <c r="D218" i="33" s="1"/>
  <c r="F217" i="33"/>
  <c r="D217" i="33" s="1"/>
  <c r="F216" i="33"/>
  <c r="C212" i="33"/>
  <c r="F211" i="33"/>
  <c r="F212" i="33" s="1"/>
  <c r="C207" i="33"/>
  <c r="F206" i="33"/>
  <c r="D206" i="33" s="1"/>
  <c r="F205" i="33"/>
  <c r="F204" i="33"/>
  <c r="D204" i="33" s="1"/>
  <c r="F203" i="33"/>
  <c r="D203" i="33" s="1"/>
  <c r="F202" i="33"/>
  <c r="D201" i="33"/>
  <c r="F200" i="33"/>
  <c r="F199" i="33"/>
  <c r="C195" i="33"/>
  <c r="F194" i="33"/>
  <c r="D194" i="33" s="1"/>
  <c r="F193" i="33"/>
  <c r="C189" i="33"/>
  <c r="F188" i="33"/>
  <c r="E188" i="33" s="1"/>
  <c r="F187" i="33"/>
  <c r="D187" i="33" s="1"/>
  <c r="F186" i="33"/>
  <c r="E186" i="33" s="1"/>
  <c r="F185" i="33"/>
  <c r="D185" i="33"/>
  <c r="F184" i="33"/>
  <c r="D184" i="33" s="1"/>
  <c r="F183" i="33"/>
  <c r="E183" i="33" s="1"/>
  <c r="D183" i="33"/>
  <c r="F182" i="33"/>
  <c r="D182" i="33" s="1"/>
  <c r="F181" i="33"/>
  <c r="D181" i="33" s="1"/>
  <c r="F180" i="33"/>
  <c r="D180" i="33"/>
  <c r="F179" i="33"/>
  <c r="D179" i="33" s="1"/>
  <c r="F178" i="33"/>
  <c r="E178" i="33" s="1"/>
  <c r="F177" i="33"/>
  <c r="D177" i="33" s="1"/>
  <c r="F176" i="33"/>
  <c r="E176" i="33" s="1"/>
  <c r="F175" i="33"/>
  <c r="D175" i="33" s="1"/>
  <c r="F174" i="33"/>
  <c r="D174" i="33" s="1"/>
  <c r="F173" i="33"/>
  <c r="D173" i="33" s="1"/>
  <c r="F172" i="33"/>
  <c r="E172" i="33" s="1"/>
  <c r="F171" i="33"/>
  <c r="C167" i="33"/>
  <c r="F166" i="33"/>
  <c r="F165" i="33"/>
  <c r="E165" i="33" s="1"/>
  <c r="F164" i="33"/>
  <c r="F163" i="33"/>
  <c r="D163" i="33" s="1"/>
  <c r="F162" i="33"/>
  <c r="F161" i="33"/>
  <c r="D161" i="33" s="1"/>
  <c r="F160" i="33"/>
  <c r="E160" i="33" s="1"/>
  <c r="D159" i="33"/>
  <c r="F158" i="33"/>
  <c r="E158" i="33" s="1"/>
  <c r="D157" i="33"/>
  <c r="F156" i="33"/>
  <c r="E156" i="33" s="1"/>
  <c r="F155" i="33"/>
  <c r="D155" i="33" s="1"/>
  <c r="F154" i="33"/>
  <c r="E154" i="33" s="1"/>
  <c r="F153" i="33"/>
  <c r="D153" i="33"/>
  <c r="F152" i="33"/>
  <c r="D152" i="33" s="1"/>
  <c r="F151" i="33"/>
  <c r="E151" i="33" s="1"/>
  <c r="F150" i="33"/>
  <c r="D150" i="33" s="1"/>
  <c r="F149" i="33"/>
  <c r="E149" i="33" s="1"/>
  <c r="F148" i="33"/>
  <c r="D148" i="33" s="1"/>
  <c r="F147" i="33"/>
  <c r="C143" i="33"/>
  <c r="F142" i="33"/>
  <c r="E142" i="33" s="1"/>
  <c r="F141" i="33"/>
  <c r="D141" i="33" s="1"/>
  <c r="F140" i="33"/>
  <c r="E140" i="33" s="1"/>
  <c r="F139" i="33"/>
  <c r="E139" i="33" s="1"/>
  <c r="C135" i="33"/>
  <c r="F134" i="33"/>
  <c r="D134" i="33" s="1"/>
  <c r="F133" i="33"/>
  <c r="D132" i="33"/>
  <c r="D131" i="33"/>
  <c r="C127" i="33"/>
  <c r="F126" i="33"/>
  <c r="D126" i="33" s="1"/>
  <c r="F125" i="33"/>
  <c r="D125" i="33"/>
  <c r="F124" i="33"/>
  <c r="E124" i="33" s="1"/>
  <c r="D123" i="33"/>
  <c r="F122" i="33"/>
  <c r="E122" i="33" s="1"/>
  <c r="F121" i="33"/>
  <c r="D121" i="33" s="1"/>
  <c r="F120" i="33"/>
  <c r="C116" i="33"/>
  <c r="F115" i="33"/>
  <c r="D115" i="33"/>
  <c r="F114" i="33"/>
  <c r="F113" i="33"/>
  <c r="F131" i="20" s="1"/>
  <c r="E113" i="33"/>
  <c r="D113" i="33"/>
  <c r="F112" i="33"/>
  <c r="D112" i="33" s="1"/>
  <c r="F111" i="33"/>
  <c r="E131" i="20" s="1"/>
  <c r="D111" i="33"/>
  <c r="C107" i="33"/>
  <c r="F106" i="33"/>
  <c r="D106" i="33" s="1"/>
  <c r="F105" i="33"/>
  <c r="F104" i="33"/>
  <c r="D104" i="33" s="1"/>
  <c r="F103" i="33"/>
  <c r="F102" i="33"/>
  <c r="F101" i="33"/>
  <c r="E130" i="20" s="1"/>
  <c r="C97" i="33"/>
  <c r="F96" i="33"/>
  <c r="E96" i="33" s="1"/>
  <c r="C92" i="33"/>
  <c r="F91" i="33"/>
  <c r="D91" i="33" s="1"/>
  <c r="F90" i="33"/>
  <c r="D90" i="33"/>
  <c r="C86" i="33"/>
  <c r="F85" i="33"/>
  <c r="E85" i="33" s="1"/>
  <c r="D85" i="33"/>
  <c r="F84" i="33"/>
  <c r="D84" i="33" s="1"/>
  <c r="F83" i="33"/>
  <c r="E83" i="33" s="1"/>
  <c r="E82" i="33"/>
  <c r="D82" i="33"/>
  <c r="F81" i="33"/>
  <c r="D81" i="33" s="1"/>
  <c r="F80" i="33"/>
  <c r="D80" i="33" s="1"/>
  <c r="C76" i="33"/>
  <c r="F75" i="33"/>
  <c r="E75" i="33" s="1"/>
  <c r="F74" i="33"/>
  <c r="D74" i="33" s="1"/>
  <c r="F73" i="33"/>
  <c r="E73" i="33" s="1"/>
  <c r="F72" i="33"/>
  <c r="D72" i="33" s="1"/>
  <c r="F71" i="33"/>
  <c r="D71" i="33" s="1"/>
  <c r="F70" i="33"/>
  <c r="D70" i="33" s="1"/>
  <c r="F69" i="33"/>
  <c r="D69" i="33" s="1"/>
  <c r="C65" i="33"/>
  <c r="F64" i="33"/>
  <c r="D64" i="33" s="1"/>
  <c r="F63" i="33"/>
  <c r="D63" i="33" s="1"/>
  <c r="D62" i="33"/>
  <c r="D61" i="33"/>
  <c r="F60" i="33"/>
  <c r="E60" i="33" s="1"/>
  <c r="D59" i="33"/>
  <c r="F58" i="33"/>
  <c r="E58" i="33" s="1"/>
  <c r="F57" i="33"/>
  <c r="D57" i="33" s="1"/>
  <c r="F56" i="33"/>
  <c r="D56" i="33" s="1"/>
  <c r="D55" i="33"/>
  <c r="F54" i="33"/>
  <c r="D54" i="33" s="1"/>
  <c r="C50" i="33"/>
  <c r="D49" i="33"/>
  <c r="F48" i="33"/>
  <c r="D48" i="33" s="1"/>
  <c r="F47" i="33"/>
  <c r="D47" i="33" s="1"/>
  <c r="F46" i="33"/>
  <c r="D46" i="33" s="1"/>
  <c r="F45" i="33"/>
  <c r="D45" i="33" s="1"/>
  <c r="F44" i="33"/>
  <c r="D44" i="33" s="1"/>
  <c r="F43" i="33"/>
  <c r="F42" i="33"/>
  <c r="D42" i="33" s="1"/>
  <c r="F41" i="33"/>
  <c r="D41" i="33" s="1"/>
  <c r="F40" i="33"/>
  <c r="D39" i="33"/>
  <c r="D38" i="33"/>
  <c r="D37" i="33"/>
  <c r="F36" i="33"/>
  <c r="D36" i="33" s="1"/>
  <c r="F35" i="33"/>
  <c r="D35" i="33" s="1"/>
  <c r="F34" i="33"/>
  <c r="D34" i="33" s="1"/>
  <c r="F33" i="33"/>
  <c r="D33" i="33" s="1"/>
  <c r="F32" i="33"/>
  <c r="E32" i="33" s="1"/>
  <c r="F31" i="33"/>
  <c r="D31" i="33" s="1"/>
  <c r="F30" i="33"/>
  <c r="E30" i="33" s="1"/>
  <c r="F29" i="33"/>
  <c r="E29" i="33" s="1"/>
  <c r="F28" i="33"/>
  <c r="D28" i="33" s="1"/>
  <c r="F27" i="33"/>
  <c r="D27" i="33" s="1"/>
  <c r="F26" i="33"/>
  <c r="E26" i="33" s="1"/>
  <c r="F25" i="33"/>
  <c r="D25" i="33"/>
  <c r="F24" i="33"/>
  <c r="E24" i="33" s="1"/>
  <c r="F23" i="33"/>
  <c r="E23" i="33" s="1"/>
  <c r="F22" i="33"/>
  <c r="E22" i="33" s="1"/>
  <c r="F21" i="33"/>
  <c r="E21" i="33" s="1"/>
  <c r="F20" i="33"/>
  <c r="D20" i="33" s="1"/>
  <c r="F19" i="33"/>
  <c r="F18" i="33"/>
  <c r="D18" i="33" s="1"/>
  <c r="F17" i="33"/>
  <c r="F16" i="33"/>
  <c r="E16" i="33" s="1"/>
  <c r="F15" i="33"/>
  <c r="D15" i="33" s="1"/>
  <c r="F14" i="33"/>
  <c r="E14" i="33" s="1"/>
  <c r="F13" i="33"/>
  <c r="D13" i="33" s="1"/>
  <c r="F12" i="33"/>
  <c r="D12" i="33" s="1"/>
  <c r="D11" i="33"/>
  <c r="F10" i="33"/>
  <c r="D10" i="33" s="1"/>
  <c r="F145" i="34"/>
  <c r="C145" i="34"/>
  <c r="D144" i="34"/>
  <c r="D145" i="34" s="1"/>
  <c r="F140" i="34"/>
  <c r="C140" i="34"/>
  <c r="D139" i="34"/>
  <c r="D138" i="34"/>
  <c r="D137" i="34"/>
  <c r="E136" i="34"/>
  <c r="D136" i="34"/>
  <c r="D135" i="34"/>
  <c r="D134" i="34"/>
  <c r="E133" i="34"/>
  <c r="D133" i="34"/>
  <c r="E132" i="34"/>
  <c r="D132" i="34"/>
  <c r="E131" i="34"/>
  <c r="D131" i="34"/>
  <c r="E130" i="34"/>
  <c r="D130" i="34"/>
  <c r="D140" i="34" s="1"/>
  <c r="F126" i="34"/>
  <c r="C126" i="34"/>
  <c r="F125" i="34"/>
  <c r="D125" i="34"/>
  <c r="D124" i="34"/>
  <c r="D126" i="34" s="1"/>
  <c r="F120" i="34"/>
  <c r="C120" i="34"/>
  <c r="D119" i="34"/>
  <c r="D118" i="34"/>
  <c r="D120" i="34" s="1"/>
  <c r="F114" i="34"/>
  <c r="C114" i="34"/>
  <c r="E114" i="34" s="1"/>
  <c r="E113" i="34"/>
  <c r="D113" i="34"/>
  <c r="E112" i="34"/>
  <c r="D112" i="34"/>
  <c r="F108" i="34"/>
  <c r="C108" i="34"/>
  <c r="D107" i="34"/>
  <c r="D108" i="34" s="1"/>
  <c r="F103" i="34"/>
  <c r="C103" i="34"/>
  <c r="E102" i="34"/>
  <c r="E103" i="34" s="1"/>
  <c r="D102" i="34"/>
  <c r="D103" i="34" s="1"/>
  <c r="F98" i="34"/>
  <c r="E98" i="34"/>
  <c r="D98" i="34"/>
  <c r="C98" i="34"/>
  <c r="D97" i="34"/>
  <c r="F93" i="34"/>
  <c r="E93" i="34"/>
  <c r="C93" i="34"/>
  <c r="D92" i="34"/>
  <c r="E91" i="34"/>
  <c r="D91" i="34"/>
  <c r="D93" i="34" s="1"/>
  <c r="F87" i="34"/>
  <c r="E87" i="34"/>
  <c r="D87" i="34"/>
  <c r="C87" i="34"/>
  <c r="D86" i="34"/>
  <c r="F82" i="34"/>
  <c r="E82" i="34"/>
  <c r="C82" i="34"/>
  <c r="D81" i="34"/>
  <c r="D82" i="34" s="1"/>
  <c r="F77" i="34"/>
  <c r="C18" i="3" s="1"/>
  <c r="B18" i="3" s="1"/>
  <c r="B19" i="24" s="1"/>
  <c r="N19" i="24" s="1"/>
  <c r="N20" i="24" s="1"/>
  <c r="C77" i="34"/>
  <c r="E76" i="34"/>
  <c r="E77" i="34" s="1"/>
  <c r="D76" i="34"/>
  <c r="D77" i="34" s="1"/>
  <c r="C71" i="34"/>
  <c r="D70" i="34"/>
  <c r="D69" i="34"/>
  <c r="D68" i="34"/>
  <c r="D67" i="34"/>
  <c r="D66" i="34"/>
  <c r="D65" i="34"/>
  <c r="D64" i="34"/>
  <c r="D63" i="34"/>
  <c r="F62" i="34"/>
  <c r="D62" i="34"/>
  <c r="E60" i="34"/>
  <c r="D60" i="34"/>
  <c r="E59" i="34"/>
  <c r="D59" i="34"/>
  <c r="E58" i="34"/>
  <c r="D58" i="34"/>
  <c r="F57" i="34"/>
  <c r="E57" i="34"/>
  <c r="D57" i="34"/>
  <c r="E56" i="34"/>
  <c r="D56" i="34"/>
  <c r="F55" i="34"/>
  <c r="E55" i="34"/>
  <c r="E54" i="34"/>
  <c r="D54" i="34"/>
  <c r="F53" i="34"/>
  <c r="D52" i="34"/>
  <c r="E51" i="34"/>
  <c r="D51" i="34"/>
  <c r="E50" i="34"/>
  <c r="D50" i="34"/>
  <c r="E49" i="34"/>
  <c r="D49" i="34"/>
  <c r="E48" i="34"/>
  <c r="D48" i="34"/>
  <c r="E47" i="34"/>
  <c r="D47" i="34"/>
  <c r="E46" i="34"/>
  <c r="D46" i="34"/>
  <c r="F45" i="34"/>
  <c r="D45" i="34" s="1"/>
  <c r="F40" i="34"/>
  <c r="D40" i="34"/>
  <c r="C40" i="34"/>
  <c r="C147" i="34" s="1"/>
  <c r="E38" i="34"/>
  <c r="E40" i="34" s="1"/>
  <c r="D38" i="34"/>
  <c r="F34" i="34"/>
  <c r="E34" i="34"/>
  <c r="C34" i="34"/>
  <c r="D33" i="34"/>
  <c r="D32" i="34"/>
  <c r="D31" i="34"/>
  <c r="F24" i="34"/>
  <c r="E24" i="34" s="1"/>
  <c r="D24" i="34"/>
  <c r="D23" i="34"/>
  <c r="D22" i="34"/>
  <c r="E21" i="34"/>
  <c r="D21" i="34"/>
  <c r="E20" i="34"/>
  <c r="D20" i="34"/>
  <c r="D19" i="34"/>
  <c r="D18" i="34"/>
  <c r="E17" i="34"/>
  <c r="D17" i="34"/>
  <c r="D16" i="34"/>
  <c r="E15" i="34"/>
  <c r="D15" i="34"/>
  <c r="D14" i="34"/>
  <c r="D13" i="34"/>
  <c r="D12" i="34"/>
  <c r="D11" i="34"/>
  <c r="D10" i="34"/>
  <c r="E53" i="34" l="1"/>
  <c r="B11" i="18"/>
  <c r="E140" i="34"/>
  <c r="G96" i="20"/>
  <c r="B21" i="24"/>
  <c r="C79" i="23"/>
  <c r="E62" i="34"/>
  <c r="B13" i="18"/>
  <c r="D114" i="34"/>
  <c r="C272" i="33"/>
  <c r="D250" i="33"/>
  <c r="D251" i="33" s="1"/>
  <c r="B18" i="24"/>
  <c r="B20" i="24" s="1"/>
  <c r="C14" i="23"/>
  <c r="C20" i="23" s="1"/>
  <c r="C77" i="23" s="1"/>
  <c r="B17" i="3"/>
  <c r="B23" i="3" s="1"/>
  <c r="B25" i="3" s="1"/>
  <c r="D55" i="34"/>
  <c r="B12" i="18"/>
  <c r="D34" i="34"/>
  <c r="E187" i="33"/>
  <c r="D245" i="33"/>
  <c r="C23" i="3"/>
  <c r="C25" i="3" s="1"/>
  <c r="D29" i="33"/>
  <c r="F135" i="33"/>
  <c r="E103" i="20"/>
  <c r="D211" i="33"/>
  <c r="D212" i="33" s="1"/>
  <c r="E13" i="33"/>
  <c r="E27" i="33"/>
  <c r="G131" i="20"/>
  <c r="E134" i="33"/>
  <c r="D172" i="33"/>
  <c r="E175" i="33"/>
  <c r="E211" i="33"/>
  <c r="D43" i="33"/>
  <c r="L90" i="20"/>
  <c r="D103" i="33"/>
  <c r="G130" i="20"/>
  <c r="D120" i="33"/>
  <c r="G88" i="20"/>
  <c r="E135" i="33"/>
  <c r="K87" i="20"/>
  <c r="D205" i="33"/>
  <c r="L96" i="20"/>
  <c r="E216" i="33"/>
  <c r="E99" i="20"/>
  <c r="D219" i="33"/>
  <c r="F99" i="20"/>
  <c r="E265" i="33"/>
  <c r="J115" i="20"/>
  <c r="J157" i="20" s="1"/>
  <c r="D147" i="33"/>
  <c r="E93" i="20"/>
  <c r="E180" i="33"/>
  <c r="G103" i="20"/>
  <c r="D193" i="33"/>
  <c r="D195" i="33" s="1"/>
  <c r="G104" i="20"/>
  <c r="D200" i="33"/>
  <c r="F96" i="20"/>
  <c r="E90" i="20"/>
  <c r="D17" i="33"/>
  <c r="F90" i="20"/>
  <c r="D24" i="33"/>
  <c r="D105" i="33"/>
  <c r="L130" i="20"/>
  <c r="E125" i="33"/>
  <c r="K88" i="20"/>
  <c r="D151" i="33"/>
  <c r="F93" i="20"/>
  <c r="E153" i="33"/>
  <c r="G93" i="20"/>
  <c r="E164" i="33"/>
  <c r="K93" i="20"/>
  <c r="D171" i="33"/>
  <c r="D178" i="33"/>
  <c r="F103" i="20"/>
  <c r="E212" i="33"/>
  <c r="I124" i="20"/>
  <c r="I157" i="20" s="1"/>
  <c r="E220" i="33"/>
  <c r="G99" i="20"/>
  <c r="D224" i="33"/>
  <c r="D261" i="33"/>
  <c r="G115" i="20"/>
  <c r="E19" i="33"/>
  <c r="G90" i="20"/>
  <c r="D162" i="33"/>
  <c r="L93" i="20"/>
  <c r="D166" i="33"/>
  <c r="M93" i="20"/>
  <c r="M157" i="20" s="1"/>
  <c r="F207" i="33"/>
  <c r="E96" i="20"/>
  <c r="D256" i="33"/>
  <c r="D257" i="33" s="1"/>
  <c r="H122" i="20"/>
  <c r="E40" i="33"/>
  <c r="P90" i="20"/>
  <c r="P157" i="20" s="1"/>
  <c r="D22" i="33"/>
  <c r="D26" i="33"/>
  <c r="D102" i="33"/>
  <c r="F130" i="20"/>
  <c r="D114" i="33"/>
  <c r="D116" i="33" s="1"/>
  <c r="D133" i="33"/>
  <c r="D135" i="33" s="1"/>
  <c r="D158" i="33"/>
  <c r="E171" i="33"/>
  <c r="E184" i="33"/>
  <c r="D186" i="33"/>
  <c r="D202" i="33"/>
  <c r="E219" i="33"/>
  <c r="F50" i="33"/>
  <c r="E50" i="33" s="1"/>
  <c r="D16" i="33"/>
  <c r="E20" i="33"/>
  <c r="E41" i="33"/>
  <c r="D73" i="33"/>
  <c r="F92" i="33"/>
  <c r="E141" i="33"/>
  <c r="E147" i="33"/>
  <c r="D160" i="33"/>
  <c r="D165" i="33"/>
  <c r="D267" i="33"/>
  <c r="D30" i="33"/>
  <c r="D75" i="33"/>
  <c r="E81" i="33"/>
  <c r="F127" i="33"/>
  <c r="E127" i="33" s="1"/>
  <c r="D154" i="33"/>
  <c r="D164" i="33"/>
  <c r="E181" i="33"/>
  <c r="D221" i="33"/>
  <c r="D246" i="33"/>
  <c r="F257" i="33"/>
  <c r="E257" i="33" s="1"/>
  <c r="D92" i="33"/>
  <c r="E15" i="33"/>
  <c r="E17" i="33"/>
  <c r="D19" i="33"/>
  <c r="D23" i="33"/>
  <c r="D32" i="33"/>
  <c r="F107" i="33"/>
  <c r="F116" i="33"/>
  <c r="E116" i="33" s="1"/>
  <c r="E121" i="33"/>
  <c r="D140" i="33"/>
  <c r="D156" i="33"/>
  <c r="D223" i="33"/>
  <c r="F240" i="33"/>
  <c r="G100" i="20" s="1"/>
  <c r="F246" i="33"/>
  <c r="E266" i="33"/>
  <c r="E268" i="33" s="1"/>
  <c r="D76" i="33"/>
  <c r="E92" i="33"/>
  <c r="F143" i="33"/>
  <c r="F167" i="33"/>
  <c r="E167" i="33" s="1"/>
  <c r="F86" i="33"/>
  <c r="D101" i="33"/>
  <c r="E111" i="33"/>
  <c r="E120" i="33"/>
  <c r="E133" i="33"/>
  <c r="D199" i="33"/>
  <c r="F229" i="33"/>
  <c r="E229" i="33" s="1"/>
  <c r="D238" i="33"/>
  <c r="D240" i="33" s="1"/>
  <c r="E244" i="33"/>
  <c r="E256" i="33"/>
  <c r="F97" i="33"/>
  <c r="F195" i="33"/>
  <c r="E195" i="33" s="1"/>
  <c r="D40" i="33"/>
  <c r="D58" i="33"/>
  <c r="D60" i="33"/>
  <c r="F65" i="33"/>
  <c r="F76" i="33"/>
  <c r="D83" i="33"/>
  <c r="D86" i="33" s="1"/>
  <c r="D96" i="33"/>
  <c r="D97" i="33" s="1"/>
  <c r="D122" i="33"/>
  <c r="D124" i="33"/>
  <c r="D142" i="33"/>
  <c r="D149" i="33"/>
  <c r="D176" i="33"/>
  <c r="D188" i="33"/>
  <c r="D216" i="33"/>
  <c r="D233" i="33"/>
  <c r="D234" i="33" s="1"/>
  <c r="D265" i="33"/>
  <c r="D268" i="33" s="1"/>
  <c r="F268" i="33"/>
  <c r="F189" i="33"/>
  <c r="E189" i="33" s="1"/>
  <c r="F234" i="33"/>
  <c r="D14" i="33"/>
  <c r="D21" i="33"/>
  <c r="F44" i="34"/>
  <c r="B10" i="18" s="1"/>
  <c r="D53" i="34"/>
  <c r="B14" i="18" l="1"/>
  <c r="F157" i="20"/>
  <c r="E76" i="33"/>
  <c r="G89" i="20"/>
  <c r="K157" i="20"/>
  <c r="E246" i="33"/>
  <c r="G101" i="20"/>
  <c r="E234" i="33"/>
  <c r="H105" i="20"/>
  <c r="D167" i="33"/>
  <c r="E97" i="33"/>
  <c r="G15" i="3"/>
  <c r="E143" i="33"/>
  <c r="G92" i="20"/>
  <c r="H95" i="20"/>
  <c r="G14" i="3"/>
  <c r="L157" i="20"/>
  <c r="E86" i="33"/>
  <c r="G91" i="20"/>
  <c r="E65" i="33"/>
  <c r="G136" i="20"/>
  <c r="D229" i="33"/>
  <c r="D207" i="33"/>
  <c r="D107" i="33"/>
  <c r="E157" i="20"/>
  <c r="D143" i="33"/>
  <c r="D65" i="33"/>
  <c r="D50" i="33"/>
  <c r="D189" i="33"/>
  <c r="D127" i="33"/>
  <c r="F272" i="33"/>
  <c r="F274" i="33" s="1"/>
  <c r="F71" i="34"/>
  <c r="E44" i="34"/>
  <c r="D44" i="34"/>
  <c r="D71" i="34" s="1"/>
  <c r="D147" i="34" s="1"/>
  <c r="E272" i="33" l="1"/>
  <c r="G157" i="20"/>
  <c r="F14" i="3"/>
  <c r="G17" i="3"/>
  <c r="G23" i="3" s="1"/>
  <c r="G24" i="3"/>
  <c r="F24" i="3" s="1"/>
  <c r="B42" i="24" s="1"/>
  <c r="F15" i="3"/>
  <c r="H157" i="20"/>
  <c r="D272" i="33"/>
  <c r="E71" i="34"/>
  <c r="F147" i="34"/>
  <c r="B35" i="24" l="1"/>
  <c r="C26" i="23"/>
  <c r="B36" i="24"/>
  <c r="C29" i="23"/>
  <c r="G25" i="3"/>
  <c r="F17" i="3"/>
  <c r="F23" i="3" s="1"/>
  <c r="F25" i="3" s="1"/>
  <c r="E147" i="34"/>
  <c r="F150" i="34"/>
  <c r="C33" i="23" l="1"/>
  <c r="B33" i="2"/>
  <c r="B17" i="2"/>
  <c r="B34" i="2" l="1"/>
  <c r="E158" i="20"/>
  <c r="B12" i="5" l="1"/>
  <c r="C157" i="20" l="1"/>
  <c r="D75" i="20"/>
  <c r="Q158" i="20" s="1"/>
  <c r="C74" i="20"/>
  <c r="C18" i="22"/>
  <c r="C20" i="22" s="1"/>
  <c r="C36" i="21" l="1"/>
  <c r="D14" i="28" l="1"/>
  <c r="E14" i="28"/>
  <c r="C14" i="28"/>
  <c r="D6" i="28"/>
  <c r="E6" i="28"/>
  <c r="N22" i="24" l="1"/>
  <c r="B41" i="24"/>
  <c r="C41" i="24" l="1"/>
  <c r="D22" i="24"/>
  <c r="E22" i="24"/>
  <c r="F22" i="24"/>
  <c r="G22" i="24"/>
  <c r="I22" i="24"/>
  <c r="J22" i="24"/>
  <c r="K22" i="24"/>
  <c r="M22" i="24"/>
  <c r="C22" i="24" l="1"/>
  <c r="C43" i="24"/>
  <c r="L22" i="24"/>
  <c r="H22" i="24"/>
  <c r="B43" i="24"/>
  <c r="B22" i="24"/>
  <c r="D41" i="24"/>
  <c r="D43" i="24" s="1"/>
  <c r="E41" i="24"/>
  <c r="E43" i="24" s="1"/>
  <c r="F41" i="24"/>
  <c r="F43" i="24" s="1"/>
  <c r="G41" i="24"/>
  <c r="G43" i="24" s="1"/>
  <c r="H41" i="24"/>
  <c r="H43" i="24" s="1"/>
  <c r="I41" i="24"/>
  <c r="J41" i="24"/>
  <c r="J43" i="24" s="1"/>
  <c r="K41" i="24"/>
  <c r="K43" i="24" s="1"/>
  <c r="L41" i="24"/>
  <c r="L43" i="24" s="1"/>
  <c r="M41" i="24"/>
  <c r="N41" i="24"/>
  <c r="C16" i="25"/>
  <c r="E33" i="23"/>
  <c r="E76" i="23"/>
  <c r="D33" i="23"/>
  <c r="D76" i="23"/>
  <c r="E64" i="23"/>
  <c r="D64" i="23"/>
  <c r="M43" i="24" l="1"/>
  <c r="E77" i="23"/>
  <c r="I43" i="24"/>
  <c r="D78" i="23"/>
  <c r="D80" i="23" s="1"/>
  <c r="C78" i="23"/>
  <c r="C80" i="23" s="1"/>
  <c r="D77" i="23"/>
  <c r="D77" i="20"/>
  <c r="E160" i="20"/>
  <c r="E78" i="23"/>
  <c r="E80" i="23" s="1"/>
  <c r="Q160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Szabó Marika</author>
  </authors>
  <commentList>
    <comment ref="A3" authorId="0" shapeId="0" xr:uid="{00000000-0006-0000-0300-000001000000}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<sst xmlns="http://schemas.openxmlformats.org/spreadsheetml/2006/main" count="2032" uniqueCount="755">
  <si>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</si>
  <si>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</si>
  <si>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</si>
  <si>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</si>
  <si>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</si>
  <si>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</si>
  <si>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</si>
  <si>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</si>
  <si>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</si>
  <si>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</si>
  <si>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</si>
  <si>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eFt</t>
  </si>
  <si>
    <t>Cím</t>
  </si>
  <si>
    <t>Alcím</t>
  </si>
  <si>
    <t>Cím neve</t>
  </si>
  <si>
    <t>1.</t>
  </si>
  <si>
    <t>Közutak, hidak, alagutak üzemeltetése, fenntartása</t>
  </si>
  <si>
    <t>Óvodai intézményi étkeztetés</t>
  </si>
  <si>
    <t>Iskolai intézményi étkeztetés</t>
  </si>
  <si>
    <t xml:space="preserve">Közvilágítás 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</si>
  <si>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</si>
  <si>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</si>
  <si>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</si>
  <si>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</si>
  <si>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</si>
  <si>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</si>
  <si>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</si>
  <si>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</si>
  <si>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</si>
  <si>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</si>
  <si>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</si>
  <si>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</si>
  <si>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</si>
  <si>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 xml:space="preserve">Könyvtári szolgáltatások       </t>
  </si>
  <si>
    <t>Köztemető fenntartás és működtetés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</si>
  <si>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</si>
  <si>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</si>
  <si>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</si>
  <si>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</si>
  <si>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</si>
  <si>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</si>
  <si>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</si>
  <si>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</si>
  <si>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</si>
  <si>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</si>
  <si>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</si>
  <si>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</si>
  <si>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</si>
  <si>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</si>
  <si>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</si>
  <si>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</si>
  <si>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</si>
  <si>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</si>
  <si>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</si>
  <si>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</si>
  <si>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</si>
  <si>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</si>
  <si>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</si>
  <si>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</si>
  <si>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</si>
  <si>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</si>
  <si>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</si>
  <si>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</si>
  <si>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</si>
  <si>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</si>
  <si>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</si>
  <si>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</si>
  <si>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</si>
  <si>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</si>
  <si>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</si>
  <si>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</si>
  <si>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</si>
  <si>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</si>
  <si>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</si>
  <si>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</si>
  <si>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</si>
  <si>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</si>
  <si>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</si>
  <si>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</si>
  <si>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</si>
  <si>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</si>
  <si>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</si>
  <si>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</si>
  <si>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</si>
  <si>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</si>
  <si>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</si>
  <si>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</si>
  <si>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</si>
  <si>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</si>
  <si>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</si>
  <si>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</si>
  <si>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</si>
  <si>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</si>
  <si>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</si>
  <si>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</si>
  <si>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</si>
  <si>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</si>
  <si>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</si>
  <si>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</si>
  <si>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</si>
  <si>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</si>
  <si>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</si>
  <si>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</si>
  <si>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</si>
  <si>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</si>
  <si>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</si>
  <si>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</si>
  <si>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</si>
  <si>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</si>
  <si>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</si>
  <si>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</si>
  <si>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</si>
  <si>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</si>
  <si>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</si>
  <si>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</si>
  <si>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</si>
  <si>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</si>
  <si>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</si>
  <si>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</si>
  <si>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</si>
  <si>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</si>
  <si>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</si>
  <si>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</si>
  <si>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</si>
  <si>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</si>
  <si>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</si>
  <si>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</si>
  <si>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</si>
  <si>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</si>
  <si>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</si>
  <si>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</si>
  <si>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</si>
  <si>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</si>
  <si>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</si>
  <si>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</si>
  <si>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</si>
  <si>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</si>
  <si>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</si>
  <si>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</si>
  <si>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</si>
  <si>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</si>
  <si>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</si>
  <si>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</si>
  <si>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</si>
  <si>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</si>
  <si>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</si>
  <si>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</si>
  <si>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</si>
  <si>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</si>
  <si>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</si>
  <si>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</si>
  <si>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</si>
  <si>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</si>
  <si>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</si>
  <si>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</si>
  <si>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</si>
  <si>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</si>
  <si>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</si>
  <si>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</si>
  <si>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</si>
  <si>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</si>
  <si>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</si>
  <si>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</si>
  <si>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</si>
  <si>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</si>
  <si>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</si>
  <si>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</si>
  <si>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</si>
  <si>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</si>
  <si>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</si>
  <si>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</si>
  <si>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</si>
  <si>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</si>
  <si>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</si>
  <si>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</si>
  <si>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</si>
  <si>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</si>
  <si>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</si>
  <si>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</si>
  <si>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</si>
  <si>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</si>
  <si>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</si>
  <si>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</si>
  <si>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</si>
  <si>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</si>
  <si>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</si>
  <si>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</si>
  <si>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</si>
  <si>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</si>
  <si>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</si>
  <si>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</si>
  <si>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</si>
  <si>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</si>
  <si>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</si>
  <si>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</si>
  <si>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</si>
  <si>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</si>
  <si>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</si>
  <si>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</si>
  <si>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</si>
  <si>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</si>
  <si>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</si>
  <si>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</si>
  <si>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</si>
  <si>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</si>
  <si>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</si>
  <si>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</si>
  <si>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</si>
  <si>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</si>
  <si>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</si>
  <si>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</si>
  <si>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</si>
  <si>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</si>
  <si>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</si>
  <si>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</si>
  <si>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</si>
  <si>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</si>
  <si>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</si>
  <si>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Szolgáltatások ellenértéke</t>
  </si>
  <si>
    <t>Közhatalmi bevételek</t>
  </si>
  <si>
    <t xml:space="preserve">Ellátottak pénzbeli juttatásai </t>
  </si>
  <si>
    <t>Beruházások</t>
  </si>
  <si>
    <t>Beruházások összesen</t>
  </si>
  <si>
    <t>Felújítások</t>
  </si>
  <si>
    <t xml:space="preserve">Céltartalék 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</si>
  <si>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</si>
  <si>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</si>
  <si>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</si>
  <si>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</si>
  <si>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</si>
  <si>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</si>
  <si>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</si>
  <si>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</si>
  <si>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</si>
  <si>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</si>
  <si>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</si>
  <si>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</si>
  <si>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</si>
  <si>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</si>
  <si>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</si>
  <si>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</si>
  <si>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</si>
  <si>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</si>
  <si>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</si>
  <si>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Fogorvosi alapellátás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</si>
  <si>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</si>
  <si>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</si>
  <si>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</si>
  <si>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</si>
  <si>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</si>
  <si>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</si>
  <si>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</si>
  <si>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</si>
  <si>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</si>
  <si>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</si>
  <si>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Európai parlamenti képviselőválasztásokhoz kapcsolódó tevékenységek</t>
  </si>
  <si>
    <t>Kálmánfi Béla Művelődési Ház és Könyvtár</t>
  </si>
  <si>
    <t>Könyvtári állomány gyarapítása, nyilvántartása</t>
  </si>
  <si>
    <t>Könyvtári állományfeltárása, megőrzése, védelme</t>
  </si>
  <si>
    <t>Maradvány igénybevétele (B813) közös hivatal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</si>
  <si>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</si>
  <si>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</si>
  <si>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</si>
  <si>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</si>
  <si>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Céltartalék összesen:</t>
  </si>
  <si>
    <t>Műk. c. támog. államh.-on belülről</t>
  </si>
  <si>
    <t>Belföldi finanszírozás kiadásai</t>
  </si>
  <si>
    <t>Működési célú tám. államh.-on belülről</t>
  </si>
  <si>
    <t xml:space="preserve">Az adósságot keletkeztető ügyletekből és kezességvállalásból fennálló kötelezettségek és a saját bevételek kimutatása  </t>
  </si>
  <si>
    <t>Saját bevétel</t>
  </si>
  <si>
    <t>Helyi adókból származó bevétel</t>
  </si>
  <si>
    <t>1.1.</t>
  </si>
  <si>
    <t>Az önkormányzati vagyon és az önkormányzatot megillető vagyoni értékű jog érétkesítéséből és hasznosításából származó bevétel</t>
  </si>
  <si>
    <t>1.2.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</si>
  <si>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</si>
  <si>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</si>
  <si>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</si>
  <si>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</si>
  <si>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</si>
  <si>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</si>
  <si>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</si>
  <si>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</si>
  <si>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</si>
  <si>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</si>
  <si>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</si>
  <si>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</si>
  <si>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</si>
  <si>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</si>
  <si>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</si>
  <si>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</si>
  <si>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Pénzügyi lízing szerződésben kikötött hátralevő tőkerész</t>
  </si>
  <si>
    <t>3.4.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</si>
  <si>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</si>
  <si>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</si>
  <si>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</si>
  <si>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</si>
  <si>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</si>
  <si>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</si>
  <si>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Felújítások összesen</t>
  </si>
  <si>
    <t>összesen</t>
  </si>
  <si>
    <t>kötelező feladat</t>
  </si>
  <si>
    <t>önként vállalt feladat</t>
  </si>
  <si>
    <t>Önkormányzatok működési támogatása (B11)</t>
  </si>
  <si>
    <t>Felújítások (K7)</t>
  </si>
  <si>
    <t>Műk.c.támogatások államh.-on belülről(B6)</t>
  </si>
  <si>
    <t>Maradvány igénybevétele (B813)művelődési ház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</si>
  <si>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</si>
  <si>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</si>
  <si>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</si>
  <si>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Város-, községgazdálkodási egyéb szolgáltatások</t>
  </si>
  <si>
    <t>Önkormányzatok elszámolásai a központi költségvetéssel</t>
  </si>
  <si>
    <t>Óvodai nevelés, ellátás működtetési feladatai</t>
  </si>
  <si>
    <t>Köznevelési intézmény 5-8. évfolyamán tanulók nevelésével, oktatásával összefüggő működtetési feladatok</t>
  </si>
  <si>
    <t>Idős, demens betegek nappali ellátása</t>
  </si>
  <si>
    <t>Munkanélküli aktív korúak ellátásai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</si>
  <si>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</si>
  <si>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</si>
  <si>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</si>
  <si>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Start-munka program - Téli közfoglalkoztatás</t>
  </si>
  <si>
    <t>Hosszabb időtartamú közfoglalkoztatás</t>
  </si>
  <si>
    <t>Országos közfoglalkoztatási program</t>
  </si>
  <si>
    <t>Országygűlési, önkormányzati és európai parlamenti képviselőválasztásokhoz kapcsolódó tevékenységek</t>
  </si>
  <si>
    <t>Országos és helyi népszavazással kapcsolatos tevékenységek</t>
  </si>
  <si>
    <t>Átfogó tervezési és statisztikai szolgáltatások</t>
  </si>
  <si>
    <t>Támogatási célú finanszírozási műveletek</t>
  </si>
  <si>
    <t>Közművelődés-hagyományos közösségi kulturális értékek gondozása</t>
  </si>
  <si>
    <t>Lakásfenntartással, lakhatással öszefüggő ellátások</t>
  </si>
  <si>
    <t>Óvodai nevelés, ellátás szakmai feladatai</t>
  </si>
  <si>
    <t>Nemzetiségi óvodai nevelés, ellátás szakmai feladatai</t>
  </si>
  <si>
    <t>Az önkormányzati vagyonnal való gazdálkodással kapcs.felad.</t>
  </si>
  <si>
    <t>Kormányzati funkció</t>
  </si>
  <si>
    <t>Közművelődés-hagyományos közösségi kult. értékek gondozása</t>
  </si>
  <si>
    <t>Egyéb szociális pénzbeli és természetbeni ellátások, tám.</t>
  </si>
  <si>
    <t xml:space="preserve">3. </t>
  </si>
  <si>
    <t xml:space="preserve">4. </t>
  </si>
  <si>
    <t>Felhalmozási kiadások összesen</t>
  </si>
  <si>
    <t xml:space="preserve">Közhatalmi bevételek </t>
  </si>
  <si>
    <t xml:space="preserve">Önkormányzatok működési támogatása </t>
  </si>
  <si>
    <t>Központi, irányítószervi támogatás</t>
  </si>
  <si>
    <t>Települési támogatások</t>
  </si>
  <si>
    <t>Elköt. pénzmaradv. terhére (Önkormányzat)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</si>
  <si>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</si>
  <si>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</si>
  <si>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</si>
  <si>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</si>
  <si>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 működési célú támogatások bevételei államháztartáson belülről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</si>
  <si>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</si>
  <si>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</si>
  <si>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</si>
  <si>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</si>
  <si>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Talajterhelési díj</t>
  </si>
  <si>
    <t>Szabálysértési pénz- és helyszíni bírság és a közlekedési szabályszegések után kiszabott közigazgatási bírság helyi önkormányzatot megillető része</t>
  </si>
  <si>
    <t>Tárgyi eszközök bérbeadásából származó bevétel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</si>
  <si>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</si>
  <si>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</si>
  <si>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</si>
  <si>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</si>
  <si>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</si>
  <si>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</si>
  <si>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Művelődési Ház működési bevételei</t>
  </si>
  <si>
    <t>Ft</t>
  </si>
  <si>
    <r>
      <t>Az Önkormányzat működési bevételei, adóbevételei, felhalmozási valamint működési célú átvett pénzeszközei</t>
    </r>
    <r>
      <rPr>
        <b/>
        <sz val="9"/>
        <color rgb="FF000000"/>
        <rFont val="Times New Roman"/>
        <family val="1"/>
        <charset val="238"/>
      </rPr>
      <t xml:space="preserve"> </t>
    </r>
  </si>
  <si>
    <t>Központi költségvetésből származó működési és feladatalapú támogatások</t>
  </si>
  <si>
    <t>Bölcsődei ellátás</t>
  </si>
  <si>
    <t>Bölcsődei nevelés</t>
  </si>
  <si>
    <t>2018. évi várható bevételek havi forgalma</t>
  </si>
  <si>
    <t>2018. évi várható kiadások havi forgalma</t>
  </si>
  <si>
    <t>Piliscsévi "Aranykapu" Óvoda-bölcsőde</t>
  </si>
  <si>
    <t>Köztemetés [Szoctv. 48.§]</t>
  </si>
  <si>
    <t>Települési támogatás ([Szoctv. 45.§)</t>
  </si>
  <si>
    <t>Szociális juttatások mindösszesen</t>
  </si>
  <si>
    <t>2019. évi mérleg</t>
  </si>
  <si>
    <t>2019. évi bevételek</t>
  </si>
  <si>
    <t>2019. évi költségvetés</t>
  </si>
  <si>
    <t>Eszközbeszerzés (Művelődési Ház)</t>
  </si>
  <si>
    <t>Pályázat „külterületi helyi utak fejlesztése” (önerő)</t>
  </si>
  <si>
    <t>Tisztítómű felújítása</t>
  </si>
  <si>
    <t>2. melléklet az 1/2019. (I.30.) önkormányzati rendelethez</t>
  </si>
  <si>
    <t>11. melléklet az 1/2019. (I.30.) önkormányzati rendelethez</t>
  </si>
  <si>
    <t>Gyermekétkeztetés bölcsödében, fogyatékosok nappali intézményében</t>
  </si>
  <si>
    <t>Közművelődés - közösségi és társadalmi részvétel fejlesztése</t>
  </si>
  <si>
    <t>Helyi, térségi közösségi tér biztosítása, működtetése</t>
  </si>
  <si>
    <t>1. melléklet az 1/2019.(I.30.) önkormányzati rendelethez</t>
  </si>
  <si>
    <t>4. melléklet az 1/2019.(I.30.) önkormányzati rendelethez</t>
  </si>
  <si>
    <t>5. melléklet az 1/2019.(I.30.) önkormányzati rendelethez</t>
  </si>
  <si>
    <t>6. melléklet az 1/2019.(I.30.) önkormányzati rendelethez</t>
  </si>
  <si>
    <t>7. melléklet az 1/2019.(I.30.) önkormányzati rendelethez</t>
  </si>
  <si>
    <t>8. melléklet az 1/2019.(I.30.) önkormányzati rendelethez</t>
  </si>
  <si>
    <t>12. melléklet az 1/2019.(I.30.) önkormányzati rendelethez</t>
  </si>
  <si>
    <t>3. melléklet az 1/2019.(I.30.) önkormányzati rendelethez</t>
  </si>
  <si>
    <t>Bölcsödei ellátás</t>
  </si>
  <si>
    <t>Intézményen kívüli gyermekétkeztetés</t>
  </si>
  <si>
    <t>10. melléklet az 1/2019.(I.30.) önkormányzati rendelethez</t>
  </si>
  <si>
    <t>9. melléklet az 1/2019.(I.30.) önkormányzati rendelethez</t>
  </si>
  <si>
    <t>I/2.a) számú melléklet</t>
  </si>
  <si>
    <t>2019. évi költségvetés I. számú előirányzat módosítása</t>
  </si>
  <si>
    <t>adatok: Ft-ban</t>
  </si>
  <si>
    <t>Bevételek kormányati funkciók (COFOG) szerinti bontásban</t>
  </si>
  <si>
    <t>011130 - Önkormányzatok és önkormányzati hivatalok jogalkotó és általános igazgatási tevékenysége</t>
  </si>
  <si>
    <t>Főkönyvi szám</t>
  </si>
  <si>
    <t>Főkönyvi szám neve</t>
  </si>
  <si>
    <t>2019.I.sz. EI mód.</t>
  </si>
  <si>
    <t>Eredeti előirányzat</t>
  </si>
  <si>
    <t>Módosítás</t>
  </si>
  <si>
    <t>%</t>
  </si>
  <si>
    <t>09361</t>
  </si>
  <si>
    <t>Egyéb bírság bevételei (Vízmű)</t>
  </si>
  <si>
    <t>0916071</t>
  </si>
  <si>
    <t>Egyéb működési célú támogatások bevételei államháztartáson belülről-helyi önkormányzatok és költségvetési szerveik</t>
  </si>
  <si>
    <t>09161</t>
  </si>
  <si>
    <t>0925031</t>
  </si>
  <si>
    <t>Egyéb felhalmozási célú támogatások bevételei államháztartáson belülről-fejezeti kezelésű előirányzatok EU-s programok és azok hazai társfinanszírozása</t>
  </si>
  <si>
    <t>09363</t>
  </si>
  <si>
    <t>Egyéb közhatalmi bevételek</t>
  </si>
  <si>
    <t>094022</t>
  </si>
  <si>
    <t>094031</t>
  </si>
  <si>
    <t>094041</t>
  </si>
  <si>
    <t>Külterületi utas pályázat megküldött előlege.</t>
  </si>
  <si>
    <t>094062</t>
  </si>
  <si>
    <t>094071</t>
  </si>
  <si>
    <t>094082</t>
  </si>
  <si>
    <t>094111</t>
  </si>
  <si>
    <t>Egyéb működési bevételek</t>
  </si>
  <si>
    <t>Kiadások visszatérítései</t>
  </si>
  <si>
    <t>095211</t>
  </si>
  <si>
    <t>Ingatlan értékesítés</t>
  </si>
  <si>
    <t xml:space="preserve">ebből: telekeladás </t>
  </si>
  <si>
    <t>ebből: ingatlan értékesítés Kristóf Sándor</t>
  </si>
  <si>
    <t>ebből: orvosi lakás eladása előszerződés alapján</t>
  </si>
  <si>
    <t>ebből: homoki dűlő ingatlan I. eladva</t>
  </si>
  <si>
    <t>ebből: homoki dűlő ingatlan II. eladva</t>
  </si>
  <si>
    <t>09641</t>
  </si>
  <si>
    <t>Működési célú visszatérítendő támogatások, kölcsönök visszatérülése államháztartáson kívülről</t>
  </si>
  <si>
    <t>0965091</t>
  </si>
  <si>
    <t>Egyéb működési célú átvett pénzeszközök-Európai Unió</t>
  </si>
  <si>
    <t>09741</t>
  </si>
  <si>
    <t>Háztartásoktól felhalmozási célú visszatérítendő támogatások, kölcsönök visszatérülése</t>
  </si>
  <si>
    <t>Bevétel összesen:</t>
  </si>
  <si>
    <t>013350 - Az önkormányzati vagyonnal való gazdálkodással kapcsolatos feladatok</t>
  </si>
  <si>
    <t>018010 - Önkormányzatok elszámolásai a központi költségvetéssel</t>
  </si>
  <si>
    <t>091111</t>
  </si>
  <si>
    <t>ebből: önkormányzati hivatal működésének támogatása</t>
  </si>
  <si>
    <t>ebből: zöldterület-gazdálkodással kapcsolatos feladatok ellátásának támogatása</t>
  </si>
  <si>
    <t>ebből: közvilágítás fenntartásának támogatása</t>
  </si>
  <si>
    <t>ebből: köztemető fenntartással kapcs. feladatok támog.</t>
  </si>
  <si>
    <t>ebből: közutak fenntartásának támogatása</t>
  </si>
  <si>
    <t>ebből: üdülőhelyi feladatok támogatása</t>
  </si>
  <si>
    <t>ebből: polgármesteri illetmény támogatása</t>
  </si>
  <si>
    <t>ebből: 2019. évi bérkompenzáció támogatása</t>
  </si>
  <si>
    <t>091121</t>
  </si>
  <si>
    <t>Települési önkormányzatok egyes köznevelési feladatainak támogatása (óvoda fenntartás)</t>
  </si>
  <si>
    <t>Nemzetiségi pótlék</t>
  </si>
  <si>
    <t>091131</t>
  </si>
  <si>
    <t>ebből: szociális feladatok egyéb támogatása</t>
  </si>
  <si>
    <t>ebből: finanszírozás szempontjából elismert dolgozók bértámogatása</t>
  </si>
  <si>
    <t>ebből: gyermekétkeztetés üzemeltetési támogatása</t>
  </si>
  <si>
    <t>ebből: rászoruló gyermekek szünidei étekztetésének tám.</t>
  </si>
  <si>
    <t>ebből: a finanszírozás szempontjából elismert szakmai dolgozók bértámotatása - bölcsőde</t>
  </si>
  <si>
    <t>ebből: szociális ágazati összevont pótlék</t>
  </si>
  <si>
    <t>091141</t>
  </si>
  <si>
    <t>Települési önkormányzatok kulturális feladatainak támogatása (kulturális illetménypótlék)</t>
  </si>
  <si>
    <t>091151</t>
  </si>
  <si>
    <t>Működési célú költségvetési támogatások és kiegészítő támogatások (bérkiegészítő alap pályázat 2019)</t>
  </si>
  <si>
    <t>Működési célú költségvetési támogatások és kiegészítő támogatások (Szoc.tüzifa kieg.támogatás)</t>
  </si>
  <si>
    <t>Működési célú költségvetési támogatások és kiegészítő támogatások (Rezsicsökkentés támog.)</t>
  </si>
  <si>
    <t>091161</t>
  </si>
  <si>
    <t>Elszámolásból származó bevételek - 2018. évi pótigénylés</t>
  </si>
  <si>
    <t>Elkülönített állami pénzalaptól működési célú támogatások bevételei (nyári diákmunka támogatása)</t>
  </si>
  <si>
    <t>09213</t>
  </si>
  <si>
    <t>Felhalmozási célú önkormányzati támogatások teljesítése (Közművelődési pályázaton elnyert összeg)</t>
  </si>
  <si>
    <t>098141</t>
  </si>
  <si>
    <t>Államháztartáson belüli megelőlegezések teljesítése (közfoglalkoztatottakra 2019.01-02. hó)</t>
  </si>
  <si>
    <t>018030 - Támogatási célú finanszírozási műveletek</t>
  </si>
  <si>
    <t>Működési célú költségvetési támogatások és kiegészítő támogatások</t>
  </si>
  <si>
    <t>0981311</t>
  </si>
  <si>
    <t>Előző év költségvetési maradványának igénybevétele</t>
  </si>
  <si>
    <t>041233 Hosszú távú közfoglalkoztatás</t>
  </si>
  <si>
    <t>041236 Országos közfoglalkoztatási program</t>
  </si>
  <si>
    <t>052020 - Szennyvíz gyűjtése, tisztítása, elhelyezése</t>
  </si>
  <si>
    <t>094061</t>
  </si>
  <si>
    <t>066020 - Város-, és községgazdálkodási egyéb szolgáltatások</t>
  </si>
  <si>
    <t>Elkülönített állami pénzalaptól működési célú támogatások bevételei (falugondnok bértámogatása)</t>
  </si>
  <si>
    <t>074031 - Család és nővédelmi egészségügyi gondozás</t>
  </si>
  <si>
    <t>Egyéb működési célú támogatások bevételei államháztartáson belülről (OEP védőnő)</t>
  </si>
  <si>
    <t>082091 - Közművelődés – közösségi és társadalmi részvétel fejlesztése</t>
  </si>
  <si>
    <t>09251</t>
  </si>
  <si>
    <t>Fejezeti kezelésű EI-tól EU-s programok és azok hazai társfinanszírozása miatt felhalmozási célú támogatások bevételei (Identitás pályázat)</t>
  </si>
  <si>
    <t>096015 - Gyermekétkeztetés köznevelési intézményben</t>
  </si>
  <si>
    <t>094051</t>
  </si>
  <si>
    <t>104031 - Gyermekek bölcsődében és mini bölcsődében történő ellátása</t>
  </si>
  <si>
    <t>104035 - Gyermekétkeztetés bölcsődében, fogyatékosok nappali intézményében</t>
  </si>
  <si>
    <t>900020 - Önkormányzatok funkcióira nem sorolható bevételei államháztartáson kívülről</t>
  </si>
  <si>
    <t>093432</t>
  </si>
  <si>
    <t>09351071</t>
  </si>
  <si>
    <t>0935411</t>
  </si>
  <si>
    <t>093351</t>
  </si>
  <si>
    <t>Tartózkodás után fizetett idegenforgalmi adó bevételei</t>
  </si>
  <si>
    <t>0936112</t>
  </si>
  <si>
    <t>0936121</t>
  </si>
  <si>
    <t>Egyéb bírság</t>
  </si>
  <si>
    <t>0936162</t>
  </si>
  <si>
    <t>Egyéb közhatalmi bevétel</t>
  </si>
  <si>
    <t>0936172</t>
  </si>
  <si>
    <t>Késedelmi és önellenőrzési pótlék</t>
  </si>
  <si>
    <t>0941142</t>
  </si>
  <si>
    <t>1 és 2 forintos érmék forgalomból történő kivonása miatti kerekítési különbözet</t>
  </si>
  <si>
    <t>104051 - Gyermekvédelmi pénzbeli és természetbeni ellátások</t>
  </si>
  <si>
    <t>Egyéb fejezeti kezelésű előirányzattól működési célú támogatások bevételei (gyermekvédelmi tám.)</t>
  </si>
  <si>
    <t>Összes COFOG szerinti bevétel:</t>
  </si>
  <si>
    <t>I/3.a) számú melléklet</t>
  </si>
  <si>
    <t>2019. évi költségvetés eredeti előirányzata</t>
  </si>
  <si>
    <t>Kiadások kormányati funkciók (COFOG) szerinti bontásban</t>
  </si>
  <si>
    <t>I.sz. EI módosítás</t>
  </si>
  <si>
    <t>05110111</t>
  </si>
  <si>
    <t>Törvény szerinti illetmények</t>
  </si>
  <si>
    <t>0511021</t>
  </si>
  <si>
    <t>Normatív jutalmak</t>
  </si>
  <si>
    <t>0511091</t>
  </si>
  <si>
    <t>Közlekedési költségtérítés</t>
  </si>
  <si>
    <t>051112</t>
  </si>
  <si>
    <t>Szociális támogatások</t>
  </si>
  <si>
    <t>051211</t>
  </si>
  <si>
    <t>Választott tisztségviselők juttatásai</t>
  </si>
  <si>
    <t>051221</t>
  </si>
  <si>
    <t>Munkavégzésre irányuló egyéb jogviszonyban nem saját foglalkoztatottnak fizetett juttatások</t>
  </si>
  <si>
    <t>051231</t>
  </si>
  <si>
    <t>Egyéb külső személyi juttatások</t>
  </si>
  <si>
    <t>05211</t>
  </si>
  <si>
    <t>Szociális hozzájárulási adó</t>
  </si>
  <si>
    <t>05261</t>
  </si>
  <si>
    <t>Más járulék fizetési kötelezettség</t>
  </si>
  <si>
    <t>053111</t>
  </si>
  <si>
    <t>Szakmai anyagok, gyógyszer, könyv beszerzése</t>
  </si>
  <si>
    <t>053121</t>
  </si>
  <si>
    <t>Üzemeltetési anyagok beszerzése</t>
  </si>
  <si>
    <t>0532111</t>
  </si>
  <si>
    <t>Informatikai szolgáltatások, internet díj</t>
  </si>
  <si>
    <t>0532211</t>
  </si>
  <si>
    <t>Telefon, telefax, telex, mobíl díj</t>
  </si>
  <si>
    <t>0533111</t>
  </si>
  <si>
    <t>Villamos energia</t>
  </si>
  <si>
    <t>0533121</t>
  </si>
  <si>
    <t>Gázdíj</t>
  </si>
  <si>
    <t>053311</t>
  </si>
  <si>
    <t>Víz- és csatornadíj  (technikai)</t>
  </si>
  <si>
    <t>053331</t>
  </si>
  <si>
    <t>Bérleti és lízing díjak</t>
  </si>
  <si>
    <t>053341</t>
  </si>
  <si>
    <t>Karbantartási, kisjavítási szolgáltatások</t>
  </si>
  <si>
    <t>0533521</t>
  </si>
  <si>
    <t>Közvetítet szolgáltatások ÁHT-on kívül</t>
  </si>
  <si>
    <t>053361</t>
  </si>
  <si>
    <t>Szakmai tevékenységet segítő szolgáltatások</t>
  </si>
  <si>
    <t>053371</t>
  </si>
  <si>
    <t>Egyéb szolgáltatások</t>
  </si>
  <si>
    <t>05341</t>
  </si>
  <si>
    <t>Belföldi kiküldetések</t>
  </si>
  <si>
    <t>053511</t>
  </si>
  <si>
    <t>Működési célú előzetesen felszámított általános forgalmi adó</t>
  </si>
  <si>
    <t>053521</t>
  </si>
  <si>
    <t>Fizetendő általános forgalmi adó</t>
  </si>
  <si>
    <t>053531</t>
  </si>
  <si>
    <t>Kamatkiadások</t>
  </si>
  <si>
    <t>053551</t>
  </si>
  <si>
    <t>Egyéb dologi kiadások</t>
  </si>
  <si>
    <t>0535531</t>
  </si>
  <si>
    <t>1 és 2 forintos érmék kerekítési különbözete</t>
  </si>
  <si>
    <t>0550211</t>
  </si>
  <si>
    <t>A helyi önkormányzatok előző évi elszámolásából származó kiadások</t>
  </si>
  <si>
    <t>05506071</t>
  </si>
  <si>
    <t>Egyéb működési célú támogatások államháztartáson belülre-helyi önkormányzatok és költségvetési szerveik</t>
  </si>
  <si>
    <t>055121</t>
  </si>
  <si>
    <t>Működési célú vissza nem térítendő támogatások, kölcsönök nyújtása államháztartáson kívülre</t>
  </si>
  <si>
    <t>055131</t>
  </si>
  <si>
    <t>Tartalékok (elköt. pénzmaradv. terhére)</t>
  </si>
  <si>
    <t>Likvidtartalék</t>
  </si>
  <si>
    <t>05612</t>
  </si>
  <si>
    <t>Immateriális javak beszerzése, létesítése</t>
  </si>
  <si>
    <t>05631</t>
  </si>
  <si>
    <t>Informatikai eszközök beszerzése, létesítése</t>
  </si>
  <si>
    <t>05641</t>
  </si>
  <si>
    <t>Egyéb tárgyi eszközök beszerzése, létesítése</t>
  </si>
  <si>
    <t>05671</t>
  </si>
  <si>
    <t>Beruházási célú előzetesen felszámított általános forgalmi adó</t>
  </si>
  <si>
    <t>05711</t>
  </si>
  <si>
    <t>Ingatlanok felújítása</t>
  </si>
  <si>
    <t>05741</t>
  </si>
  <si>
    <t>Felújítási célú előzetesen felszámított általános forgalmi adó</t>
  </si>
  <si>
    <t>05841</t>
  </si>
  <si>
    <t xml:space="preserve">Fejezeti kezelésű EI-nak EU-s programokra nyújtott felhalmozási célú támogatás </t>
  </si>
  <si>
    <t>Kiadás összesen:</t>
  </si>
  <si>
    <t>013320 - Köztemető-fenntartás és -működtetés</t>
  </si>
  <si>
    <t>0533131</t>
  </si>
  <si>
    <t>Víz- és csatornadíj</t>
  </si>
  <si>
    <t>0533791</t>
  </si>
  <si>
    <t>Más egyéb szolgáltatások</t>
  </si>
  <si>
    <t>Beruházás</t>
  </si>
  <si>
    <t xml:space="preserve">Ingatlanok felújítása </t>
  </si>
  <si>
    <t xml:space="preserve">Villamos energia </t>
  </si>
  <si>
    <t xml:space="preserve">Gázdíj  </t>
  </si>
  <si>
    <t xml:space="preserve">Víz- és csatornadíj </t>
  </si>
  <si>
    <t>Karbantartás, kisjaítási szolgáltatások telj.</t>
  </si>
  <si>
    <t>Egyéb szolgáltatások teljesítése</t>
  </si>
  <si>
    <t>016080 - Kiemelt állami és önkormányzati rendezvények</t>
  </si>
  <si>
    <t>0512361</t>
  </si>
  <si>
    <t>Reprezentáció, üzleti ajándék</t>
  </si>
  <si>
    <t>053321</t>
  </si>
  <si>
    <t>Vásárolt élelmezés</t>
  </si>
  <si>
    <t>053411</t>
  </si>
  <si>
    <t>Kiküldetések kiadásai</t>
  </si>
  <si>
    <t>Helyi önkormányzatok előző évi elszámolásából származó kiadások</t>
  </si>
  <si>
    <t>059141</t>
  </si>
  <si>
    <t>Államháztartáson belüli megelőlegezések visszafizetése</t>
  </si>
  <si>
    <t>059151</t>
  </si>
  <si>
    <t>Központi, irányító szervi támogatás folyósítása</t>
  </si>
  <si>
    <t>041233 Hosszabb időtartamú közfoglalkoztatás</t>
  </si>
  <si>
    <t>05110131</t>
  </si>
  <si>
    <t>Törvény szerinti illetmények, munkabérek telj.</t>
  </si>
  <si>
    <t>0511131</t>
  </si>
  <si>
    <t>Foglalkoztatottak egyéb személyi juttatásai</t>
  </si>
  <si>
    <t>045160 - Közutak, hidak, alagutak üzemeltetése, fenntartása</t>
  </si>
  <si>
    <t>05731</t>
  </si>
  <si>
    <t>Egyéb tárgyi eszközök felújítása</t>
  </si>
  <si>
    <t>064010 - Közvilágítás</t>
  </si>
  <si>
    <t>066020 - Város-, községgazdálkodási egyéb szolgáltatások</t>
  </si>
  <si>
    <t>MT alapján teljes, részmunkaidős bére</t>
  </si>
  <si>
    <t>0511101</t>
  </si>
  <si>
    <t>Egyéb költségtérítések</t>
  </si>
  <si>
    <t>0531111</t>
  </si>
  <si>
    <t>Szakmai anyagok beszerzése</t>
  </si>
  <si>
    <t>Közüzemi díjak</t>
  </si>
  <si>
    <t>0533621</t>
  </si>
  <si>
    <t>Más szakmai tevékenység</t>
  </si>
  <si>
    <t>0534111</t>
  </si>
  <si>
    <t>Foglalkoztatottak kiküldetései</t>
  </si>
  <si>
    <t>Ingatlanok felújítása teljesítése</t>
  </si>
  <si>
    <t>05831</t>
  </si>
  <si>
    <t>Központi költségvetési szervnek felhalmozási célú visszatérítendő támogatás, kölcsön törlesztés kiadásai</t>
  </si>
  <si>
    <t>Köztisztviselők,közalkalmazottak bére</t>
  </si>
  <si>
    <t>0511041</t>
  </si>
  <si>
    <t>Készenléti, ügyeleti, helyettesítési díj, túlóra</t>
  </si>
  <si>
    <t>0511071</t>
  </si>
  <si>
    <t>Béren kívüli juttatások teljesítése</t>
  </si>
  <si>
    <t>051113</t>
  </si>
  <si>
    <t>053211</t>
  </si>
  <si>
    <t>Egyéb kommunikációs szolgáltatások telj.</t>
  </si>
  <si>
    <t>074032 - Ifjúság-egyészségügyi gondozás</t>
  </si>
  <si>
    <t>Egyéb működési célú támogatások államháztartáson kívülre</t>
  </si>
  <si>
    <t>Egyéb tárgyi eszköz beszerzése, létesítése</t>
  </si>
  <si>
    <t>084031 - Civil szervezetek működési támogatása</t>
  </si>
  <si>
    <t>Egyéb civil, vagy más nonprofit szervezetek egyéb működési célú támogatások kiadásai</t>
  </si>
  <si>
    <t xml:space="preserve">Egyéb tárgyi eszköz beszerzés </t>
  </si>
  <si>
    <t>05713</t>
  </si>
  <si>
    <t>05743</t>
  </si>
  <si>
    <t>102031 - Idősek nappali ellátása</t>
  </si>
  <si>
    <t>055061</t>
  </si>
  <si>
    <t>Egyéb működési célú támogatások államháztartáson belülre (Szoc.Alap)</t>
  </si>
  <si>
    <t>Vásárolt élelmezés teljesítése</t>
  </si>
  <si>
    <t>104037 - Intézményen kívüli gyermekétkeztetés</t>
  </si>
  <si>
    <t>05421</t>
  </si>
  <si>
    <t>Egyéb pénzbeni és természetbeni gyermekvédelmi támogatások kiadásai</t>
  </si>
  <si>
    <t>104042 - Család-, és gyermekjóléti szolgáltatások</t>
  </si>
  <si>
    <t>Egyéb működési célú támogatások államháztartáson belülre</t>
  </si>
  <si>
    <t>107060 - Egyéb szociális pénzbeli és természetbeni ellátások, támogatások</t>
  </si>
  <si>
    <t>Egyéb üzemeltetési anyagok - szoc.tüzifa</t>
  </si>
  <si>
    <t>Egyéb szolgáltatások - szoc. tüzifa szállítási díj</t>
  </si>
  <si>
    <t>Működési célú, előzetesen felszámított áfa</t>
  </si>
  <si>
    <t>05481</t>
  </si>
  <si>
    <t>Köztemetés (Szoc.tv.48.§)</t>
  </si>
  <si>
    <t>Egyéb, nem intézményi ellátások [Szoctv. 45. § alapján]</t>
  </si>
  <si>
    <t>Egyéb, az Önkormányzat rendeletében megállapított juttatás</t>
  </si>
  <si>
    <t>2019. évi költségvetés I. sz. EI módosítása</t>
  </si>
  <si>
    <t>Bevételek - COFOG: 018030</t>
  </si>
  <si>
    <t>Eredeti EI</t>
  </si>
  <si>
    <t>I. sz. EI mód.</t>
  </si>
  <si>
    <t>098161</t>
  </si>
  <si>
    <t>Központi, irányító szervi támogatás</t>
  </si>
  <si>
    <t>-ebből állami normatív támogatás</t>
  </si>
  <si>
    <t>-ebből bérrendezési alap pályázat</t>
  </si>
  <si>
    <t>-ebből fenntartói támogatás (Piliscsév)</t>
  </si>
  <si>
    <t>Bevételek - COFOG: 011130</t>
  </si>
  <si>
    <t>Egyéb működési célú támogatások bevételei államháztartáson belülről (Leányvár)</t>
  </si>
  <si>
    <t>0940821</t>
  </si>
  <si>
    <t>Egyéb kapott (járó) kamatok és kamatjellegű bevételek</t>
  </si>
  <si>
    <t>09411</t>
  </si>
  <si>
    <t xml:space="preserve">Egyéb működési bevételek </t>
  </si>
  <si>
    <t>Bevételek - COFOG: 016010</t>
  </si>
  <si>
    <t>Központi kezelésű előirányzattól működési célú támogatások bevételei</t>
  </si>
  <si>
    <t>Bevételek összesen:</t>
  </si>
  <si>
    <t>Főkönyvi szám név</t>
  </si>
  <si>
    <t>0511031</t>
  </si>
  <si>
    <t>Céljuttatás, projektprémium</t>
  </si>
  <si>
    <t>Készenléti, ügyeleti, helyettesítési díj, túlóra, túlszolgálat</t>
  </si>
  <si>
    <t>0511061</t>
  </si>
  <si>
    <t>Jubileumi jutalom</t>
  </si>
  <si>
    <t>Béren kívüli juttatások</t>
  </si>
  <si>
    <t>0511121</t>
  </si>
  <si>
    <t>Munkaadót terhelő járulékok:</t>
  </si>
  <si>
    <t>Informatikai szolgáltatások igénybevétele</t>
  </si>
  <si>
    <t xml:space="preserve">Egyéb kommunikációs szolgáltatások </t>
  </si>
  <si>
    <t>Egyéb dologi kiadások - kerekítési különbözet</t>
  </si>
  <si>
    <t>Tartalékok előirányzata</t>
  </si>
  <si>
    <t>016010 - Országgyűlési, önkormányzati és eu parlamenti képviselőválasztásokhoz kapcsolódó tevékenységek</t>
  </si>
  <si>
    <t xml:space="preserve">Egyéb külső személyi juttatások </t>
  </si>
  <si>
    <t>05231</t>
  </si>
  <si>
    <t>05237</t>
  </si>
  <si>
    <t>Munkáltatót terhelő személyi jövedelemadó kiadásai</t>
  </si>
  <si>
    <t>Munkaadót terhelő járulékok</t>
  </si>
  <si>
    <t xml:space="preserve">Összes intézményi kiadás: </t>
  </si>
  <si>
    <t>Kálmánfy Béla Művelődési Ház és Könyvtár</t>
  </si>
  <si>
    <t>-ebből fenntartói támogatás (Piliscsév Község Önk.)</t>
  </si>
  <si>
    <t>082092 - Közművelődés - hagyományos közösségi kulturális értékek gondozása</t>
  </si>
  <si>
    <t>082042 - Könyvtári állomány gyarapítása, nyilvántartása</t>
  </si>
  <si>
    <t>082044 - Könyvtári szolgáltatások</t>
  </si>
  <si>
    <t>Karbantartás, kisjavítási szolgáltatások</t>
  </si>
  <si>
    <t>082092 - Közművelődés, hagyományos közösségi kulturális értékek gondozása</t>
  </si>
  <si>
    <t>Víz-, és csatornadíj</t>
  </si>
  <si>
    <t>Egyéb tárgyi eszközök beszerzése</t>
  </si>
  <si>
    <t>Beruházási célú, előzetesen felszámított általános forgalmi adó</t>
  </si>
  <si>
    <t xml:space="preserve">Beruházási kiadások </t>
  </si>
  <si>
    <t>Piliscsévi "Aranykapu" Egységes Óvoda-Bölcsőde</t>
  </si>
  <si>
    <t>091140 - Óvodai nevelés, ellátás működtetési feladatai</t>
  </si>
  <si>
    <t xml:space="preserve">Egyéb működési célú támogatások bevételei államháztartáson belülről </t>
  </si>
  <si>
    <t>091110 - Óvodai nevelés, ellátás szakmai feladatai</t>
  </si>
  <si>
    <t>091130 - Nemzetiségi óvodai nevelés, ellátás szakmai feladatai</t>
  </si>
  <si>
    <t xml:space="preserve">Egyéb szakmai szolgáltatások </t>
  </si>
  <si>
    <t>Szennyvíz gyűjtése, tisztítása, elhelyezése</t>
  </si>
  <si>
    <t>Felhalmozási c. visszatérítendő tám. (K8)</t>
  </si>
  <si>
    <t>EU-s programok és hazai társfin. (Identitás pály.)</t>
  </si>
  <si>
    <t>Áht-on belüli megelőlegezés (B814)</t>
  </si>
  <si>
    <t>Piliscsév Község Önkormányzata költségvetése kormányzati funkciónként</t>
  </si>
  <si>
    <t>I. Bevételek feladatonként:</t>
  </si>
  <si>
    <t>Közművelődés- közösségi és társadalmi részvétel fejlesztése</t>
  </si>
  <si>
    <t>Óvodai, bölcsődei intézményi étkeztetés</t>
  </si>
  <si>
    <t>adatok: forintban</t>
  </si>
  <si>
    <t>Költségek visszatérítései</t>
  </si>
  <si>
    <t>Közös Hivatal működési bevételei</t>
  </si>
  <si>
    <t>Óvoda és Bölcsőde működési bevételei</t>
  </si>
  <si>
    <t>Működési célú átvett pénzeszközök</t>
  </si>
  <si>
    <t>Közös Hivatal működési célú támogatás bevételei Áht-on belülről</t>
  </si>
  <si>
    <t>Ingatlan értékesítés bevételei</t>
  </si>
  <si>
    <t>Felhalm.c. kölcsön visszatérülése, visszatérítendő támogatások</t>
  </si>
  <si>
    <t>Tér-Háló településrendezési terv</t>
  </si>
  <si>
    <t>Informatikai eszközök beszerzése</t>
  </si>
  <si>
    <t>Beruházási célú előzetesen felszámított áfa:</t>
  </si>
  <si>
    <t>Eszközbeszerzés (Óvoda)</t>
  </si>
  <si>
    <t>Tárgyi eszköz beszerzés közfoglalkoztatottaknak</t>
  </si>
  <si>
    <t>Tárgyi eszköz beszerzés (Identitás pályázathoz)</t>
  </si>
  <si>
    <t>Felújítási célú előzetesen felszámított áfa</t>
  </si>
  <si>
    <t>Béke utcai járdafelújítás</t>
  </si>
  <si>
    <t>Gyógyszertári parkoló és buszmegálló felújítása</t>
  </si>
  <si>
    <t>TOP Szoc. Alapellátó és Művelődési Ház felújítása</t>
  </si>
  <si>
    <t>Felhalmozási célú visszatérítendő támogatás</t>
  </si>
  <si>
    <t>EU-s támog. Identitás pály.</t>
  </si>
  <si>
    <t>Felhalm-i c. visszatérítendő támog.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</si>
</sst>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Ft&quot;_-;\-* #,##0.00\ &quot;Ft&quot;_-;_-* &quot;-&quot;??\ &quot;Ft&quot;_-;_-@_-"/>
    <numFmt numFmtId="165" formatCode="_-* #,##0.00\ _F_t_-;\-* #,##0.00\ _F_t_-;_-* &quot;-&quot;??\ _F_t_-;_-@_-"/>
    <numFmt numFmtId="166" formatCode="_-* #,##0\ _F_t_-;\-* #,##0\ _F_t_-;_-* &quot;-&quot;??\ _F_t_-;_-@_-"/>
    <numFmt numFmtId="167" formatCode="#,##0_ ;\-#,##0\ "/>
    <numFmt numFmtId="168" formatCode="_-* #,##0.00,_F_t_-;\-* #,##0.00,_F_t_-;_-* \-??\ _F_t_-;_-@_-"/>
    <numFmt numFmtId="169" formatCode="_-* #,##0,&quot;Ft&quot;_-;\-* #,##0,&quot;Ft&quot;_-;_-* \-??&quot; Ft&quot;_-;_-@_-"/>
    <numFmt numFmtId="170" formatCode="#,##0,&quot;Ft&quot;"/>
    <numFmt numFmtId="171" formatCode="#,##0&quot; Ft&quot;;[Red]\-#,##0&quot; Ft&quot;"/>
    <numFmt numFmtId="172" formatCode="[$-1040E]#,##0\ &quot;Ft&quot;"/>
  </numFmts>
  <fonts count="95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8"/>
      <name val="Bookman Old Style"/>
      <family val="1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</font>
    <font>
      <sz val="9"/>
      <name val="Bookman Old Style"/>
      <family val="1"/>
      <charset val="238"/>
    </font>
    <font>
      <b/>
      <sz val="9"/>
      <name val="Bookman Old Style"/>
      <family val="1"/>
    </font>
    <font>
      <b/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0"/>
      <name val="Arial CE"/>
      <family val="2"/>
      <charset val="238"/>
    </font>
    <font>
      <i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7"/>
      <color rgb="FF333333"/>
      <name val="Verdana"/>
      <family val="2"/>
      <charset val="238"/>
    </font>
    <font>
      <sz val="7"/>
      <name val="Verdana"/>
      <family val="2"/>
      <charset val="238"/>
    </font>
    <font>
      <sz val="7"/>
      <color rgb="FF333333"/>
      <name val="Verdana"/>
      <family val="2"/>
      <charset val="238"/>
    </font>
    <font>
      <sz val="10"/>
      <color rgb="FFFFFFFF"/>
      <name val="Arial"/>
      <family val="2"/>
      <charset val="1"/>
    </font>
    <font>
      <i/>
      <sz val="7"/>
      <color rgb="FF333333"/>
      <name val="Verdana"/>
      <family val="2"/>
      <charset val="238"/>
    </font>
    <font>
      <sz val="10"/>
      <color rgb="FFFF0000"/>
      <name val="Arial"/>
      <family val="2"/>
      <charset val="1"/>
    </font>
    <font>
      <b/>
      <sz val="7"/>
      <name val="Verdana"/>
      <family val="2"/>
      <charset val="238"/>
    </font>
    <font>
      <i/>
      <sz val="7"/>
      <name val="Verdana"/>
      <family val="2"/>
      <charset val="238"/>
    </font>
    <font>
      <i/>
      <sz val="7"/>
      <name val="Arial"/>
      <family val="2"/>
      <charset val="238"/>
    </font>
    <font>
      <i/>
      <sz val="10"/>
      <color rgb="FFC00000"/>
      <name val="Arial"/>
      <family val="2"/>
      <charset val="238"/>
    </font>
    <font>
      <sz val="8"/>
      <name val="Verdana"/>
      <family val="2"/>
      <charset val="238"/>
    </font>
    <font>
      <i/>
      <sz val="9"/>
      <name val="Times New Roman"/>
      <family val="1"/>
      <charset val="238"/>
    </font>
    <font>
      <b/>
      <sz val="7"/>
      <color indexed="8"/>
      <name val="Verdana"/>
      <family val="2"/>
      <charset val="238"/>
    </font>
    <font>
      <sz val="7"/>
      <color indexed="8"/>
      <name val="Verdana"/>
      <family val="2"/>
      <charset val="238"/>
    </font>
    <font>
      <i/>
      <sz val="7"/>
      <color indexed="8"/>
      <name val="Verdana"/>
      <family val="2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b/>
      <i/>
      <sz val="7"/>
      <color indexed="8"/>
      <name val="Verdana"/>
      <family val="2"/>
      <charset val="238"/>
    </font>
    <font>
      <i/>
      <sz val="11"/>
      <name val="Arial"/>
      <family val="2"/>
      <charset val="238"/>
    </font>
    <font>
      <i/>
      <sz val="10"/>
      <name val="Arial CE"/>
      <charset val="238"/>
    </font>
    <font>
      <i/>
      <sz val="12"/>
      <name val="Bookman Old Style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99"/>
      </patternFill>
    </fill>
    <fill>
      <patternFill patternType="solid">
        <fgColor rgb="FFFFCC99"/>
        <bgColor rgb="FFF8CBAD"/>
      </patternFill>
    </fill>
    <fill>
      <patternFill patternType="solid">
        <fgColor theme="5" tint="0.59999389629810485"/>
        <bgColor rgb="FFF8CBAD"/>
      </patternFill>
    </fill>
    <fill>
      <patternFill patternType="solid">
        <fgColor theme="5" tint="0.59999389629810485"/>
        <bgColor rgb="FFFFCC99"/>
      </patternFill>
    </fill>
    <fill>
      <patternFill patternType="solid">
        <fgColor rgb="FFFAC090"/>
        <bgColor rgb="FFFFCC99"/>
      </patternFill>
    </fill>
    <fill>
      <patternFill patternType="solid">
        <fgColor rgb="FFFFF2CC"/>
        <b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63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168" fontId="2" fillId="0" borderId="0"/>
    <xf numFmtId="0" fontId="58" fillId="0" borderId="0"/>
    <xf numFmtId="164" fontId="1" fillId="0" borderId="0" applyFont="0" applyFill="0" applyBorder="0" applyAlignment="0" applyProtection="0"/>
  </cellStyleXfs>
  <cellXfs count="1072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/>
    <xf numFmtId="3" fontId="7" fillId="0" borderId="0" xfId="0" applyNumberFormat="1" applyFont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23" fillId="0" borderId="0" xfId="0" applyFont="1"/>
    <xf numFmtId="0" fontId="25" fillId="0" borderId="0" xfId="0" applyFont="1" applyAlignment="1">
      <alignment vertical="top" wrapText="1"/>
    </xf>
    <xf numFmtId="0" fontId="31" fillId="0" borderId="15" xfId="0" applyFont="1" applyBorder="1"/>
    <xf numFmtId="0" fontId="34" fillId="0" borderId="10" xfId="0" applyFont="1" applyBorder="1"/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4" fillId="0" borderId="0" xfId="0" applyFont="1"/>
    <xf numFmtId="0" fontId="11" fillId="0" borderId="0" xfId="0" applyFont="1"/>
    <xf numFmtId="0" fontId="18" fillId="0" borderId="0" xfId="0" applyFont="1"/>
    <xf numFmtId="3" fontId="31" fillId="0" borderId="9" xfId="0" applyNumberFormat="1" applyFont="1" applyBorder="1" applyAlignment="1">
      <alignment horizontal="right"/>
    </xf>
    <xf numFmtId="0" fontId="33" fillId="0" borderId="11" xfId="0" applyFont="1" applyBorder="1" applyAlignment="1">
      <alignment horizontal="right"/>
    </xf>
    <xf numFmtId="0" fontId="31" fillId="0" borderId="10" xfId="0" applyFont="1" applyBorder="1"/>
    <xf numFmtId="0" fontId="31" fillId="0" borderId="11" xfId="0" applyFont="1" applyBorder="1" applyAlignment="1">
      <alignment horizontal="center"/>
    </xf>
    <xf numFmtId="0" fontId="31" fillId="0" borderId="7" xfId="0" applyFont="1" applyBorder="1"/>
    <xf numFmtId="3" fontId="31" fillId="0" borderId="11" xfId="0" applyNumberFormat="1" applyFont="1" applyBorder="1"/>
    <xf numFmtId="0" fontId="32" fillId="0" borderId="17" xfId="0" applyFont="1" applyBorder="1"/>
    <xf numFmtId="0" fontId="32" fillId="0" borderId="18" xfId="0" applyFont="1" applyBorder="1"/>
    <xf numFmtId="3" fontId="31" fillId="0" borderId="19" xfId="0" applyNumberFormat="1" applyFont="1" applyBorder="1"/>
    <xf numFmtId="0" fontId="35" fillId="0" borderId="0" xfId="0" applyFont="1" applyAlignment="1">
      <alignment horizontal="right"/>
    </xf>
    <xf numFmtId="0" fontId="32" fillId="0" borderId="0" xfId="0" applyFont="1"/>
    <xf numFmtId="3" fontId="32" fillId="0" borderId="0" xfId="0" applyNumberFormat="1" applyFont="1"/>
    <xf numFmtId="0" fontId="35" fillId="0" borderId="4" xfId="0" applyFont="1" applyBorder="1" applyAlignment="1">
      <alignment horizontal="center" wrapText="1"/>
    </xf>
    <xf numFmtId="0" fontId="35" fillId="0" borderId="4" xfId="0" applyFont="1" applyBorder="1" applyAlignment="1">
      <alignment horizontal="justify" wrapText="1"/>
    </xf>
    <xf numFmtId="3" fontId="35" fillId="0" borderId="4" xfId="0" applyNumberFormat="1" applyFont="1" applyBorder="1" applyAlignment="1">
      <alignment horizontal="right"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justify" wrapText="1"/>
    </xf>
    <xf numFmtId="3" fontId="35" fillId="0" borderId="0" xfId="0" applyNumberFormat="1" applyFont="1" applyAlignment="1">
      <alignment horizontal="right" wrapText="1"/>
    </xf>
    <xf numFmtId="0" fontId="38" fillId="0" borderId="13" xfId="0" applyFont="1" applyBorder="1" applyAlignment="1">
      <alignment horizontal="center" wrapText="1"/>
    </xf>
    <xf numFmtId="0" fontId="38" fillId="0" borderId="13" xfId="0" applyFont="1" applyBorder="1" applyAlignment="1">
      <alignment horizontal="justify" wrapText="1"/>
    </xf>
    <xf numFmtId="0" fontId="35" fillId="0" borderId="20" xfId="0" applyFont="1" applyBorder="1" applyAlignment="1">
      <alignment horizontal="center" wrapText="1"/>
    </xf>
    <xf numFmtId="0" fontId="35" fillId="0" borderId="20" xfId="0" applyFont="1" applyBorder="1" applyAlignment="1">
      <alignment horizontal="justify" wrapText="1"/>
    </xf>
    <xf numFmtId="3" fontId="35" fillId="0" borderId="20" xfId="0" applyNumberFormat="1" applyFont="1" applyBorder="1" applyAlignment="1">
      <alignment horizontal="right" wrapText="1"/>
    </xf>
    <xf numFmtId="3" fontId="35" fillId="0" borderId="4" xfId="0" applyNumberFormat="1" applyFont="1" applyBorder="1" applyAlignment="1">
      <alignment horizontal="justify" wrapText="1"/>
    </xf>
    <xf numFmtId="0" fontId="35" fillId="0" borderId="0" xfId="0" applyFont="1"/>
    <xf numFmtId="0" fontId="42" fillId="2" borderId="0" xfId="0" applyFont="1" applyFill="1" applyAlignment="1">
      <alignment wrapText="1"/>
    </xf>
    <xf numFmtId="0" fontId="24" fillId="0" borderId="0" xfId="0" applyFont="1"/>
    <xf numFmtId="0" fontId="24" fillId="0" borderId="15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5" xfId="0" applyFont="1" applyBorder="1"/>
    <xf numFmtId="0" fontId="24" fillId="0" borderId="26" xfId="0" applyFont="1" applyBorder="1" applyAlignment="1">
      <alignment horizontal="right"/>
    </xf>
    <xf numFmtId="0" fontId="24" fillId="0" borderId="10" xfId="0" applyFont="1" applyBorder="1"/>
    <xf numFmtId="0" fontId="24" fillId="0" borderId="11" xfId="0" applyFont="1" applyBorder="1" applyAlignment="1">
      <alignment horizontal="right"/>
    </xf>
    <xf numFmtId="0" fontId="44" fillId="0" borderId="10" xfId="0" applyFont="1" applyBorder="1"/>
    <xf numFmtId="0" fontId="44" fillId="0" borderId="11" xfId="0" applyFont="1" applyBorder="1"/>
    <xf numFmtId="0" fontId="24" fillId="0" borderId="16" xfId="0" applyFont="1" applyBorder="1"/>
    <xf numFmtId="0" fontId="24" fillId="0" borderId="12" xfId="0" applyFont="1" applyBorder="1"/>
    <xf numFmtId="0" fontId="4" fillId="0" borderId="0" xfId="0" applyFont="1"/>
    <xf numFmtId="0" fontId="43" fillId="2" borderId="0" xfId="0" applyFont="1" applyFill="1" applyAlignment="1">
      <alignment wrapText="1"/>
    </xf>
    <xf numFmtId="0" fontId="38" fillId="0" borderId="0" xfId="0" applyFont="1" applyAlignment="1">
      <alignment wrapText="1"/>
    </xf>
    <xf numFmtId="0" fontId="37" fillId="0" borderId="14" xfId="0" applyFont="1" applyBorder="1" applyAlignment="1">
      <alignment wrapText="1"/>
    </xf>
    <xf numFmtId="3" fontId="36" fillId="0" borderId="14" xfId="0" applyNumberFormat="1" applyFont="1" applyBorder="1" applyAlignment="1">
      <alignment wrapText="1"/>
    </xf>
    <xf numFmtId="0" fontId="37" fillId="0" borderId="0" xfId="0" applyFont="1" applyAlignment="1">
      <alignment wrapText="1"/>
    </xf>
    <xf numFmtId="3" fontId="36" fillId="0" borderId="0" xfId="0" applyNumberFormat="1" applyFont="1" applyAlignment="1">
      <alignment wrapText="1"/>
    </xf>
    <xf numFmtId="166" fontId="49" fillId="0" borderId="26" xfId="1" applyNumberFormat="1" applyFont="1" applyBorder="1"/>
    <xf numFmtId="166" fontId="49" fillId="0" borderId="11" xfId="1" applyNumberFormat="1" applyFont="1" applyBorder="1"/>
    <xf numFmtId="0" fontId="4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0" fillId="0" borderId="0" xfId="0" applyFont="1" applyAlignment="1">
      <alignment vertical="top" wrapText="1"/>
    </xf>
    <xf numFmtId="0" fontId="48" fillId="0" borderId="0" xfId="0" applyFont="1"/>
    <xf numFmtId="0" fontId="30" fillId="0" borderId="6" xfId="0" applyFont="1" applyBorder="1" applyAlignment="1">
      <alignment horizontal="center"/>
    </xf>
    <xf numFmtId="0" fontId="30" fillId="0" borderId="6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30" fillId="0" borderId="39" xfId="0" applyFont="1" applyBorder="1" applyAlignment="1">
      <alignment horizontal="center"/>
    </xf>
    <xf numFmtId="0" fontId="12" fillId="0" borderId="28" xfId="0" applyFont="1" applyBorder="1"/>
    <xf numFmtId="0" fontId="49" fillId="0" borderId="0" xfId="0" applyFont="1"/>
    <xf numFmtId="0" fontId="43" fillId="2" borderId="34" xfId="0" applyFont="1" applyFill="1" applyBorder="1" applyAlignment="1">
      <alignment wrapText="1"/>
    </xf>
    <xf numFmtId="0" fontId="50" fillId="0" borderId="13" xfId="0" applyFont="1" applyBorder="1"/>
    <xf numFmtId="3" fontId="36" fillId="0" borderId="20" xfId="0" applyNumberFormat="1" applyFont="1" applyBorder="1" applyAlignment="1">
      <alignment horizontal="right" wrapText="1"/>
    </xf>
    <xf numFmtId="0" fontId="36" fillId="0" borderId="20" xfId="0" applyFont="1" applyBorder="1" applyAlignment="1">
      <alignment horizontal="center" wrapText="1"/>
    </xf>
    <xf numFmtId="0" fontId="36" fillId="0" borderId="28" xfId="0" applyFont="1" applyBorder="1" applyAlignment="1">
      <alignment horizontal="center" wrapText="1"/>
    </xf>
    <xf numFmtId="0" fontId="54" fillId="0" borderId="22" xfId="0" applyFont="1" applyBorder="1"/>
    <xf numFmtId="0" fontId="11" fillId="0" borderId="0" xfId="0" applyFont="1" applyAlignment="1">
      <alignment horizontal="center"/>
    </xf>
    <xf numFmtId="14" fontId="51" fillId="0" borderId="0" xfId="0" applyNumberFormat="1" applyFont="1" applyAlignment="1">
      <alignment vertical="top" wrapText="1"/>
    </xf>
    <xf numFmtId="0" fontId="51" fillId="0" borderId="0" xfId="0" applyFont="1" applyAlignment="1">
      <alignment vertical="top" wrapText="1"/>
    </xf>
    <xf numFmtId="3" fontId="14" fillId="0" borderId="0" xfId="0" applyNumberFormat="1" applyFont="1"/>
    <xf numFmtId="3" fontId="50" fillId="0" borderId="28" xfId="0" applyNumberFormat="1" applyFont="1" applyBorder="1"/>
    <xf numFmtId="0" fontId="57" fillId="0" borderId="29" xfId="0" applyFont="1" applyBorder="1"/>
    <xf numFmtId="0" fontId="40" fillId="2" borderId="47" xfId="0" applyFont="1" applyFill="1" applyBorder="1" applyAlignment="1">
      <alignment horizontal="center" wrapText="1"/>
    </xf>
    <xf numFmtId="0" fontId="40" fillId="2" borderId="48" xfId="0" applyFont="1" applyFill="1" applyBorder="1" applyAlignment="1">
      <alignment horizontal="center" wrapText="1"/>
    </xf>
    <xf numFmtId="0" fontId="57" fillId="0" borderId="2" xfId="0" applyFont="1" applyBorder="1"/>
    <xf numFmtId="0" fontId="57" fillId="0" borderId="30" xfId="0" applyFont="1" applyBorder="1"/>
    <xf numFmtId="0" fontId="25" fillId="0" borderId="0" xfId="0" applyFont="1" applyAlignment="1">
      <alignment horizontal="center" vertical="top" wrapText="1"/>
    </xf>
    <xf numFmtId="0" fontId="27" fillId="2" borderId="7" xfId="0" applyFont="1" applyFill="1" applyBorder="1" applyAlignment="1">
      <alignment horizontal="center" vertical="top" wrapText="1"/>
    </xf>
    <xf numFmtId="0" fontId="27" fillId="2" borderId="8" xfId="0" applyFont="1" applyFill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7" fillId="0" borderId="10" xfId="0" applyFont="1" applyBorder="1" applyAlignment="1">
      <alignment horizontal="center"/>
    </xf>
    <xf numFmtId="3" fontId="31" fillId="0" borderId="0" xfId="0" applyNumberFormat="1" applyFont="1" applyAlignment="1">
      <alignment horizontal="center"/>
    </xf>
    <xf numFmtId="0" fontId="32" fillId="0" borderId="0" xfId="2" applyFont="1"/>
    <xf numFmtId="3" fontId="32" fillId="0" borderId="0" xfId="2" applyNumberFormat="1" applyFont="1"/>
    <xf numFmtId="3" fontId="32" fillId="0" borderId="0" xfId="2" applyNumberFormat="1" applyFont="1" applyAlignment="1">
      <alignment horizontal="right"/>
    </xf>
    <xf numFmtId="49" fontId="0" fillId="0" borderId="0" xfId="0" applyNumberFormat="1"/>
    <xf numFmtId="0" fontId="59" fillId="0" borderId="15" xfId="0" applyFont="1" applyBorder="1"/>
    <xf numFmtId="0" fontId="59" fillId="0" borderId="24" xfId="2" applyFont="1" applyBorder="1" applyAlignment="1">
      <alignment horizontal="center" wrapText="1"/>
    </xf>
    <xf numFmtId="3" fontId="59" fillId="0" borderId="24" xfId="2" applyNumberFormat="1" applyFont="1" applyBorder="1" applyAlignment="1">
      <alignment horizontal="center" wrapText="1"/>
    </xf>
    <xf numFmtId="3" fontId="59" fillId="0" borderId="19" xfId="2" applyNumberFormat="1" applyFont="1" applyBorder="1" applyAlignment="1">
      <alignment horizontal="center" wrapText="1"/>
    </xf>
    <xf numFmtId="0" fontId="59" fillId="0" borderId="23" xfId="2" applyFont="1" applyBorder="1" applyAlignment="1">
      <alignment horizontal="left" wrapText="1"/>
    </xf>
    <xf numFmtId="49" fontId="19" fillId="0" borderId="6" xfId="2" applyNumberFormat="1" applyFont="1" applyBorder="1" applyAlignment="1">
      <alignment horizontal="justify" wrapText="1"/>
    </xf>
    <xf numFmtId="3" fontId="19" fillId="0" borderId="6" xfId="2" applyNumberFormat="1" applyFont="1" applyBorder="1" applyAlignment="1">
      <alignment horizontal="right" wrapText="1"/>
    </xf>
    <xf numFmtId="49" fontId="59" fillId="0" borderId="6" xfId="2" applyNumberFormat="1" applyFont="1" applyBorder="1" applyAlignment="1">
      <alignment horizontal="justify" wrapText="1"/>
    </xf>
    <xf numFmtId="49" fontId="59" fillId="0" borderId="6" xfId="2" applyNumberFormat="1" applyFont="1" applyBorder="1"/>
    <xf numFmtId="0" fontId="19" fillId="0" borderId="6" xfId="2" applyFont="1" applyBorder="1"/>
    <xf numFmtId="49" fontId="19" fillId="0" borderId="6" xfId="2" applyNumberFormat="1" applyFont="1" applyBorder="1"/>
    <xf numFmtId="0" fontId="19" fillId="0" borderId="6" xfId="0" applyFont="1" applyBorder="1"/>
    <xf numFmtId="0" fontId="59" fillId="0" borderId="25" xfId="0" applyFont="1" applyBorder="1"/>
    <xf numFmtId="49" fontId="19" fillId="0" borderId="10" xfId="0" applyNumberFormat="1" applyFont="1" applyBorder="1" applyAlignment="1">
      <alignment horizontal="right"/>
    </xf>
    <xf numFmtId="3" fontId="19" fillId="0" borderId="11" xfId="2" applyNumberFormat="1" applyFont="1" applyBorder="1" applyAlignment="1">
      <alignment horizontal="right" wrapText="1"/>
    </xf>
    <xf numFmtId="49" fontId="59" fillId="0" borderId="10" xfId="0" applyNumberFormat="1" applyFont="1" applyBorder="1"/>
    <xf numFmtId="0" fontId="19" fillId="0" borderId="11" xfId="2" applyFont="1" applyBorder="1"/>
    <xf numFmtId="0" fontId="19" fillId="0" borderId="11" xfId="0" applyFont="1" applyBorder="1"/>
    <xf numFmtId="49" fontId="19" fillId="0" borderId="16" xfId="0" applyNumberFormat="1" applyFont="1" applyBorder="1" applyAlignment="1">
      <alignment horizontal="right"/>
    </xf>
    <xf numFmtId="0" fontId="19" fillId="0" borderId="27" xfId="0" applyFont="1" applyBorder="1"/>
    <xf numFmtId="0" fontId="19" fillId="0" borderId="12" xfId="0" applyFont="1" applyBorder="1"/>
    <xf numFmtId="3" fontId="59" fillId="0" borderId="23" xfId="2" applyNumberFormat="1" applyFont="1" applyBorder="1" applyAlignment="1">
      <alignment horizontal="center" wrapText="1"/>
    </xf>
    <xf numFmtId="0" fontId="59" fillId="0" borderId="6" xfId="2" applyFont="1" applyBorder="1"/>
    <xf numFmtId="3" fontId="59" fillId="0" borderId="26" xfId="2" applyNumberFormat="1" applyFont="1" applyBorder="1" applyAlignment="1">
      <alignment horizontal="center" wrapText="1"/>
    </xf>
    <xf numFmtId="0" fontId="59" fillId="0" borderId="11" xfId="2" applyFont="1" applyBorder="1"/>
    <xf numFmtId="3" fontId="6" fillId="0" borderId="0" xfId="0" applyNumberFormat="1" applyFont="1" applyAlignment="1">
      <alignment horizontal="center" vertical="center"/>
    </xf>
    <xf numFmtId="0" fontId="62" fillId="0" borderId="3" xfId="0" applyFont="1" applyBorder="1"/>
    <xf numFmtId="3" fontId="63" fillId="0" borderId="4" xfId="0" applyNumberFormat="1" applyFont="1" applyBorder="1"/>
    <xf numFmtId="166" fontId="49" fillId="0" borderId="36" xfId="1" applyNumberFormat="1" applyFont="1" applyBorder="1"/>
    <xf numFmtId="166" fontId="49" fillId="0" borderId="35" xfId="1" applyNumberFormat="1" applyFont="1" applyBorder="1"/>
    <xf numFmtId="166" fontId="49" fillId="0" borderId="38" xfId="1" applyNumberFormat="1" applyFont="1" applyBorder="1"/>
    <xf numFmtId="166" fontId="49" fillId="0" borderId="18" xfId="1" applyNumberFormat="1" applyFont="1" applyBorder="1"/>
    <xf numFmtId="3" fontId="61" fillId="0" borderId="5" xfId="0" applyNumberFormat="1" applyFont="1" applyBorder="1" applyAlignment="1">
      <alignment horizontal="right"/>
    </xf>
    <xf numFmtId="0" fontId="62" fillId="0" borderId="32" xfId="0" applyFont="1" applyBorder="1"/>
    <xf numFmtId="3" fontId="62" fillId="0" borderId="20" xfId="0" applyNumberFormat="1" applyFont="1" applyBorder="1"/>
    <xf numFmtId="3" fontId="62" fillId="0" borderId="44" xfId="0" applyNumberFormat="1" applyFont="1" applyBorder="1"/>
    <xf numFmtId="3" fontId="63" fillId="0" borderId="20" xfId="0" applyNumberFormat="1" applyFont="1" applyBorder="1"/>
    <xf numFmtId="166" fontId="49" fillId="0" borderId="44" xfId="1" applyNumberFormat="1" applyFont="1" applyBorder="1"/>
    <xf numFmtId="166" fontId="49" fillId="0" borderId="49" xfId="1" applyNumberFormat="1" applyFont="1" applyBorder="1"/>
    <xf numFmtId="3" fontId="61" fillId="0" borderId="5" xfId="0" applyNumberFormat="1" applyFont="1" applyBorder="1"/>
    <xf numFmtId="0" fontId="30" fillId="3" borderId="11" xfId="0" applyFont="1" applyFill="1" applyBorder="1"/>
    <xf numFmtId="0" fontId="30" fillId="0" borderId="27" xfId="0" applyFont="1" applyBorder="1" applyAlignment="1">
      <alignment horizontal="center"/>
    </xf>
    <xf numFmtId="0" fontId="30" fillId="3" borderId="11" xfId="0" applyFont="1" applyFill="1" applyBorder="1" applyAlignment="1">
      <alignment wrapText="1"/>
    </xf>
    <xf numFmtId="0" fontId="30" fillId="3" borderId="46" xfId="0" applyFont="1" applyFill="1" applyBorder="1"/>
    <xf numFmtId="0" fontId="30" fillId="3" borderId="12" xfId="0" applyFont="1" applyFill="1" applyBorder="1"/>
    <xf numFmtId="0" fontId="30" fillId="3" borderId="0" xfId="0" applyFont="1" applyFill="1"/>
    <xf numFmtId="0" fontId="30" fillId="3" borderId="0" xfId="0" applyFont="1" applyFill="1" applyAlignment="1">
      <alignment horizontal="right"/>
    </xf>
    <xf numFmtId="0" fontId="27" fillId="3" borderId="9" xfId="0" applyFont="1" applyFill="1" applyBorder="1" applyAlignment="1">
      <alignment horizontal="center" vertical="top" wrapText="1"/>
    </xf>
    <xf numFmtId="0" fontId="27" fillId="3" borderId="11" xfId="0" applyFont="1" applyFill="1" applyBorder="1"/>
    <xf numFmtId="0" fontId="30" fillId="0" borderId="10" xfId="0" applyFont="1" applyBorder="1" applyAlignment="1">
      <alignment horizontal="center"/>
    </xf>
    <xf numFmtId="3" fontId="34" fillId="3" borderId="11" xfId="0" applyNumberFormat="1" applyFont="1" applyFill="1" applyBorder="1"/>
    <xf numFmtId="0" fontId="26" fillId="0" borderId="3" xfId="0" applyFont="1" applyBorder="1"/>
    <xf numFmtId="3" fontId="19" fillId="3" borderId="6" xfId="2" applyNumberFormat="1" applyFont="1" applyFill="1" applyBorder="1" applyAlignment="1">
      <alignment horizontal="right" wrapText="1"/>
    </xf>
    <xf numFmtId="3" fontId="19" fillId="3" borderId="11" xfId="2" applyNumberFormat="1" applyFont="1" applyFill="1" applyBorder="1" applyAlignment="1">
      <alignment horizontal="right" wrapText="1"/>
    </xf>
    <xf numFmtId="0" fontId="24" fillId="3" borderId="11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6" fontId="49" fillId="3" borderId="35" xfId="1" applyNumberFormat="1" applyFont="1" applyFill="1" applyBorder="1"/>
    <xf numFmtId="166" fontId="49" fillId="3" borderId="11" xfId="1" applyNumberFormat="1" applyFont="1" applyFill="1" applyBorder="1"/>
    <xf numFmtId="0" fontId="0" fillId="3" borderId="0" xfId="0" applyFill="1"/>
    <xf numFmtId="3" fontId="17" fillId="0" borderId="0" xfId="0" applyNumberFormat="1" applyFont="1" applyAlignment="1">
      <alignment wrapText="1"/>
    </xf>
    <xf numFmtId="0" fontId="23" fillId="0" borderId="0" xfId="0" applyFont="1" applyAlignment="1">
      <alignment horizontal="right"/>
    </xf>
    <xf numFmtId="0" fontId="40" fillId="2" borderId="53" xfId="0" applyFont="1" applyFill="1" applyBorder="1" applyAlignment="1">
      <alignment horizontal="center" wrapText="1"/>
    </xf>
    <xf numFmtId="0" fontId="53" fillId="0" borderId="22" xfId="0" applyFont="1" applyBorder="1" applyAlignment="1">
      <alignment vertical="top" wrapText="1"/>
    </xf>
    <xf numFmtId="3" fontId="62" fillId="0" borderId="3" xfId="3" applyNumberFormat="1" applyFont="1" applyBorder="1"/>
    <xf numFmtId="3" fontId="62" fillId="0" borderId="54" xfId="0" applyNumberFormat="1" applyFont="1" applyBorder="1"/>
    <xf numFmtId="0" fontId="44" fillId="0" borderId="0" xfId="0" applyFont="1" applyAlignment="1">
      <alignment horizontal="center"/>
    </xf>
    <xf numFmtId="49" fontId="45" fillId="3" borderId="54" xfId="0" applyNumberFormat="1" applyFont="1" applyFill="1" applyBorder="1" applyAlignment="1">
      <alignment vertical="center" wrapText="1" shrinkToFit="1"/>
    </xf>
    <xf numFmtId="1" fontId="0" fillId="0" borderId="0" xfId="0" applyNumberFormat="1"/>
    <xf numFmtId="0" fontId="30" fillId="3" borderId="18" xfId="0" applyFont="1" applyFill="1" applyBorder="1"/>
    <xf numFmtId="3" fontId="62" fillId="0" borderId="26" xfId="3" applyNumberFormat="1" applyFont="1" applyBorder="1"/>
    <xf numFmtId="0" fontId="0" fillId="0" borderId="0" xfId="0" applyAlignment="1"/>
    <xf numFmtId="0" fontId="26" fillId="0" borderId="57" xfId="0" applyFont="1" applyBorder="1" applyAlignment="1">
      <alignment vertical="center" wrapText="1"/>
    </xf>
    <xf numFmtId="3" fontId="26" fillId="0" borderId="58" xfId="0" applyNumberFormat="1" applyFont="1" applyBorder="1" applyAlignment="1">
      <alignment horizontal="right" vertical="center" wrapText="1"/>
    </xf>
    <xf numFmtId="0" fontId="26" fillId="0" borderId="59" xfId="0" applyFont="1" applyBorder="1" applyAlignment="1">
      <alignment vertical="center" wrapText="1"/>
    </xf>
    <xf numFmtId="3" fontId="26" fillId="0" borderId="60" xfId="0" applyNumberFormat="1" applyFont="1" applyBorder="1" applyAlignment="1">
      <alignment horizontal="right" vertical="center" wrapText="1"/>
    </xf>
    <xf numFmtId="0" fontId="50" fillId="0" borderId="55" xfId="0" applyFont="1" applyBorder="1" applyAlignment="1">
      <alignment vertical="center" wrapText="1"/>
    </xf>
    <xf numFmtId="3" fontId="50" fillId="0" borderId="56" xfId="0" applyNumberFormat="1" applyFont="1" applyBorder="1" applyAlignment="1">
      <alignment horizontal="right" vertical="center" wrapText="1"/>
    </xf>
    <xf numFmtId="0" fontId="70" fillId="0" borderId="0" xfId="0" applyFont="1" applyAlignment="1">
      <alignment horizontal="right"/>
    </xf>
    <xf numFmtId="0" fontId="71" fillId="0" borderId="0" xfId="0" applyFont="1"/>
    <xf numFmtId="169" fontId="73" fillId="0" borderId="0" xfId="6" applyNumberFormat="1" applyFont="1" applyAlignment="1">
      <alignment horizontal="right"/>
    </xf>
    <xf numFmtId="0" fontId="44" fillId="5" borderId="0" xfId="0" applyFont="1" applyFill="1" applyAlignment="1">
      <alignment horizontal="center"/>
    </xf>
    <xf numFmtId="0" fontId="0" fillId="5" borderId="0" xfId="0" applyFill="1"/>
    <xf numFmtId="0" fontId="71" fillId="5" borderId="0" xfId="0" applyFont="1" applyFill="1"/>
    <xf numFmtId="0" fontId="53" fillId="8" borderId="66" xfId="0" applyFont="1" applyFill="1" applyBorder="1" applyAlignment="1">
      <alignment horizontal="center" vertical="center" wrapText="1" shrinkToFit="1"/>
    </xf>
    <xf numFmtId="49" fontId="75" fillId="0" borderId="25" xfId="0" applyNumberFormat="1" applyFont="1" applyBorder="1" applyAlignment="1">
      <alignment horizontal="left" vertical="center" wrapText="1" shrinkToFit="1"/>
    </xf>
    <xf numFmtId="0" fontId="75" fillId="0" borderId="23" xfId="0" applyFont="1" applyBorder="1" applyAlignment="1">
      <alignment horizontal="left" vertical="center" wrapText="1" shrinkToFit="1"/>
    </xf>
    <xf numFmtId="0" fontId="75" fillId="0" borderId="23" xfId="0" applyFont="1" applyBorder="1" applyAlignment="1">
      <alignment horizontal="right" wrapText="1" shrinkToFit="1"/>
    </xf>
    <xf numFmtId="3" fontId="75" fillId="0" borderId="23" xfId="0" applyNumberFormat="1" applyFont="1" applyBorder="1" applyAlignment="1">
      <alignment horizontal="right" wrapText="1" shrinkToFit="1"/>
    </xf>
    <xf numFmtId="3" fontId="76" fillId="0" borderId="23" xfId="0" applyNumberFormat="1" applyFont="1" applyBorder="1" applyAlignment="1" applyProtection="1">
      <alignment horizontal="center" wrapText="1"/>
      <protection locked="0"/>
    </xf>
    <xf numFmtId="3" fontId="75" fillId="0" borderId="4" xfId="0" applyNumberFormat="1" applyFont="1" applyBorder="1" applyAlignment="1">
      <alignment horizontal="right" wrapText="1" shrinkToFit="1"/>
    </xf>
    <xf numFmtId="0" fontId="76" fillId="0" borderId="67" xfId="0" applyFont="1" applyBorder="1" applyAlignment="1" applyProtection="1">
      <alignment vertical="center" wrapText="1"/>
      <protection locked="0"/>
    </xf>
    <xf numFmtId="0" fontId="76" fillId="0" borderId="68" xfId="0" applyFont="1" applyBorder="1" applyAlignment="1" applyProtection="1">
      <alignment vertical="center" wrapText="1"/>
      <protection locked="0"/>
    </xf>
    <xf numFmtId="3" fontId="76" fillId="0" borderId="68" xfId="0" applyNumberFormat="1" applyFont="1" applyBorder="1" applyAlignment="1" applyProtection="1">
      <alignment wrapText="1"/>
      <protection locked="0"/>
    </xf>
    <xf numFmtId="3" fontId="76" fillId="0" borderId="69" xfId="0" applyNumberFormat="1" applyFont="1" applyBorder="1" applyAlignment="1" applyProtection="1">
      <alignment wrapText="1"/>
      <protection locked="0"/>
    </xf>
    <xf numFmtId="0" fontId="77" fillId="5" borderId="0" xfId="0" applyFont="1" applyFill="1"/>
    <xf numFmtId="49" fontId="76" fillId="0" borderId="67" xfId="0" applyNumberFormat="1" applyFont="1" applyBorder="1" applyAlignment="1" applyProtection="1">
      <alignment vertical="center" wrapText="1"/>
      <protection locked="0"/>
    </xf>
    <xf numFmtId="0" fontId="78" fillId="0" borderId="68" xfId="0" applyFont="1" applyBorder="1" applyAlignment="1" applyProtection="1">
      <alignment vertical="center" wrapText="1"/>
      <protection locked="0"/>
    </xf>
    <xf numFmtId="49" fontId="76" fillId="0" borderId="70" xfId="0" applyNumberFormat="1" applyFont="1" applyBorder="1" applyAlignment="1" applyProtection="1">
      <alignment vertical="center" wrapText="1"/>
      <protection locked="0"/>
    </xf>
    <xf numFmtId="0" fontId="76" fillId="0" borderId="70" xfId="0" applyFont="1" applyBorder="1" applyAlignment="1" applyProtection="1">
      <alignment vertical="center" wrapText="1"/>
      <protection locked="0"/>
    </xf>
    <xf numFmtId="0" fontId="76" fillId="0" borderId="71" xfId="0" applyFont="1" applyBorder="1" applyAlignment="1" applyProtection="1">
      <alignment vertical="center" wrapText="1"/>
      <protection locked="0"/>
    </xf>
    <xf numFmtId="3" fontId="74" fillId="0" borderId="68" xfId="0" applyNumberFormat="1" applyFont="1" applyBorder="1" applyAlignment="1" applyProtection="1">
      <alignment wrapText="1"/>
      <protection locked="0"/>
    </xf>
    <xf numFmtId="3" fontId="74" fillId="0" borderId="69" xfId="0" applyNumberFormat="1" applyFont="1" applyBorder="1" applyAlignment="1" applyProtection="1">
      <alignment wrapText="1"/>
      <protection locked="0"/>
    </xf>
    <xf numFmtId="0" fontId="79" fillId="0" borderId="0" xfId="0" applyFont="1"/>
    <xf numFmtId="0" fontId="76" fillId="0" borderId="51" xfId="0" applyFont="1" applyBorder="1" applyAlignment="1" applyProtection="1">
      <alignment vertical="center" wrapText="1"/>
      <protection locked="0"/>
    </xf>
    <xf numFmtId="0" fontId="78" fillId="0" borderId="71" xfId="0" applyFont="1" applyBorder="1" applyAlignment="1" applyProtection="1">
      <alignment vertical="center" wrapText="1"/>
      <protection locked="0"/>
    </xf>
    <xf numFmtId="3" fontId="78" fillId="0" borderId="69" xfId="0" applyNumberFormat="1" applyFont="1" applyBorder="1" applyAlignment="1" applyProtection="1">
      <alignment wrapText="1"/>
      <protection locked="0"/>
    </xf>
    <xf numFmtId="0" fontId="76" fillId="0" borderId="25" xfId="0" applyFont="1" applyBorder="1" applyAlignment="1" applyProtection="1">
      <alignment vertical="center" wrapText="1"/>
      <protection locked="0"/>
    </xf>
    <xf numFmtId="0" fontId="76" fillId="0" borderId="72" xfId="0" applyFont="1" applyBorder="1" applyAlignment="1" applyProtection="1">
      <alignment vertical="center" wrapText="1"/>
      <protection locked="0"/>
    </xf>
    <xf numFmtId="3" fontId="76" fillId="0" borderId="72" xfId="0" applyNumberFormat="1" applyFont="1" applyBorder="1" applyAlignment="1" applyProtection="1">
      <alignment wrapText="1"/>
      <protection locked="0"/>
    </xf>
    <xf numFmtId="3" fontId="76" fillId="0" borderId="73" xfId="0" applyNumberFormat="1" applyFont="1" applyBorder="1" applyAlignment="1" applyProtection="1">
      <alignment wrapText="1"/>
      <protection locked="0"/>
    </xf>
    <xf numFmtId="3" fontId="74" fillId="0" borderId="64" xfId="0" applyNumberFormat="1" applyFont="1" applyBorder="1" applyAlignment="1" applyProtection="1">
      <alignment vertical="center" wrapText="1"/>
      <protection locked="0"/>
    </xf>
    <xf numFmtId="3" fontId="74" fillId="0" borderId="64" xfId="0" applyNumberFormat="1" applyFont="1" applyBorder="1" applyAlignment="1" applyProtection="1">
      <alignment horizontal="center" vertical="center" wrapText="1"/>
      <protection locked="0"/>
    </xf>
    <xf numFmtId="3" fontId="74" fillId="0" borderId="61" xfId="0" applyNumberFormat="1" applyFont="1" applyBorder="1" applyAlignment="1" applyProtection="1">
      <alignment vertical="center" wrapText="1"/>
      <protection locked="0"/>
    </xf>
    <xf numFmtId="49" fontId="76" fillId="0" borderId="74" xfId="0" applyNumberFormat="1" applyFont="1" applyBorder="1" applyAlignment="1" applyProtection="1">
      <alignment vertical="center" wrapText="1"/>
      <protection locked="0"/>
    </xf>
    <xf numFmtId="3" fontId="76" fillId="0" borderId="75" xfId="0" applyNumberFormat="1" applyFont="1" applyBorder="1" applyAlignment="1" applyProtection="1">
      <alignment vertical="center" wrapText="1"/>
      <protection locked="0"/>
    </xf>
    <xf numFmtId="3" fontId="76" fillId="0" borderId="75" xfId="0" applyNumberFormat="1" applyFont="1" applyBorder="1" applyAlignment="1" applyProtection="1">
      <alignment horizontal="center" vertical="center" wrapText="1"/>
      <protection locked="0"/>
    </xf>
    <xf numFmtId="3" fontId="76" fillId="0" borderId="76" xfId="0" applyNumberFormat="1" applyFont="1" applyBorder="1" applyAlignment="1" applyProtection="1">
      <alignment vertical="center" wrapText="1"/>
      <protection locked="0"/>
    </xf>
    <xf numFmtId="49" fontId="76" fillId="0" borderId="51" xfId="0" applyNumberFormat="1" applyFont="1" applyBorder="1" applyAlignment="1" applyProtection="1">
      <alignment vertical="center" wrapText="1"/>
      <protection locked="0"/>
    </xf>
    <xf numFmtId="3" fontId="76" fillId="0" borderId="44" xfId="0" applyNumberFormat="1" applyFont="1" applyBorder="1" applyAlignment="1" applyProtection="1">
      <alignment vertical="center" wrapText="1"/>
      <protection locked="0"/>
    </xf>
    <xf numFmtId="3" fontId="76" fillId="0" borderId="50" xfId="0" applyNumberFormat="1" applyFont="1" applyBorder="1" applyAlignment="1" applyProtection="1">
      <alignment vertical="center" wrapText="1"/>
      <protection locked="0"/>
    </xf>
    <xf numFmtId="3" fontId="76" fillId="0" borderId="50" xfId="0" applyNumberFormat="1" applyFont="1" applyBorder="1" applyAlignment="1" applyProtection="1">
      <alignment horizontal="center" vertical="center" wrapText="1"/>
      <protection locked="0"/>
    </xf>
    <xf numFmtId="3" fontId="76" fillId="0" borderId="20" xfId="0" applyNumberFormat="1" applyFont="1" applyBorder="1" applyAlignment="1" applyProtection="1">
      <alignment vertical="center" wrapText="1"/>
      <protection locked="0"/>
    </xf>
    <xf numFmtId="49" fontId="74" fillId="0" borderId="25" xfId="0" applyNumberFormat="1" applyFont="1" applyBorder="1" applyAlignment="1" applyProtection="1">
      <alignment vertical="center" wrapText="1"/>
      <protection locked="0"/>
    </xf>
    <xf numFmtId="0" fontId="74" fillId="0" borderId="23" xfId="0" applyFont="1" applyBorder="1" applyAlignment="1" applyProtection="1">
      <alignment vertical="center" wrapText="1"/>
      <protection locked="0"/>
    </xf>
    <xf numFmtId="3" fontId="80" fillId="0" borderId="23" xfId="1" applyNumberFormat="1" applyFont="1" applyBorder="1" applyProtection="1">
      <protection locked="0"/>
    </xf>
    <xf numFmtId="3" fontId="80" fillId="0" borderId="23" xfId="1" applyNumberFormat="1" applyFont="1" applyBorder="1" applyAlignment="1" applyProtection="1">
      <alignment horizontal="center"/>
      <protection locked="0"/>
    </xf>
    <xf numFmtId="3" fontId="80" fillId="0" borderId="4" xfId="1" applyNumberFormat="1" applyFont="1" applyBorder="1" applyProtection="1">
      <protection locked="0"/>
    </xf>
    <xf numFmtId="49" fontId="78" fillId="0" borderId="25" xfId="0" applyNumberFormat="1" applyFont="1" applyBorder="1" applyAlignment="1" applyProtection="1">
      <alignment vertical="center" wrapText="1"/>
      <protection locked="0"/>
    </xf>
    <xf numFmtId="3" fontId="81" fillId="0" borderId="23" xfId="1" applyNumberFormat="1" applyFont="1" applyBorder="1" applyProtection="1">
      <protection locked="0"/>
    </xf>
    <xf numFmtId="3" fontId="81" fillId="0" borderId="68" xfId="1" applyNumberFormat="1" applyFont="1" applyBorder="1" applyAlignment="1" applyProtection="1">
      <alignment horizontal="right" vertical="center"/>
      <protection locked="0"/>
    </xf>
    <xf numFmtId="3" fontId="81" fillId="0" borderId="4" xfId="1" applyNumberFormat="1" applyFont="1" applyBorder="1" applyProtection="1">
      <protection locked="0"/>
    </xf>
    <xf numFmtId="49" fontId="78" fillId="0" borderId="67" xfId="0" applyNumberFormat="1" applyFont="1" applyBorder="1" applyAlignment="1" applyProtection="1">
      <alignment vertical="center" wrapText="1"/>
      <protection locked="0"/>
    </xf>
    <xf numFmtId="3" fontId="81" fillId="0" borderId="23" xfId="1" applyNumberFormat="1" applyFont="1" applyBorder="1" applyAlignment="1" applyProtection="1">
      <alignment horizontal="center"/>
      <protection locked="0"/>
    </xf>
    <xf numFmtId="3" fontId="81" fillId="0" borderId="69" xfId="1" applyNumberFormat="1" applyFont="1" applyBorder="1" applyProtection="1">
      <protection locked="0"/>
    </xf>
    <xf numFmtId="3" fontId="81" fillId="0" borderId="68" xfId="0" applyNumberFormat="1" applyFont="1" applyBorder="1" applyAlignment="1">
      <alignment horizontal="right" vertical="center"/>
    </xf>
    <xf numFmtId="3" fontId="82" fillId="0" borderId="68" xfId="0" applyNumberFormat="1" applyFont="1" applyBorder="1" applyAlignment="1">
      <alignment horizontal="right" vertical="center"/>
    </xf>
    <xf numFmtId="3" fontId="81" fillId="0" borderId="68" xfId="1" applyNumberFormat="1" applyFont="1" applyBorder="1" applyProtection="1">
      <protection locked="0"/>
    </xf>
    <xf numFmtId="3" fontId="75" fillId="0" borderId="23" xfId="1" applyNumberFormat="1" applyFont="1" applyBorder="1" applyAlignment="1" applyProtection="1">
      <alignment horizontal="center"/>
      <protection locked="0"/>
    </xf>
    <xf numFmtId="49" fontId="74" fillId="0" borderId="51" xfId="0" applyNumberFormat="1" applyFont="1" applyBorder="1" applyAlignment="1" applyProtection="1">
      <alignment vertical="center" wrapText="1"/>
      <protection locked="0"/>
    </xf>
    <xf numFmtId="0" fontId="74" fillId="0" borderId="50" xfId="0" applyFont="1" applyBorder="1" applyAlignment="1" applyProtection="1">
      <alignment vertical="center" wrapText="1"/>
      <protection locked="0"/>
    </xf>
    <xf numFmtId="3" fontId="80" fillId="0" borderId="50" xfId="1" applyNumberFormat="1" applyFont="1" applyBorder="1" applyProtection="1">
      <protection locked="0"/>
    </xf>
    <xf numFmtId="3" fontId="80" fillId="0" borderId="68" xfId="1" applyNumberFormat="1" applyFont="1" applyBorder="1" applyProtection="1">
      <protection locked="0"/>
    </xf>
    <xf numFmtId="3" fontId="80" fillId="0" borderId="77" xfId="1" applyNumberFormat="1" applyFont="1" applyBorder="1" applyAlignment="1" applyProtection="1">
      <alignment horizontal="center"/>
      <protection locked="0"/>
    </xf>
    <xf numFmtId="3" fontId="80" fillId="0" borderId="20" xfId="1" applyNumberFormat="1" applyFont="1" applyBorder="1" applyProtection="1">
      <protection locked="0"/>
    </xf>
    <xf numFmtId="49" fontId="74" fillId="0" borderId="67" xfId="0" applyNumberFormat="1" applyFont="1" applyBorder="1" applyAlignment="1" applyProtection="1">
      <alignment vertical="center" wrapText="1"/>
      <protection locked="0"/>
    </xf>
    <xf numFmtId="0" fontId="74" fillId="0" borderId="68" xfId="0" applyFont="1" applyBorder="1" applyAlignment="1" applyProtection="1">
      <alignment vertical="center" wrapText="1"/>
      <protection locked="0"/>
    </xf>
    <xf numFmtId="3" fontId="80" fillId="0" borderId="69" xfId="1" applyNumberFormat="1" applyFont="1" applyBorder="1" applyProtection="1">
      <protection locked="0"/>
    </xf>
    <xf numFmtId="0" fontId="74" fillId="0" borderId="67" xfId="0" applyFont="1" applyBorder="1" applyAlignment="1" applyProtection="1">
      <alignment vertical="center" wrapText="1"/>
      <protection locked="0"/>
    </xf>
    <xf numFmtId="0" fontId="78" fillId="0" borderId="67" xfId="0" applyFont="1" applyBorder="1" applyAlignment="1" applyProtection="1">
      <alignment vertical="center" wrapText="1"/>
      <protection locked="0"/>
    </xf>
    <xf numFmtId="0" fontId="78" fillId="0" borderId="23" xfId="0" applyFont="1" applyBorder="1" applyAlignment="1" applyProtection="1">
      <alignment vertical="center" wrapText="1"/>
      <protection locked="0"/>
    </xf>
    <xf numFmtId="3" fontId="81" fillId="0" borderId="23" xfId="0" applyNumberFormat="1" applyFont="1" applyBorder="1" applyAlignment="1">
      <alignment horizontal="right" vertical="center"/>
    </xf>
    <xf numFmtId="0" fontId="74" fillId="0" borderId="25" xfId="0" applyFont="1" applyBorder="1" applyAlignment="1" applyProtection="1">
      <alignment vertical="center" wrapText="1"/>
      <protection locked="0"/>
    </xf>
    <xf numFmtId="3" fontId="75" fillId="0" borderId="68" xfId="1" applyNumberFormat="1" applyFont="1" applyBorder="1" applyProtection="1">
      <protection locked="0"/>
    </xf>
    <xf numFmtId="3" fontId="75" fillId="0" borderId="69" xfId="1" applyNumberFormat="1" applyFont="1" applyBorder="1" applyProtection="1">
      <protection locked="0"/>
    </xf>
    <xf numFmtId="0" fontId="76" fillId="0" borderId="50" xfId="0" applyFont="1" applyBorder="1" applyAlignment="1" applyProtection="1">
      <alignment vertical="center" wrapText="1"/>
      <protection locked="0"/>
    </xf>
    <xf numFmtId="3" fontId="75" fillId="0" borderId="50" xfId="1" applyNumberFormat="1" applyFont="1" applyBorder="1" applyProtection="1">
      <protection locked="0"/>
    </xf>
    <xf numFmtId="3" fontId="75" fillId="0" borderId="23" xfId="1" applyNumberFormat="1" applyFont="1" applyBorder="1" applyProtection="1">
      <protection locked="0"/>
    </xf>
    <xf numFmtId="3" fontId="75" fillId="0" borderId="72" xfId="1" applyNumberFormat="1" applyFont="1" applyBorder="1" applyProtection="1">
      <protection locked="0"/>
    </xf>
    <xf numFmtId="3" fontId="75" fillId="0" borderId="73" xfId="1" applyNumberFormat="1" applyFont="1" applyBorder="1" applyProtection="1">
      <protection locked="0"/>
    </xf>
    <xf numFmtId="0" fontId="71" fillId="0" borderId="0" xfId="0" applyFont="1" applyAlignment="1">
      <alignment horizontal="left"/>
    </xf>
    <xf numFmtId="49" fontId="76" fillId="0" borderId="78" xfId="0" applyNumberFormat="1" applyFont="1" applyBorder="1" applyAlignment="1" applyProtection="1">
      <alignment vertical="center" wrapText="1"/>
      <protection locked="0"/>
    </xf>
    <xf numFmtId="0" fontId="76" fillId="0" borderId="79" xfId="0" applyFont="1" applyBorder="1" applyAlignment="1" applyProtection="1">
      <alignment vertical="center" wrapText="1"/>
      <protection locked="0"/>
    </xf>
    <xf numFmtId="3" fontId="75" fillId="0" borderId="66" xfId="1" applyNumberFormat="1" applyFont="1" applyBorder="1" applyProtection="1">
      <protection locked="0"/>
    </xf>
    <xf numFmtId="3" fontId="80" fillId="0" borderId="66" xfId="1" applyNumberFormat="1" applyFont="1" applyBorder="1" applyProtection="1">
      <protection locked="0"/>
    </xf>
    <xf numFmtId="3" fontId="75" fillId="0" borderId="80" xfId="1" applyNumberFormat="1" applyFont="1" applyBorder="1" applyProtection="1">
      <protection locked="0"/>
    </xf>
    <xf numFmtId="3" fontId="80" fillId="0" borderId="64" xfId="1" applyNumberFormat="1" applyFont="1" applyBorder="1" applyProtection="1">
      <protection locked="0"/>
    </xf>
    <xf numFmtId="3" fontId="80" fillId="0" borderId="64" xfId="1" applyNumberFormat="1" applyFont="1" applyBorder="1" applyAlignment="1" applyProtection="1">
      <alignment horizontal="center"/>
      <protection locked="0"/>
    </xf>
    <xf numFmtId="3" fontId="80" fillId="0" borderId="61" xfId="1" applyNumberFormat="1" applyFont="1" applyBorder="1" applyProtection="1">
      <protection locked="0"/>
    </xf>
    <xf numFmtId="3" fontId="76" fillId="0" borderId="68" xfId="0" applyNumberFormat="1" applyFont="1" applyBorder="1" applyAlignment="1" applyProtection="1">
      <alignment vertical="center" wrapText="1"/>
      <protection locked="0"/>
    </xf>
    <xf numFmtId="3" fontId="76" fillId="0" borderId="69" xfId="0" applyNumberFormat="1" applyFont="1" applyBorder="1" applyAlignment="1" applyProtection="1">
      <alignment vertical="center" wrapText="1"/>
      <protection locked="0"/>
    </xf>
    <xf numFmtId="3" fontId="75" fillId="5" borderId="72" xfId="0" applyNumberFormat="1" applyFont="1" applyFill="1" applyBorder="1" applyAlignment="1" applyProtection="1">
      <alignment vertical="center" wrapText="1"/>
      <protection locked="0"/>
    </xf>
    <xf numFmtId="3" fontId="75" fillId="5" borderId="72" xfId="0" applyNumberFormat="1" applyFont="1" applyFill="1" applyBorder="1" applyAlignment="1" applyProtection="1">
      <alignment horizontal="center" vertical="center" wrapText="1"/>
      <protection locked="0"/>
    </xf>
    <xf numFmtId="3" fontId="75" fillId="5" borderId="73" xfId="0" applyNumberFormat="1" applyFont="1" applyFill="1" applyBorder="1" applyAlignment="1" applyProtection="1">
      <alignment vertical="center" wrapText="1"/>
      <protection locked="0"/>
    </xf>
    <xf numFmtId="3" fontId="71" fillId="0" borderId="0" xfId="0" applyNumberFormat="1" applyFont="1"/>
    <xf numFmtId="3" fontId="76" fillId="0" borderId="72" xfId="0" applyNumberFormat="1" applyFont="1" applyBorder="1" applyAlignment="1" applyProtection="1">
      <alignment vertical="center" wrapText="1"/>
      <protection locked="0"/>
    </xf>
    <xf numFmtId="3" fontId="76" fillId="0" borderId="72" xfId="0" applyNumberFormat="1" applyFont="1" applyBorder="1" applyAlignment="1" applyProtection="1">
      <alignment horizontal="center" vertical="center" wrapText="1"/>
      <protection locked="0"/>
    </xf>
    <xf numFmtId="167" fontId="75" fillId="0" borderId="73" xfId="6" applyNumberFormat="1" applyFont="1" applyBorder="1" applyAlignment="1">
      <alignment vertical="center"/>
    </xf>
    <xf numFmtId="3" fontId="74" fillId="0" borderId="82" xfId="0" applyNumberFormat="1" applyFont="1" applyBorder="1" applyAlignment="1" applyProtection="1">
      <alignment vertical="center" wrapText="1"/>
      <protection locked="0"/>
    </xf>
    <xf numFmtId="3" fontId="74" fillId="0" borderId="82" xfId="0" applyNumberFormat="1" applyFont="1" applyBorder="1" applyAlignment="1" applyProtection="1">
      <alignment horizontal="center" vertical="center" wrapText="1"/>
      <protection locked="0"/>
    </xf>
    <xf numFmtId="3" fontId="80" fillId="0" borderId="62" xfId="6" applyNumberFormat="1" applyFont="1" applyBorder="1" applyAlignment="1">
      <alignment vertical="center"/>
    </xf>
    <xf numFmtId="3" fontId="76" fillId="0" borderId="68" xfId="0" applyNumberFormat="1" applyFont="1" applyBorder="1" applyAlignment="1" applyProtection="1">
      <alignment horizontal="center" vertical="center" wrapText="1"/>
      <protection locked="0"/>
    </xf>
    <xf numFmtId="3" fontId="76" fillId="0" borderId="73" xfId="0" applyNumberFormat="1" applyFont="1" applyBorder="1" applyAlignment="1" applyProtection="1">
      <alignment vertical="center" wrapText="1"/>
      <protection locked="0"/>
    </xf>
    <xf numFmtId="3" fontId="74" fillId="0" borderId="62" xfId="0" applyNumberFormat="1" applyFont="1" applyBorder="1" applyAlignment="1" applyProtection="1">
      <alignment vertical="center" wrapText="1"/>
      <protection locked="0"/>
    </xf>
    <xf numFmtId="3" fontId="76" fillId="5" borderId="68" xfId="0" applyNumberFormat="1" applyFont="1" applyFill="1" applyBorder="1" applyAlignment="1" applyProtection="1">
      <alignment vertical="center" wrapText="1"/>
      <protection locked="0"/>
    </xf>
    <xf numFmtId="3" fontId="76" fillId="5" borderId="69" xfId="0" applyNumberFormat="1" applyFont="1" applyFill="1" applyBorder="1" applyAlignment="1" applyProtection="1">
      <alignment vertical="center" wrapText="1"/>
      <protection locked="0"/>
    </xf>
    <xf numFmtId="3" fontId="1" fillId="0" borderId="0" xfId="6" applyNumberFormat="1"/>
    <xf numFmtId="3" fontId="44" fillId="10" borderId="64" xfId="6" applyNumberFormat="1" applyFont="1" applyFill="1" applyBorder="1"/>
    <xf numFmtId="3" fontId="44" fillId="10" borderId="86" xfId="6" applyNumberFormat="1" applyFont="1" applyFill="1" applyBorder="1" applyAlignment="1">
      <alignment horizontal="center"/>
    </xf>
    <xf numFmtId="3" fontId="44" fillId="10" borderId="61" xfId="6" applyNumberFormat="1" applyFont="1" applyFill="1" applyBorder="1"/>
    <xf numFmtId="167" fontId="73" fillId="0" borderId="0" xfId="6" applyNumberFormat="1" applyFont="1"/>
    <xf numFmtId="0" fontId="44" fillId="0" borderId="0" xfId="0" applyFont="1"/>
    <xf numFmtId="3" fontId="44" fillId="0" borderId="0" xfId="0" applyNumberFormat="1" applyFont="1"/>
    <xf numFmtId="169" fontId="1" fillId="0" borderId="0" xfId="6" applyNumberFormat="1"/>
    <xf numFmtId="0" fontId="73" fillId="0" borderId="0" xfId="0" applyFont="1"/>
    <xf numFmtId="0" fontId="73" fillId="0" borderId="0" xfId="0" applyFont="1" applyAlignment="1">
      <alignment horizontal="right"/>
    </xf>
    <xf numFmtId="3" fontId="44" fillId="5" borderId="0" xfId="0" applyNumberFormat="1" applyFont="1" applyFill="1"/>
    <xf numFmtId="0" fontId="80" fillId="7" borderId="66" xfId="0" applyFont="1" applyFill="1" applyBorder="1" applyAlignment="1">
      <alignment horizontal="center" vertical="center" wrapText="1" shrinkToFit="1"/>
    </xf>
    <xf numFmtId="0" fontId="80" fillId="7" borderId="89" xfId="0" applyFont="1" applyFill="1" applyBorder="1" applyAlignment="1">
      <alignment horizontal="center" vertical="center" wrapText="1" shrinkToFit="1"/>
    </xf>
    <xf numFmtId="0" fontId="76" fillId="0" borderId="23" xfId="0" applyFont="1" applyBorder="1" applyAlignment="1" applyProtection="1">
      <alignment vertical="center" wrapText="1"/>
      <protection locked="0"/>
    </xf>
    <xf numFmtId="3" fontId="76" fillId="0" borderId="23" xfId="0" applyNumberFormat="1" applyFont="1" applyBorder="1" applyAlignment="1" applyProtection="1">
      <alignment vertical="center" wrapText="1"/>
      <protection locked="0"/>
    </xf>
    <xf numFmtId="3" fontId="76" fillId="0" borderId="23" xfId="0" applyNumberFormat="1" applyFont="1" applyBorder="1" applyAlignment="1" applyProtection="1">
      <alignment horizontal="center" vertical="center" wrapText="1"/>
      <protection locked="0"/>
    </xf>
    <xf numFmtId="3" fontId="76" fillId="0" borderId="4" xfId="0" applyNumberFormat="1" applyFont="1" applyBorder="1" applyAlignment="1" applyProtection="1">
      <alignment vertical="center" wrapText="1"/>
      <protection locked="0"/>
    </xf>
    <xf numFmtId="49" fontId="76" fillId="0" borderId="25" xfId="0" applyNumberFormat="1" applyFont="1" applyBorder="1" applyAlignment="1" applyProtection="1">
      <alignment vertical="center" wrapText="1"/>
      <protection locked="0"/>
    </xf>
    <xf numFmtId="49" fontId="76" fillId="0" borderId="67" xfId="0" applyNumberFormat="1" applyFont="1" applyBorder="1" applyAlignment="1" applyProtection="1">
      <alignment horizontal="left" vertical="center" wrapText="1"/>
      <protection locked="0"/>
    </xf>
    <xf numFmtId="170" fontId="0" fillId="0" borderId="0" xfId="0" applyNumberFormat="1"/>
    <xf numFmtId="171" fontId="0" fillId="0" borderId="0" xfId="0" applyNumberFormat="1"/>
    <xf numFmtId="3" fontId="0" fillId="5" borderId="0" xfId="0" applyNumberFormat="1" applyFill="1"/>
    <xf numFmtId="0" fontId="76" fillId="0" borderId="90" xfId="0" applyFont="1" applyBorder="1" applyAlignment="1" applyProtection="1">
      <alignment vertical="center" wrapText="1"/>
      <protection locked="0"/>
    </xf>
    <xf numFmtId="49" fontId="75" fillId="0" borderId="70" xfId="0" applyNumberFormat="1" applyFont="1" applyBorder="1" applyAlignment="1">
      <alignment horizontal="left" vertical="center" wrapText="1" shrinkToFit="1"/>
    </xf>
    <xf numFmtId="0" fontId="75" fillId="0" borderId="72" xfId="0" applyFont="1" applyBorder="1" applyAlignment="1">
      <alignment horizontal="left" vertical="center" wrapText="1" shrinkToFit="1"/>
    </xf>
    <xf numFmtId="3" fontId="75" fillId="0" borderId="72" xfId="0" applyNumberFormat="1" applyFont="1" applyBorder="1" applyAlignment="1">
      <alignment horizontal="right" vertical="center" wrapText="1" shrinkToFit="1"/>
    </xf>
    <xf numFmtId="3" fontId="75" fillId="0" borderId="72" xfId="0" applyNumberFormat="1" applyFont="1" applyBorder="1" applyAlignment="1">
      <alignment horizontal="center" vertical="center" wrapText="1" shrinkToFit="1"/>
    </xf>
    <xf numFmtId="3" fontId="75" fillId="0" borderId="73" xfId="0" applyNumberFormat="1" applyFont="1" applyBorder="1" applyAlignment="1">
      <alignment horizontal="right" vertical="center" wrapText="1" shrinkToFit="1"/>
    </xf>
    <xf numFmtId="3" fontId="75" fillId="0" borderId="73" xfId="6" applyNumberFormat="1" applyFont="1" applyBorder="1" applyAlignment="1">
      <alignment vertical="center"/>
    </xf>
    <xf numFmtId="0" fontId="24" fillId="5" borderId="0" xfId="0" applyFont="1" applyFill="1"/>
    <xf numFmtId="3" fontId="74" fillId="11" borderId="64" xfId="0" applyNumberFormat="1" applyFont="1" applyFill="1" applyBorder="1" applyAlignment="1" applyProtection="1">
      <alignment vertical="center" wrapText="1"/>
      <protection locked="0"/>
    </xf>
    <xf numFmtId="3" fontId="74" fillId="11" borderId="64" xfId="0" applyNumberFormat="1" applyFont="1" applyFill="1" applyBorder="1" applyAlignment="1" applyProtection="1">
      <alignment horizontal="center" vertical="center" wrapText="1"/>
      <protection locked="0"/>
    </xf>
    <xf numFmtId="3" fontId="74" fillId="11" borderId="61" xfId="0" applyNumberFormat="1" applyFont="1" applyFill="1" applyBorder="1" applyAlignment="1" applyProtection="1">
      <alignment vertical="center" wrapText="1"/>
      <protection locked="0"/>
    </xf>
    <xf numFmtId="3" fontId="75" fillId="0" borderId="69" xfId="6" applyNumberFormat="1" applyFont="1" applyBorder="1"/>
    <xf numFmtId="3" fontId="75" fillId="0" borderId="73" xfId="6" applyNumberFormat="1" applyFont="1" applyBorder="1"/>
    <xf numFmtId="3" fontId="1" fillId="0" borderId="69" xfId="6" applyNumberFormat="1" applyBorder="1"/>
    <xf numFmtId="3" fontId="80" fillId="0" borderId="61" xfId="6" applyNumberFormat="1" applyFont="1" applyBorder="1"/>
    <xf numFmtId="3" fontId="75" fillId="0" borderId="50" xfId="0" applyNumberFormat="1" applyFont="1" applyBorder="1" applyAlignment="1">
      <alignment horizontal="right" vertical="center" wrapText="1" shrinkToFit="1"/>
    </xf>
    <xf numFmtId="3" fontId="80" fillId="0" borderId="50" xfId="0" applyNumberFormat="1" applyFont="1" applyBorder="1" applyAlignment="1">
      <alignment horizontal="center" vertical="center" wrapText="1" shrinkToFit="1"/>
    </xf>
    <xf numFmtId="3" fontId="76" fillId="0" borderId="92" xfId="0" applyNumberFormat="1" applyFont="1" applyBorder="1" applyAlignment="1" applyProtection="1">
      <alignment horizontal="center" vertical="center" wrapText="1"/>
      <protection locked="0"/>
    </xf>
    <xf numFmtId="3" fontId="75" fillId="0" borderId="62" xfId="0" applyNumberFormat="1" applyFont="1" applyBorder="1" applyAlignment="1">
      <alignment horizontal="right" vertical="center" wrapText="1" shrinkToFit="1"/>
    </xf>
    <xf numFmtId="3" fontId="83" fillId="0" borderId="0" xfId="0" applyNumberFormat="1" applyFont="1"/>
    <xf numFmtId="0" fontId="83" fillId="0" borderId="0" xfId="0" applyFont="1"/>
    <xf numFmtId="3" fontId="74" fillId="0" borderId="86" xfId="0" applyNumberFormat="1" applyFont="1" applyBorder="1" applyAlignment="1" applyProtection="1">
      <alignment horizontal="center" vertical="center" wrapText="1"/>
      <protection locked="0"/>
    </xf>
    <xf numFmtId="3" fontId="76" fillId="0" borderId="66" xfId="0" applyNumberFormat="1" applyFont="1" applyBorder="1" applyAlignment="1" applyProtection="1">
      <alignment vertical="center" wrapText="1"/>
      <protection locked="0"/>
    </xf>
    <xf numFmtId="3" fontId="76" fillId="0" borderId="66" xfId="0" applyNumberFormat="1" applyFont="1" applyBorder="1" applyAlignment="1" applyProtection="1">
      <alignment horizontal="center" vertical="center" wrapText="1"/>
      <protection locked="0"/>
    </xf>
    <xf numFmtId="3" fontId="76" fillId="0" borderId="80" xfId="0" applyNumberFormat="1" applyFont="1" applyBorder="1" applyAlignment="1" applyProtection="1">
      <alignment vertical="center" wrapText="1"/>
      <protection locked="0"/>
    </xf>
    <xf numFmtId="3" fontId="76" fillId="5" borderId="23" xfId="0" applyNumberFormat="1" applyFont="1" applyFill="1" applyBorder="1" applyAlignment="1" applyProtection="1">
      <alignment vertical="center" wrapText="1"/>
      <protection locked="0"/>
    </xf>
    <xf numFmtId="3" fontId="76" fillId="5" borderId="4" xfId="0" applyNumberFormat="1" applyFont="1" applyFill="1" applyBorder="1" applyAlignment="1" applyProtection="1">
      <alignment vertical="center" wrapText="1"/>
      <protection locked="0"/>
    </xf>
    <xf numFmtId="49" fontId="76" fillId="0" borderId="68" xfId="0" applyNumberFormat="1" applyFont="1" applyBorder="1" applyAlignment="1" applyProtection="1">
      <alignment vertical="center" wrapText="1"/>
      <protection locked="0"/>
    </xf>
    <xf numFmtId="3" fontId="76" fillId="0" borderId="68" xfId="0" applyNumberFormat="1" applyFont="1" applyBorder="1" applyAlignment="1" applyProtection="1">
      <alignment horizontal="right" vertical="center" wrapText="1"/>
      <protection locked="0"/>
    </xf>
    <xf numFmtId="3" fontId="76" fillId="0" borderId="77" xfId="0" applyNumberFormat="1" applyFont="1" applyBorder="1" applyAlignment="1" applyProtection="1">
      <alignment horizontal="center" vertical="center" wrapText="1"/>
      <protection locked="0"/>
    </xf>
    <xf numFmtId="0" fontId="76" fillId="0" borderId="78" xfId="0" applyFont="1" applyBorder="1" applyAlignment="1" applyProtection="1">
      <alignment vertical="center" wrapText="1"/>
      <protection locked="0"/>
    </xf>
    <xf numFmtId="0" fontId="76" fillId="0" borderId="66" xfId="0" applyFont="1" applyBorder="1" applyAlignment="1" applyProtection="1">
      <alignment vertical="center" wrapText="1"/>
      <protection locked="0"/>
    </xf>
    <xf numFmtId="3" fontId="74" fillId="0" borderId="66" xfId="0" applyNumberFormat="1" applyFont="1" applyBorder="1" applyAlignment="1" applyProtection="1">
      <alignment horizontal="center" vertical="center" wrapText="1"/>
      <protection locked="0"/>
    </xf>
    <xf numFmtId="3" fontId="1" fillId="0" borderId="0" xfId="1" applyNumberFormat="1" applyProtection="1">
      <protection locked="0"/>
    </xf>
    <xf numFmtId="0" fontId="44" fillId="5" borderId="0" xfId="0" applyFont="1" applyFill="1"/>
    <xf numFmtId="3" fontId="44" fillId="5" borderId="0" xfId="1" applyNumberFormat="1" applyFont="1" applyFill="1" applyProtection="1">
      <protection locked="0"/>
    </xf>
    <xf numFmtId="3" fontId="76" fillId="5" borderId="72" xfId="0" applyNumberFormat="1" applyFont="1" applyFill="1" applyBorder="1" applyAlignment="1" applyProtection="1">
      <alignment vertical="center" wrapText="1"/>
      <protection locked="0"/>
    </xf>
    <xf numFmtId="3" fontId="76" fillId="5" borderId="73" xfId="0" applyNumberFormat="1" applyFont="1" applyFill="1" applyBorder="1" applyAlignment="1" applyProtection="1">
      <alignment vertical="center" wrapText="1"/>
      <protection locked="0"/>
    </xf>
    <xf numFmtId="3" fontId="74" fillId="5" borderId="91" xfId="0" applyNumberFormat="1" applyFont="1" applyFill="1" applyBorder="1" applyAlignment="1" applyProtection="1">
      <alignment vertical="center" wrapText="1"/>
      <protection locked="0"/>
    </xf>
    <xf numFmtId="3" fontId="74" fillId="5" borderId="91" xfId="0" applyNumberFormat="1" applyFont="1" applyFill="1" applyBorder="1" applyAlignment="1" applyProtection="1">
      <alignment horizontal="center" vertical="center" wrapText="1"/>
      <protection locked="0"/>
    </xf>
    <xf numFmtId="3" fontId="74" fillId="5" borderId="61" xfId="0" applyNumberFormat="1" applyFont="1" applyFill="1" applyBorder="1" applyAlignment="1" applyProtection="1">
      <alignment vertical="center" wrapText="1"/>
      <protection locked="0"/>
    </xf>
    <xf numFmtId="3" fontId="76" fillId="5" borderId="66" xfId="0" applyNumberFormat="1" applyFont="1" applyFill="1" applyBorder="1" applyAlignment="1" applyProtection="1">
      <alignment vertical="center" wrapText="1"/>
      <protection locked="0"/>
    </xf>
    <xf numFmtId="3" fontId="76" fillId="5" borderId="80" xfId="0" applyNumberFormat="1" applyFont="1" applyFill="1" applyBorder="1" applyAlignment="1" applyProtection="1">
      <alignment vertical="center" wrapText="1"/>
      <protection locked="0"/>
    </xf>
    <xf numFmtId="3" fontId="74" fillId="5" borderId="64" xfId="0" applyNumberFormat="1" applyFont="1" applyFill="1" applyBorder="1" applyAlignment="1" applyProtection="1">
      <alignment vertical="center" wrapText="1"/>
      <protection locked="0"/>
    </xf>
    <xf numFmtId="0" fontId="76" fillId="0" borderId="68" xfId="0" applyFont="1" applyBorder="1" applyAlignment="1" applyProtection="1">
      <alignment horizontal="left" vertical="center" wrapText="1"/>
      <protection locked="0"/>
    </xf>
    <xf numFmtId="0" fontId="75" fillId="0" borderId="72" xfId="0" applyFont="1" applyBorder="1" applyAlignment="1">
      <alignment horizontal="right" vertical="center" wrapText="1" shrinkToFit="1"/>
    </xf>
    <xf numFmtId="3" fontId="75" fillId="0" borderId="93" xfId="0" applyNumberFormat="1" applyFont="1" applyBorder="1" applyAlignment="1">
      <alignment horizontal="right" vertical="center" wrapText="1" shrinkToFit="1"/>
    </xf>
    <xf numFmtId="3" fontId="84" fillId="5" borderId="68" xfId="0" applyNumberFormat="1" applyFont="1" applyFill="1" applyBorder="1" applyAlignment="1">
      <alignment horizontal="right" vertical="center" wrapText="1" shrinkToFit="1"/>
    </xf>
    <xf numFmtId="3" fontId="75" fillId="5" borderId="68" xfId="0" applyNumberFormat="1" applyFont="1" applyFill="1" applyBorder="1" applyAlignment="1">
      <alignment horizontal="center" vertical="center" wrapText="1" shrinkToFit="1"/>
    </xf>
    <xf numFmtId="3" fontId="74" fillId="5" borderId="6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170" fontId="76" fillId="0" borderId="0" xfId="0" applyNumberFormat="1" applyFont="1" applyAlignment="1" applyProtection="1">
      <alignment vertical="center" wrapText="1"/>
      <protection locked="0"/>
    </xf>
    <xf numFmtId="0" fontId="44" fillId="10" borderId="83" xfId="0" applyFont="1" applyFill="1" applyBorder="1" applyAlignment="1">
      <alignment horizontal="left"/>
    </xf>
    <xf numFmtId="0" fontId="44" fillId="10" borderId="63" xfId="0" applyFont="1" applyFill="1" applyBorder="1" applyAlignment="1">
      <alignment horizontal="left"/>
    </xf>
    <xf numFmtId="3" fontId="44" fillId="10" borderId="61" xfId="0" applyNumberFormat="1" applyFont="1" applyFill="1" applyBorder="1"/>
    <xf numFmtId="0" fontId="50" fillId="15" borderId="77" xfId="0" applyFont="1" applyFill="1" applyBorder="1" applyAlignment="1">
      <alignment horizontal="center" vertical="center"/>
    </xf>
    <xf numFmtId="0" fontId="53" fillId="13" borderId="66" xfId="0" applyFont="1" applyFill="1" applyBorder="1" applyAlignment="1">
      <alignment horizontal="center" vertical="center" wrapText="1" shrinkToFit="1"/>
    </xf>
    <xf numFmtId="0" fontId="53" fillId="13" borderId="89" xfId="0" applyFont="1" applyFill="1" applyBorder="1" applyAlignment="1">
      <alignment horizontal="center" vertical="center" wrapText="1" shrinkToFit="1"/>
    </xf>
    <xf numFmtId="3" fontId="44" fillId="14" borderId="91" xfId="0" applyNumberFormat="1" applyFont="1" applyFill="1" applyBorder="1"/>
    <xf numFmtId="3" fontId="44" fillId="14" borderId="64" xfId="0" applyNumberFormat="1" applyFont="1" applyFill="1" applyBorder="1"/>
    <xf numFmtId="3" fontId="44" fillId="14" borderId="64" xfId="0" applyNumberFormat="1" applyFont="1" applyFill="1" applyBorder="1" applyAlignment="1">
      <alignment horizontal="center"/>
    </xf>
    <xf numFmtId="49" fontId="45" fillId="0" borderId="74" xfId="0" applyNumberFormat="1" applyFont="1" applyBorder="1" applyAlignment="1">
      <alignment horizontal="left" vertical="center" wrapText="1" shrinkToFit="1"/>
    </xf>
    <xf numFmtId="0" fontId="45" fillId="0" borderId="75" xfId="0" applyFont="1" applyBorder="1" applyAlignment="1">
      <alignment horizontal="left" vertical="center" wrapText="1" shrinkToFit="1"/>
    </xf>
    <xf numFmtId="3" fontId="45" fillId="0" borderId="75" xfId="0" applyNumberFormat="1" applyFont="1" applyBorder="1" applyAlignment="1">
      <alignment horizontal="right" vertical="center" wrapText="1" shrinkToFit="1"/>
    </xf>
    <xf numFmtId="3" fontId="45" fillId="0" borderId="94" xfId="0" applyNumberFormat="1" applyFont="1" applyBorder="1" applyAlignment="1">
      <alignment horizontal="right" vertical="center" wrapText="1" shrinkToFit="1"/>
    </xf>
    <xf numFmtId="49" fontId="45" fillId="0" borderId="25" xfId="0" applyNumberFormat="1" applyFont="1" applyBorder="1" applyAlignment="1">
      <alignment horizontal="left" vertical="center" wrapText="1" shrinkToFit="1"/>
    </xf>
    <xf numFmtId="0" fontId="45" fillId="0" borderId="23" xfId="0" applyFont="1" applyBorder="1" applyAlignment="1">
      <alignment horizontal="left" vertical="center" wrapText="1" shrinkToFit="1"/>
    </xf>
    <xf numFmtId="3" fontId="45" fillId="0" borderId="23" xfId="0" applyNumberFormat="1" applyFont="1" applyBorder="1" applyAlignment="1">
      <alignment horizontal="right" vertical="center" wrapText="1" shrinkToFit="1"/>
    </xf>
    <xf numFmtId="3" fontId="45" fillId="0" borderId="26" xfId="0" applyNumberFormat="1" applyFont="1" applyBorder="1" applyAlignment="1">
      <alignment horizontal="right" vertical="center" wrapText="1" shrinkToFit="1"/>
    </xf>
    <xf numFmtId="3" fontId="44" fillId="14" borderId="95" xfId="0" applyNumberFormat="1" applyFont="1" applyFill="1" applyBorder="1"/>
    <xf numFmtId="3" fontId="44" fillId="14" borderId="82" xfId="0" applyNumberFormat="1" applyFont="1" applyFill="1" applyBorder="1" applyAlignment="1">
      <alignment horizontal="center"/>
    </xf>
    <xf numFmtId="0" fontId="59" fillId="0" borderId="0" xfId="0" applyFont="1" applyAlignment="1">
      <alignment horizontal="center"/>
    </xf>
    <xf numFmtId="3" fontId="44" fillId="0" borderId="0" xfId="0" applyNumberFormat="1" applyFont="1" applyAlignment="1">
      <alignment horizontal="center"/>
    </xf>
    <xf numFmtId="3" fontId="44" fillId="14" borderId="91" xfId="0" applyNumberFormat="1" applyFont="1" applyFill="1" applyBorder="1" applyAlignment="1">
      <alignment horizontal="center"/>
    </xf>
    <xf numFmtId="49" fontId="45" fillId="0" borderId="25" xfId="0" applyNumberFormat="1" applyFont="1" applyFill="1" applyBorder="1" applyAlignment="1">
      <alignment horizontal="left" vertical="center" wrapText="1" shrinkToFit="1"/>
    </xf>
    <xf numFmtId="49" fontId="45" fillId="0" borderId="23" xfId="0" applyNumberFormat="1" applyFont="1" applyFill="1" applyBorder="1" applyAlignment="1">
      <alignment vertical="center" wrapText="1" shrinkToFit="1"/>
    </xf>
    <xf numFmtId="3" fontId="45" fillId="0" borderId="23" xfId="0" applyNumberFormat="1" applyFont="1" applyFill="1" applyBorder="1" applyAlignment="1">
      <alignment vertical="center" wrapText="1" shrinkToFit="1"/>
    </xf>
    <xf numFmtId="3" fontId="45" fillId="0" borderId="23" xfId="0" applyNumberFormat="1" applyFont="1" applyFill="1" applyBorder="1" applyAlignment="1">
      <alignment horizontal="center" vertical="center" wrapText="1" shrinkToFit="1"/>
    </xf>
    <xf numFmtId="3" fontId="45" fillId="0" borderId="26" xfId="0" applyNumberFormat="1" applyFont="1" applyFill="1" applyBorder="1" applyAlignment="1">
      <alignment vertical="center" wrapText="1" shrinkToFit="1"/>
    </xf>
    <xf numFmtId="49" fontId="45" fillId="0" borderId="72" xfId="0" applyNumberFormat="1" applyFont="1" applyFill="1" applyBorder="1" applyAlignment="1">
      <alignment vertical="center" wrapText="1" shrinkToFit="1"/>
    </xf>
    <xf numFmtId="3" fontId="45" fillId="0" borderId="50" xfId="0" applyNumberFormat="1" applyFont="1" applyFill="1" applyBorder="1" applyAlignment="1">
      <alignment vertical="center" wrapText="1" shrinkToFit="1"/>
    </xf>
    <xf numFmtId="3" fontId="45" fillId="0" borderId="49" xfId="0" applyNumberFormat="1" applyFont="1" applyFill="1" applyBorder="1" applyAlignment="1">
      <alignment vertical="center" wrapText="1" shrinkToFit="1"/>
    </xf>
    <xf numFmtId="49" fontId="85" fillId="0" borderId="68" xfId="0" applyNumberFormat="1" applyFont="1" applyFill="1" applyBorder="1" applyAlignment="1">
      <alignment vertical="center" wrapText="1" shrinkToFit="1"/>
    </xf>
    <xf numFmtId="3" fontId="85" fillId="0" borderId="68" xfId="0" applyNumberFormat="1" applyFont="1" applyFill="1" applyBorder="1" applyAlignment="1">
      <alignment vertical="center" wrapText="1" shrinkToFit="1"/>
    </xf>
    <xf numFmtId="3" fontId="85" fillId="0" borderId="23" xfId="0" applyNumberFormat="1" applyFont="1" applyFill="1" applyBorder="1" applyAlignment="1">
      <alignment vertical="center" wrapText="1" shrinkToFit="1"/>
    </xf>
    <xf numFmtId="3" fontId="85" fillId="0" borderId="23" xfId="0" applyNumberFormat="1" applyFont="1" applyFill="1" applyBorder="1" applyAlignment="1">
      <alignment horizontal="center" vertical="center" wrapText="1" shrinkToFit="1"/>
    </xf>
    <xf numFmtId="3" fontId="85" fillId="0" borderId="77" xfId="0" applyNumberFormat="1" applyFont="1" applyFill="1" applyBorder="1" applyAlignment="1">
      <alignment vertical="center" wrapText="1" shrinkToFit="1"/>
    </xf>
    <xf numFmtId="3" fontId="85" fillId="0" borderId="72" xfId="0" applyNumberFormat="1" applyFont="1" applyFill="1" applyBorder="1" applyAlignment="1">
      <alignment vertical="center" wrapText="1" shrinkToFit="1"/>
    </xf>
    <xf numFmtId="3" fontId="85" fillId="0" borderId="93" xfId="0" applyNumberFormat="1" applyFont="1" applyFill="1" applyBorder="1" applyAlignment="1">
      <alignment vertical="center" wrapText="1" shrinkToFit="1"/>
    </xf>
    <xf numFmtId="49" fontId="85" fillId="0" borderId="72" xfId="0" applyNumberFormat="1" applyFont="1" applyFill="1" applyBorder="1" applyAlignment="1">
      <alignment vertical="center" wrapText="1" shrinkToFit="1"/>
    </xf>
    <xf numFmtId="3" fontId="45" fillId="0" borderId="23" xfId="0" applyNumberFormat="1" applyFont="1" applyFill="1" applyBorder="1" applyAlignment="1">
      <alignment horizontal="right" vertical="center" wrapText="1" shrinkToFit="1"/>
    </xf>
    <xf numFmtId="3" fontId="45" fillId="0" borderId="26" xfId="0" applyNumberFormat="1" applyFont="1" applyFill="1" applyBorder="1" applyAlignment="1">
      <alignment horizontal="right" vertical="center" wrapText="1" shrinkToFit="1"/>
    </xf>
    <xf numFmtId="0" fontId="86" fillId="0" borderId="0" xfId="0" applyFont="1" applyAlignment="1" applyProtection="1">
      <alignment horizontal="center" vertical="center" wrapText="1" readingOrder="1"/>
      <protection locked="0"/>
    </xf>
    <xf numFmtId="0" fontId="86" fillId="18" borderId="77" xfId="0" applyFont="1" applyFill="1" applyBorder="1" applyAlignment="1" applyProtection="1">
      <alignment horizontal="center" vertical="center" wrapText="1" readingOrder="1"/>
      <protection locked="0"/>
    </xf>
    <xf numFmtId="0" fontId="86" fillId="18" borderId="66" xfId="0" applyFont="1" applyFill="1" applyBorder="1" applyAlignment="1" applyProtection="1">
      <alignment horizontal="center" vertical="center" wrapText="1" readingOrder="1"/>
      <protection locked="0"/>
    </xf>
    <xf numFmtId="0" fontId="86" fillId="18" borderId="89" xfId="0" applyFont="1" applyFill="1" applyBorder="1" applyAlignment="1" applyProtection="1">
      <alignment horizontal="center" vertical="center" wrapText="1" readingOrder="1"/>
      <protection locked="0"/>
    </xf>
    <xf numFmtId="0" fontId="87" fillId="0" borderId="25" xfId="0" applyFont="1" applyBorder="1" applyAlignment="1" applyProtection="1">
      <alignment vertical="center" wrapText="1" readingOrder="1"/>
      <protection locked="0"/>
    </xf>
    <xf numFmtId="0" fontId="87" fillId="0" borderId="37" xfId="0" applyFont="1" applyBorder="1" applyAlignment="1" applyProtection="1">
      <alignment vertical="center" wrapText="1" readingOrder="1"/>
      <protection locked="0"/>
    </xf>
    <xf numFmtId="3" fontId="87" fillId="0" borderId="74" xfId="0" applyNumberFormat="1" applyFont="1" applyBorder="1" applyAlignment="1" applyProtection="1">
      <alignment vertical="center" wrapText="1" readingOrder="1"/>
      <protection locked="0"/>
    </xf>
    <xf numFmtId="3" fontId="87" fillId="0" borderId="36" xfId="0" applyNumberFormat="1" applyFont="1" applyBorder="1" applyAlignment="1" applyProtection="1">
      <alignment vertical="center" wrapText="1" readingOrder="1"/>
      <protection locked="0"/>
    </xf>
    <xf numFmtId="3" fontId="87" fillId="0" borderId="23" xfId="0" applyNumberFormat="1" applyFont="1" applyBorder="1" applyAlignment="1" applyProtection="1">
      <alignment horizontal="center" vertical="center" wrapText="1" readingOrder="1"/>
      <protection locked="0"/>
    </xf>
    <xf numFmtId="3" fontId="87" fillId="0" borderId="26" xfId="0" applyNumberFormat="1" applyFont="1" applyBorder="1" applyAlignment="1" applyProtection="1">
      <alignment vertical="center" wrapText="1" readingOrder="1"/>
      <protection locked="0"/>
    </xf>
    <xf numFmtId="166" fontId="71" fillId="0" borderId="0" xfId="1" applyNumberFormat="1" applyFont="1" applyProtection="1">
      <protection locked="0"/>
    </xf>
    <xf numFmtId="166" fontId="0" fillId="0" borderId="0" xfId="1" applyNumberFormat="1" applyFont="1" applyProtection="1">
      <protection locked="0"/>
    </xf>
    <xf numFmtId="166" fontId="44" fillId="0" borderId="0" xfId="1" applyNumberFormat="1" applyFont="1" applyProtection="1">
      <protection locked="0"/>
    </xf>
    <xf numFmtId="0" fontId="87" fillId="0" borderId="67" xfId="0" applyFont="1" applyBorder="1" applyAlignment="1" applyProtection="1">
      <alignment vertical="center" wrapText="1" readingOrder="1"/>
      <protection locked="0"/>
    </xf>
    <xf numFmtId="0" fontId="87" fillId="0" borderId="92" xfId="0" applyFont="1" applyBorder="1" applyAlignment="1" applyProtection="1">
      <alignment vertical="center" wrapText="1" readingOrder="1"/>
      <protection locked="0"/>
    </xf>
    <xf numFmtId="3" fontId="87" fillId="0" borderId="67" xfId="0" applyNumberFormat="1" applyFont="1" applyBorder="1" applyAlignment="1" applyProtection="1">
      <alignment vertical="center" wrapText="1" readingOrder="1"/>
      <protection locked="0"/>
    </xf>
    <xf numFmtId="3" fontId="87" fillId="0" borderId="77" xfId="0" applyNumberFormat="1" applyFont="1" applyBorder="1" applyAlignment="1" applyProtection="1">
      <alignment vertical="center" wrapText="1" readingOrder="1"/>
      <protection locked="0"/>
    </xf>
    <xf numFmtId="49" fontId="87" fillId="0" borderId="67" xfId="0" applyNumberFormat="1" applyFont="1" applyBorder="1" applyAlignment="1" applyProtection="1">
      <alignment vertical="center" wrapText="1" readingOrder="1"/>
      <protection locked="0"/>
    </xf>
    <xf numFmtId="49" fontId="87" fillId="0" borderId="92" xfId="0" applyNumberFormat="1" applyFont="1" applyBorder="1" applyAlignment="1" applyProtection="1">
      <alignment vertical="center" wrapText="1" readingOrder="1"/>
      <protection locked="0"/>
    </xf>
    <xf numFmtId="3" fontId="87" fillId="0" borderId="67" xfId="0" applyNumberFormat="1" applyFont="1" applyBorder="1" applyAlignment="1" applyProtection="1">
      <alignment horizontal="right" vertical="center" wrapText="1" readingOrder="1"/>
      <protection locked="0"/>
    </xf>
    <xf numFmtId="49" fontId="87" fillId="0" borderId="70" xfId="0" applyNumberFormat="1" applyFont="1" applyBorder="1" applyAlignment="1" applyProtection="1">
      <alignment vertical="center" wrapText="1" readingOrder="1"/>
      <protection locked="0"/>
    </xf>
    <xf numFmtId="49" fontId="87" fillId="0" borderId="96" xfId="0" applyNumberFormat="1" applyFont="1" applyBorder="1" applyAlignment="1" applyProtection="1">
      <alignment vertical="center" wrapText="1" readingOrder="1"/>
      <protection locked="0"/>
    </xf>
    <xf numFmtId="3" fontId="87" fillId="0" borderId="70" xfId="0" applyNumberFormat="1" applyFont="1" applyBorder="1" applyAlignment="1" applyProtection="1">
      <alignment vertical="center" wrapText="1" readingOrder="1"/>
      <protection locked="0"/>
    </xf>
    <xf numFmtId="3" fontId="87" fillId="0" borderId="44" xfId="0" applyNumberFormat="1" applyFont="1" applyBorder="1" applyAlignment="1" applyProtection="1">
      <alignment vertical="center" wrapText="1" readingOrder="1"/>
      <protection locked="0"/>
    </xf>
    <xf numFmtId="3" fontId="87" fillId="0" borderId="50" xfId="0" applyNumberFormat="1" applyFont="1" applyBorder="1" applyAlignment="1" applyProtection="1">
      <alignment horizontal="center" vertical="center" wrapText="1" readingOrder="1"/>
      <protection locked="0"/>
    </xf>
    <xf numFmtId="3" fontId="87" fillId="0" borderId="93" xfId="0" applyNumberFormat="1" applyFont="1" applyBorder="1" applyAlignment="1" applyProtection="1">
      <alignment vertical="center" wrapText="1" readingOrder="1"/>
      <protection locked="0"/>
    </xf>
    <xf numFmtId="3" fontId="86" fillId="20" borderId="63" xfId="0" applyNumberFormat="1" applyFont="1" applyFill="1" applyBorder="1" applyAlignment="1" applyProtection="1">
      <alignment vertical="center" wrapText="1" readingOrder="1"/>
      <protection locked="0"/>
    </xf>
    <xf numFmtId="3" fontId="86" fillId="20" borderId="64" xfId="0" applyNumberFormat="1" applyFont="1" applyFill="1" applyBorder="1" applyAlignment="1" applyProtection="1">
      <alignment horizontal="center" vertical="center" wrapText="1" readingOrder="1"/>
      <protection locked="0"/>
    </xf>
    <xf numFmtId="3" fontId="86" fillId="20" borderId="91" xfId="0" applyNumberFormat="1" applyFont="1" applyFill="1" applyBorder="1" applyAlignment="1" applyProtection="1">
      <alignment vertical="center" wrapText="1" readingOrder="1"/>
      <protection locked="0"/>
    </xf>
    <xf numFmtId="3" fontId="87" fillId="0" borderId="25" xfId="0" applyNumberFormat="1" applyFont="1" applyBorder="1" applyAlignment="1" applyProtection="1">
      <alignment vertical="center" wrapText="1" readingOrder="1"/>
      <protection locked="0"/>
    </xf>
    <xf numFmtId="0" fontId="87" fillId="0" borderId="70" xfId="0" applyFont="1" applyBorder="1" applyAlignment="1" applyProtection="1">
      <alignment vertical="center" wrapText="1" readingOrder="1"/>
      <protection locked="0"/>
    </xf>
    <xf numFmtId="0" fontId="87" fillId="0" borderId="96" xfId="0" applyFont="1" applyBorder="1" applyAlignment="1" applyProtection="1">
      <alignment vertical="center" wrapText="1" readingOrder="1"/>
      <protection locked="0"/>
    </xf>
    <xf numFmtId="0" fontId="87" fillId="0" borderId="74" xfId="0" applyFont="1" applyBorder="1" applyAlignment="1" applyProtection="1">
      <alignment vertical="center" wrapText="1" readingOrder="1"/>
      <protection locked="0"/>
    </xf>
    <xf numFmtId="0" fontId="87" fillId="0" borderId="71" xfId="0" applyFont="1" applyBorder="1" applyAlignment="1" applyProtection="1">
      <alignment vertical="center" wrapText="1" readingOrder="1"/>
      <protection locked="0"/>
    </xf>
    <xf numFmtId="3" fontId="87" fillId="0" borderId="68" xfId="0" applyNumberFormat="1" applyFont="1" applyBorder="1" applyAlignment="1" applyProtection="1">
      <alignment vertical="center" wrapText="1" readingOrder="1"/>
      <protection locked="0"/>
    </xf>
    <xf numFmtId="3" fontId="87" fillId="0" borderId="68" xfId="0" applyNumberFormat="1" applyFont="1" applyBorder="1" applyAlignment="1" applyProtection="1">
      <alignment horizontal="center" vertical="center" wrapText="1" readingOrder="1"/>
      <protection locked="0"/>
    </xf>
    <xf numFmtId="172" fontId="0" fillId="0" borderId="0" xfId="0" applyNumberFormat="1"/>
    <xf numFmtId="0" fontId="87" fillId="0" borderId="51" xfId="0" applyFont="1" applyBorder="1" applyAlignment="1" applyProtection="1">
      <alignment vertical="center" wrapText="1" readingOrder="1"/>
      <protection locked="0"/>
    </xf>
    <xf numFmtId="0" fontId="87" fillId="0" borderId="68" xfId="0" applyFont="1" applyBorder="1" applyAlignment="1" applyProtection="1">
      <alignment vertical="center" wrapText="1" readingOrder="1"/>
      <protection locked="0"/>
    </xf>
    <xf numFmtId="3" fontId="88" fillId="0" borderId="68" xfId="0" applyNumberFormat="1" applyFont="1" applyBorder="1" applyAlignment="1" applyProtection="1">
      <alignment vertical="center" wrapText="1" readingOrder="1"/>
      <protection locked="0"/>
    </xf>
    <xf numFmtId="0" fontId="87" fillId="0" borderId="72" xfId="0" applyFont="1" applyBorder="1" applyAlignment="1" applyProtection="1">
      <alignment vertical="center" wrapText="1" readingOrder="1"/>
      <protection locked="0"/>
    </xf>
    <xf numFmtId="3" fontId="87" fillId="0" borderId="72" xfId="0" applyNumberFormat="1" applyFont="1" applyBorder="1" applyAlignment="1" applyProtection="1">
      <alignment vertical="center" wrapText="1" readingOrder="1"/>
      <protection locked="0"/>
    </xf>
    <xf numFmtId="3" fontId="87" fillId="0" borderId="72" xfId="0" applyNumberFormat="1" applyFont="1" applyBorder="1" applyAlignment="1" applyProtection="1">
      <alignment horizontal="center" vertical="center" wrapText="1" readingOrder="1"/>
      <protection locked="0"/>
    </xf>
    <xf numFmtId="3" fontId="86" fillId="20" borderId="64" xfId="0" applyNumberFormat="1" applyFont="1" applyFill="1" applyBorder="1" applyAlignment="1" applyProtection="1">
      <alignment vertical="center" wrapText="1" readingOrder="1"/>
      <protection locked="0"/>
    </xf>
    <xf numFmtId="49" fontId="87" fillId="0" borderId="25" xfId="0" applyNumberFormat="1" applyFont="1" applyBorder="1" applyAlignment="1" applyProtection="1">
      <alignment vertical="center" wrapText="1" readingOrder="1"/>
      <protection locked="0"/>
    </xf>
    <xf numFmtId="0" fontId="87" fillId="0" borderId="23" xfId="0" applyFont="1" applyBorder="1" applyAlignment="1" applyProtection="1">
      <alignment vertical="center" wrapText="1" readingOrder="1"/>
      <protection locked="0"/>
    </xf>
    <xf numFmtId="3" fontId="87" fillId="0" borderId="23" xfId="0" applyNumberFormat="1" applyFont="1" applyBorder="1" applyAlignment="1" applyProtection="1">
      <alignment vertical="center" wrapText="1" readingOrder="1"/>
      <protection locked="0"/>
    </xf>
    <xf numFmtId="3" fontId="86" fillId="18" borderId="91" xfId="0" applyNumberFormat="1" applyFont="1" applyFill="1" applyBorder="1" applyAlignment="1" applyProtection="1">
      <alignment vertical="center" wrapText="1" readingOrder="1"/>
      <protection locked="0"/>
    </xf>
    <xf numFmtId="3" fontId="86" fillId="18" borderId="91" xfId="0" applyNumberFormat="1" applyFont="1" applyFill="1" applyBorder="1" applyAlignment="1" applyProtection="1">
      <alignment horizontal="center" vertical="center" wrapText="1" readingOrder="1"/>
      <protection locked="0"/>
    </xf>
    <xf numFmtId="0" fontId="24" fillId="3" borderId="0" xfId="0" applyFont="1" applyFill="1"/>
    <xf numFmtId="3" fontId="87" fillId="0" borderId="50" xfId="0" applyNumberFormat="1" applyFont="1" applyBorder="1" applyAlignment="1" applyProtection="1">
      <alignment vertical="center" wrapText="1" readingOrder="1"/>
      <protection locked="0"/>
    </xf>
    <xf numFmtId="49" fontId="87" fillId="0" borderId="74" xfId="0" applyNumberFormat="1" applyFont="1" applyBorder="1" applyAlignment="1" applyProtection="1">
      <alignment vertical="center" wrapText="1" readingOrder="1"/>
      <protection locked="0"/>
    </xf>
    <xf numFmtId="0" fontId="87" fillId="0" borderId="82" xfId="0" applyFont="1" applyBorder="1" applyAlignment="1" applyProtection="1">
      <alignment vertical="center" wrapText="1" readingOrder="1"/>
      <protection locked="0"/>
    </xf>
    <xf numFmtId="3" fontId="87" fillId="0" borderId="75" xfId="0" applyNumberFormat="1" applyFont="1" applyBorder="1" applyAlignment="1" applyProtection="1">
      <alignment vertical="center" wrapText="1" readingOrder="1"/>
      <protection locked="0"/>
    </xf>
    <xf numFmtId="3" fontId="87" fillId="0" borderId="75" xfId="0" applyNumberFormat="1" applyFont="1" applyBorder="1" applyAlignment="1" applyProtection="1">
      <alignment horizontal="center" vertical="center" wrapText="1" readingOrder="1"/>
      <protection locked="0"/>
    </xf>
    <xf numFmtId="3" fontId="87" fillId="0" borderId="95" xfId="0" applyNumberFormat="1" applyFont="1" applyBorder="1" applyAlignment="1" applyProtection="1">
      <alignment vertical="center" wrapText="1" readingOrder="1"/>
      <protection locked="0"/>
    </xf>
    <xf numFmtId="3" fontId="87" fillId="0" borderId="96" xfId="0" applyNumberFormat="1" applyFont="1" applyBorder="1" applyAlignment="1" applyProtection="1">
      <alignment vertical="center" wrapText="1" readingOrder="1"/>
      <protection locked="0"/>
    </xf>
    <xf numFmtId="3" fontId="86" fillId="20" borderId="86" xfId="0" applyNumberFormat="1" applyFont="1" applyFill="1" applyBorder="1" applyAlignment="1" applyProtection="1">
      <alignment vertical="center" wrapText="1" readingOrder="1"/>
      <protection locked="0"/>
    </xf>
    <xf numFmtId="3" fontId="86" fillId="18" borderId="64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32" xfId="0" applyBorder="1"/>
    <xf numFmtId="3" fontId="0" fillId="0" borderId="46" xfId="0" applyNumberFormat="1" applyBorder="1"/>
    <xf numFmtId="0" fontId="44" fillId="18" borderId="83" xfId="0" applyFont="1" applyFill="1" applyBorder="1"/>
    <xf numFmtId="0" fontId="44" fillId="18" borderId="84" xfId="0" applyFont="1" applyFill="1" applyBorder="1"/>
    <xf numFmtId="3" fontId="44" fillId="18" borderId="61" xfId="0" applyNumberFormat="1" applyFont="1" applyFill="1" applyBorder="1"/>
    <xf numFmtId="3" fontId="44" fillId="18" borderId="64" xfId="0" applyNumberFormat="1" applyFont="1" applyFill="1" applyBorder="1" applyAlignment="1">
      <alignment horizontal="center"/>
    </xf>
    <xf numFmtId="3" fontId="44" fillId="18" borderId="91" xfId="0" applyNumberFormat="1" applyFont="1" applyFill="1" applyBorder="1"/>
    <xf numFmtId="0" fontId="75" fillId="0" borderId="0" xfId="0" applyFont="1"/>
    <xf numFmtId="0" fontId="81" fillId="0" borderId="0" xfId="0" applyFont="1" applyAlignment="1">
      <alignment horizontal="right"/>
    </xf>
    <xf numFmtId="0" fontId="80" fillId="15" borderId="77" xfId="0" applyFont="1" applyFill="1" applyBorder="1" applyAlignment="1">
      <alignment horizontal="center" vertical="center"/>
    </xf>
    <xf numFmtId="0" fontId="80" fillId="13" borderId="66" xfId="0" applyFont="1" applyFill="1" applyBorder="1" applyAlignment="1">
      <alignment horizontal="center" vertical="center" wrapText="1" shrinkToFit="1"/>
    </xf>
    <xf numFmtId="0" fontId="80" fillId="13" borderId="89" xfId="0" applyFont="1" applyFill="1" applyBorder="1" applyAlignment="1">
      <alignment horizontal="center" vertical="center" wrapText="1" shrinkToFit="1"/>
    </xf>
    <xf numFmtId="3" fontId="80" fillId="14" borderId="91" xfId="0" applyNumberFormat="1" applyFont="1" applyFill="1" applyBorder="1"/>
    <xf numFmtId="3" fontId="80" fillId="14" borderId="64" xfId="0" applyNumberFormat="1" applyFont="1" applyFill="1" applyBorder="1"/>
    <xf numFmtId="3" fontId="80" fillId="14" borderId="64" xfId="0" applyNumberFormat="1" applyFont="1" applyFill="1" applyBorder="1" applyAlignment="1">
      <alignment horizontal="center"/>
    </xf>
    <xf numFmtId="0" fontId="80" fillId="0" borderId="0" xfId="0" applyFont="1" applyAlignment="1">
      <alignment horizontal="center"/>
    </xf>
    <xf numFmtId="3" fontId="80" fillId="0" borderId="0" xfId="0" applyNumberFormat="1" applyFont="1"/>
    <xf numFmtId="3" fontId="80" fillId="0" borderId="0" xfId="0" applyNumberFormat="1" applyFont="1" applyAlignment="1">
      <alignment horizontal="center"/>
    </xf>
    <xf numFmtId="3" fontId="80" fillId="14" borderId="91" xfId="0" applyNumberFormat="1" applyFont="1" applyFill="1" applyBorder="1" applyAlignment="1">
      <alignment horizontal="center"/>
    </xf>
    <xf numFmtId="49" fontId="75" fillId="0" borderId="25" xfId="0" applyNumberFormat="1" applyFont="1" applyFill="1" applyBorder="1" applyAlignment="1">
      <alignment horizontal="left" vertical="center" wrapText="1" shrinkToFit="1"/>
    </xf>
    <xf numFmtId="49" fontId="75" fillId="0" borderId="23" xfId="0" applyNumberFormat="1" applyFont="1" applyFill="1" applyBorder="1" applyAlignment="1">
      <alignment vertical="center" wrapText="1" shrinkToFit="1"/>
    </xf>
    <xf numFmtId="3" fontId="75" fillId="0" borderId="23" xfId="0" applyNumberFormat="1" applyFont="1" applyFill="1" applyBorder="1" applyAlignment="1">
      <alignment vertical="center" wrapText="1" shrinkToFit="1"/>
    </xf>
    <xf numFmtId="3" fontId="75" fillId="0" borderId="23" xfId="0" applyNumberFormat="1" applyFont="1" applyFill="1" applyBorder="1" applyAlignment="1">
      <alignment horizontal="center" vertical="center" wrapText="1" shrinkToFit="1"/>
    </xf>
    <xf numFmtId="3" fontId="75" fillId="0" borderId="26" xfId="0" applyNumberFormat="1" applyFont="1" applyFill="1" applyBorder="1" applyAlignment="1">
      <alignment vertical="center" wrapText="1" shrinkToFit="1"/>
    </xf>
    <xf numFmtId="49" fontId="75" fillId="0" borderId="72" xfId="0" applyNumberFormat="1" applyFont="1" applyFill="1" applyBorder="1" applyAlignment="1">
      <alignment vertical="center" wrapText="1" shrinkToFit="1"/>
    </xf>
    <xf numFmtId="3" fontId="75" fillId="0" borderId="50" xfId="0" applyNumberFormat="1" applyFont="1" applyFill="1" applyBorder="1" applyAlignment="1">
      <alignment vertical="center" wrapText="1" shrinkToFit="1"/>
    </xf>
    <xf numFmtId="3" fontId="75" fillId="0" borderId="49" xfId="0" applyNumberFormat="1" applyFont="1" applyFill="1" applyBorder="1" applyAlignment="1">
      <alignment vertical="center" wrapText="1" shrinkToFit="1"/>
    </xf>
    <xf numFmtId="49" fontId="81" fillId="0" borderId="68" xfId="0" applyNumberFormat="1" applyFont="1" applyFill="1" applyBorder="1" applyAlignment="1">
      <alignment vertical="center" wrapText="1" shrinkToFit="1"/>
    </xf>
    <xf numFmtId="3" fontId="81" fillId="0" borderId="68" xfId="0" applyNumberFormat="1" applyFont="1" applyFill="1" applyBorder="1" applyAlignment="1">
      <alignment vertical="center" wrapText="1" shrinkToFit="1"/>
    </xf>
    <xf numFmtId="3" fontId="81" fillId="0" borderId="23" xfId="0" applyNumberFormat="1" applyFont="1" applyFill="1" applyBorder="1" applyAlignment="1">
      <alignment vertical="center" wrapText="1" shrinkToFit="1"/>
    </xf>
    <xf numFmtId="3" fontId="81" fillId="0" borderId="23" xfId="0" applyNumberFormat="1" applyFont="1" applyFill="1" applyBorder="1" applyAlignment="1">
      <alignment horizontal="center" vertical="center" wrapText="1" shrinkToFit="1"/>
    </xf>
    <xf numFmtId="3" fontId="81" fillId="0" borderId="77" xfId="0" applyNumberFormat="1" applyFont="1" applyFill="1" applyBorder="1" applyAlignment="1">
      <alignment vertical="center" wrapText="1" shrinkToFit="1"/>
    </xf>
    <xf numFmtId="49" fontId="81" fillId="0" borderId="72" xfId="0" applyNumberFormat="1" applyFont="1" applyFill="1" applyBorder="1" applyAlignment="1">
      <alignment vertical="center" wrapText="1" shrinkToFit="1"/>
    </xf>
    <xf numFmtId="3" fontId="81" fillId="0" borderId="72" xfId="0" applyNumberFormat="1" applyFont="1" applyFill="1" applyBorder="1" applyAlignment="1">
      <alignment vertical="center" wrapText="1" shrinkToFit="1"/>
    </xf>
    <xf numFmtId="3" fontId="81" fillId="0" borderId="93" xfId="0" applyNumberFormat="1" applyFont="1" applyFill="1" applyBorder="1" applyAlignment="1">
      <alignment vertical="center" wrapText="1" shrinkToFit="1"/>
    </xf>
    <xf numFmtId="0" fontId="75" fillId="0" borderId="23" xfId="0" applyFont="1" applyFill="1" applyBorder="1" applyAlignment="1">
      <alignment horizontal="left" vertical="center" wrapText="1" shrinkToFit="1"/>
    </xf>
    <xf numFmtId="3" fontId="75" fillId="0" borderId="23" xfId="0" applyNumberFormat="1" applyFont="1" applyFill="1" applyBorder="1" applyAlignment="1">
      <alignment horizontal="right" vertical="center" wrapText="1" shrinkToFit="1"/>
    </xf>
    <xf numFmtId="3" fontId="75" fillId="0" borderId="26" xfId="0" applyNumberFormat="1" applyFont="1" applyFill="1" applyBorder="1" applyAlignment="1">
      <alignment horizontal="right" vertical="center" wrapText="1" shrinkToFit="1"/>
    </xf>
    <xf numFmtId="0" fontId="91" fillId="0" borderId="0" xfId="0" applyFont="1" applyAlignment="1" applyProtection="1">
      <alignment horizontal="center" vertical="center" wrapText="1" readingOrder="1"/>
      <protection locked="0"/>
    </xf>
    <xf numFmtId="0" fontId="52" fillId="0" borderId="0" xfId="0" applyFont="1"/>
    <xf numFmtId="172" fontId="73" fillId="0" borderId="0" xfId="0" applyNumberFormat="1" applyFont="1"/>
    <xf numFmtId="0" fontId="73" fillId="3" borderId="0" xfId="0" applyFont="1" applyFill="1"/>
    <xf numFmtId="49" fontId="87" fillId="0" borderId="51" xfId="0" applyNumberFormat="1" applyFont="1" applyBorder="1" applyAlignment="1" applyProtection="1">
      <alignment vertical="center" wrapText="1" readingOrder="1"/>
      <protection locked="0"/>
    </xf>
    <xf numFmtId="0" fontId="87" fillId="0" borderId="75" xfId="0" applyFont="1" applyBorder="1" applyAlignment="1" applyProtection="1">
      <alignment vertical="center" wrapText="1" readingOrder="1"/>
      <protection locked="0"/>
    </xf>
    <xf numFmtId="3" fontId="87" fillId="0" borderId="94" xfId="0" applyNumberFormat="1" applyFont="1" applyBorder="1" applyAlignment="1" applyProtection="1">
      <alignment vertical="center" wrapText="1" readingOrder="1"/>
      <protection locked="0"/>
    </xf>
    <xf numFmtId="3" fontId="86" fillId="18" borderId="45" xfId="0" applyNumberFormat="1" applyFont="1" applyFill="1" applyBorder="1" applyAlignment="1" applyProtection="1">
      <alignment vertical="center" wrapText="1" readingOrder="1"/>
      <protection locked="0"/>
    </xf>
    <xf numFmtId="3" fontId="86" fillId="18" borderId="45" xfId="0" applyNumberFormat="1" applyFont="1" applyFill="1" applyBorder="1" applyAlignment="1" applyProtection="1">
      <alignment horizontal="center" vertical="center" wrapText="1" readingOrder="1"/>
      <protection locked="0"/>
    </xf>
    <xf numFmtId="3" fontId="44" fillId="18" borderId="61" xfId="0" applyNumberFormat="1" applyFont="1" applyFill="1" applyBorder="1" applyAlignment="1">
      <alignment horizontal="center"/>
    </xf>
    <xf numFmtId="49" fontId="75" fillId="0" borderId="74" xfId="0" applyNumberFormat="1" applyFont="1" applyFill="1" applyBorder="1" applyAlignment="1">
      <alignment horizontal="left" vertical="center" wrapText="1" shrinkToFit="1"/>
    </xf>
    <xf numFmtId="0" fontId="75" fillId="0" borderId="75" xfId="0" applyFont="1" applyFill="1" applyBorder="1" applyAlignment="1">
      <alignment horizontal="left" vertical="center" wrapText="1" shrinkToFit="1"/>
    </xf>
    <xf numFmtId="3" fontId="75" fillId="0" borderId="75" xfId="0" applyNumberFormat="1" applyFont="1" applyFill="1" applyBorder="1" applyAlignment="1">
      <alignment horizontal="right" vertical="center" wrapText="1" shrinkToFit="1"/>
    </xf>
    <xf numFmtId="3" fontId="75" fillId="0" borderId="94" xfId="0" applyNumberFormat="1" applyFont="1" applyFill="1" applyBorder="1" applyAlignment="1">
      <alignment horizontal="right" vertical="center" wrapText="1" shrinkToFit="1"/>
    </xf>
    <xf numFmtId="3" fontId="86" fillId="18" borderId="61" xfId="0" applyNumberFormat="1" applyFont="1" applyFill="1" applyBorder="1" applyAlignment="1" applyProtection="1">
      <alignment vertical="center" wrapText="1" readingOrder="1"/>
      <protection locked="0"/>
    </xf>
    <xf numFmtId="3" fontId="86" fillId="20" borderId="86" xfId="0" applyNumberFormat="1" applyFont="1" applyFill="1" applyBorder="1" applyAlignment="1" applyProtection="1">
      <alignment horizontal="center" vertical="center" wrapText="1" readingOrder="1"/>
      <protection locked="0"/>
    </xf>
    <xf numFmtId="3" fontId="86" fillId="20" borderId="61" xfId="0" applyNumberFormat="1" applyFont="1" applyFill="1" applyBorder="1" applyAlignment="1" applyProtection="1">
      <alignment vertical="center" wrapText="1" readingOrder="1"/>
      <protection locked="0"/>
    </xf>
    <xf numFmtId="0" fontId="73" fillId="0" borderId="0" xfId="0" applyFont="1" applyAlignment="1">
      <alignment horizontal="center"/>
    </xf>
    <xf numFmtId="0" fontId="27" fillId="2" borderId="74" xfId="0" applyFont="1" applyFill="1" applyBorder="1" applyAlignment="1">
      <alignment horizontal="center" vertical="top" wrapText="1"/>
    </xf>
    <xf numFmtId="0" fontId="27" fillId="2" borderId="75" xfId="0" applyFont="1" applyFill="1" applyBorder="1" applyAlignment="1">
      <alignment horizontal="center" vertical="top" wrapText="1"/>
    </xf>
    <xf numFmtId="0" fontId="27" fillId="2" borderId="94" xfId="0" applyFont="1" applyFill="1" applyBorder="1" applyAlignment="1">
      <alignment horizontal="center" vertical="top" wrapText="1"/>
    </xf>
    <xf numFmtId="0" fontId="27" fillId="0" borderId="67" xfId="0" applyFont="1" applyBorder="1" applyAlignment="1">
      <alignment horizontal="center" vertical="top" wrapText="1"/>
    </xf>
    <xf numFmtId="0" fontId="27" fillId="0" borderId="68" xfId="0" applyFont="1" applyBorder="1" applyAlignment="1">
      <alignment horizontal="center" vertical="top" wrapText="1"/>
    </xf>
    <xf numFmtId="0" fontId="27" fillId="0" borderId="77" xfId="0" applyFont="1" applyBorder="1" applyAlignment="1">
      <alignment vertical="top" wrapText="1"/>
    </xf>
    <xf numFmtId="0" fontId="30" fillId="0" borderId="68" xfId="0" applyFont="1" applyBorder="1" applyAlignment="1">
      <alignment horizontal="center" vertical="top" wrapText="1"/>
    </xf>
    <xf numFmtId="0" fontId="30" fillId="3" borderId="77" xfId="0" applyFont="1" applyFill="1" applyBorder="1"/>
    <xf numFmtId="0" fontId="30" fillId="3" borderId="77" xfId="0" applyFont="1" applyFill="1" applyBorder="1" applyAlignment="1">
      <alignment vertical="top" wrapText="1"/>
    </xf>
    <xf numFmtId="0" fontId="30" fillId="3" borderId="77" xfId="0" applyFont="1" applyFill="1" applyBorder="1" applyAlignment="1">
      <alignment wrapText="1"/>
    </xf>
    <xf numFmtId="0" fontId="27" fillId="0" borderId="78" xfId="0" applyFont="1" applyBorder="1" applyAlignment="1">
      <alignment horizontal="center" vertical="top" wrapText="1"/>
    </xf>
    <xf numFmtId="0" fontId="30" fillId="0" borderId="66" xfId="0" applyFont="1" applyBorder="1" applyAlignment="1">
      <alignment horizontal="center" vertical="top" wrapText="1"/>
    </xf>
    <xf numFmtId="0" fontId="30" fillId="3" borderId="89" xfId="0" applyFont="1" applyFill="1" applyBorder="1"/>
    <xf numFmtId="0" fontId="27" fillId="0" borderId="6" xfId="0" applyFont="1" applyBorder="1"/>
    <xf numFmtId="0" fontId="30" fillId="3" borderId="10" xfId="0" applyFont="1" applyFill="1" applyBorder="1" applyAlignment="1">
      <alignment horizontal="center"/>
    </xf>
    <xf numFmtId="0" fontId="30" fillId="0" borderId="6" xfId="0" applyFont="1" applyBorder="1" applyAlignment="1">
      <alignment horizontal="center" vertical="center" wrapText="1"/>
    </xf>
    <xf numFmtId="0" fontId="30" fillId="0" borderId="6" xfId="0" applyFont="1" applyBorder="1"/>
    <xf numFmtId="0" fontId="30" fillId="0" borderId="10" xfId="0" applyFont="1" applyBorder="1"/>
    <xf numFmtId="0" fontId="30" fillId="0" borderId="17" xfId="0" applyFont="1" applyBorder="1"/>
    <xf numFmtId="0" fontId="30" fillId="0" borderId="16" xfId="0" applyFont="1" applyBorder="1"/>
    <xf numFmtId="0" fontId="8" fillId="0" borderId="34" xfId="0" applyFont="1" applyBorder="1"/>
    <xf numFmtId="1" fontId="60" fillId="0" borderId="34" xfId="3" applyNumberFormat="1" applyFont="1" applyBorder="1" applyAlignment="1">
      <alignment horizontal="center" vertical="center" wrapText="1"/>
    </xf>
    <xf numFmtId="1" fontId="60" fillId="0" borderId="41" xfId="3" applyNumberFormat="1" applyFont="1" applyBorder="1" applyAlignment="1">
      <alignment horizontal="center" vertical="center" wrapText="1"/>
    </xf>
    <xf numFmtId="1" fontId="60" fillId="0" borderId="45" xfId="3" applyNumberFormat="1" applyFont="1" applyBorder="1" applyAlignment="1">
      <alignment horizontal="center" vertical="center" wrapText="1"/>
    </xf>
    <xf numFmtId="1" fontId="60" fillId="0" borderId="28" xfId="3" applyNumberFormat="1" applyFont="1" applyBorder="1" applyAlignment="1">
      <alignment horizontal="center" vertical="center" wrapText="1"/>
    </xf>
    <xf numFmtId="1" fontId="60" fillId="0" borderId="22" xfId="3" applyNumberFormat="1" applyFont="1" applyBorder="1" applyAlignment="1">
      <alignment horizontal="center" vertical="center" wrapText="1"/>
    </xf>
    <xf numFmtId="1" fontId="61" fillId="0" borderId="13" xfId="3" applyNumberFormat="1" applyFont="1" applyBorder="1" applyAlignment="1">
      <alignment horizontal="center" vertical="center" wrapText="1"/>
    </xf>
    <xf numFmtId="3" fontId="62" fillId="0" borderId="98" xfId="0" applyNumberFormat="1" applyFont="1" applyBorder="1"/>
    <xf numFmtId="3" fontId="62" fillId="0" borderId="99" xfId="0" applyNumberFormat="1" applyFont="1" applyBorder="1"/>
    <xf numFmtId="3" fontId="64" fillId="0" borderId="84" xfId="0" applyNumberFormat="1" applyFont="1" applyBorder="1"/>
    <xf numFmtId="0" fontId="62" fillId="0" borderId="0" xfId="0" applyFont="1" applyBorder="1"/>
    <xf numFmtId="0" fontId="64" fillId="0" borderId="84" xfId="0" applyFont="1" applyBorder="1"/>
    <xf numFmtId="0" fontId="62" fillId="0" borderId="100" xfId="0" applyFont="1" applyBorder="1"/>
    <xf numFmtId="3" fontId="62" fillId="0" borderId="100" xfId="3" applyNumberFormat="1" applyFont="1" applyBorder="1"/>
    <xf numFmtId="3" fontId="62" fillId="0" borderId="77" xfId="3" applyNumberFormat="1" applyFont="1" applyBorder="1"/>
    <xf numFmtId="3" fontId="62" fillId="0" borderId="67" xfId="3" applyNumberFormat="1" applyFont="1" applyBorder="1"/>
    <xf numFmtId="3" fontId="62" fillId="0" borderId="78" xfId="3" applyNumberFormat="1" applyFont="1" applyBorder="1"/>
    <xf numFmtId="0" fontId="64" fillId="0" borderId="83" xfId="0" applyFont="1" applyBorder="1"/>
    <xf numFmtId="3" fontId="64" fillId="0" borderId="61" xfId="0" applyNumberFormat="1" applyFont="1" applyBorder="1"/>
    <xf numFmtId="0" fontId="49" fillId="0" borderId="49" xfId="0" applyFont="1" applyBorder="1"/>
    <xf numFmtId="0" fontId="62" fillId="0" borderId="101" xfId="0" applyFont="1" applyBorder="1"/>
    <xf numFmtId="3" fontId="62" fillId="0" borderId="32" xfId="3" applyNumberFormat="1" applyFont="1" applyBorder="1"/>
    <xf numFmtId="3" fontId="62" fillId="0" borderId="70" xfId="3" applyNumberFormat="1" applyFont="1" applyBorder="1"/>
    <xf numFmtId="3" fontId="62" fillId="0" borderId="93" xfId="3" applyNumberFormat="1" applyFont="1" applyBorder="1"/>
    <xf numFmtId="166" fontId="49" fillId="0" borderId="90" xfId="1" applyNumberFormat="1" applyFont="1" applyBorder="1"/>
    <xf numFmtId="166" fontId="49" fillId="0" borderId="93" xfId="1" applyNumberFormat="1" applyFont="1" applyBorder="1"/>
    <xf numFmtId="3" fontId="62" fillId="0" borderId="25" xfId="3" applyNumberFormat="1" applyFont="1" applyBorder="1"/>
    <xf numFmtId="3" fontId="64" fillId="0" borderId="83" xfId="0" applyNumberFormat="1" applyFont="1" applyBorder="1" applyAlignment="1">
      <alignment horizontal="right"/>
    </xf>
    <xf numFmtId="3" fontId="64" fillId="0" borderId="61" xfId="0" applyNumberFormat="1" applyFont="1" applyBorder="1" applyAlignment="1">
      <alignment horizontal="right"/>
    </xf>
    <xf numFmtId="3" fontId="61" fillId="0" borderId="61" xfId="0" applyNumberFormat="1" applyFont="1" applyBorder="1"/>
    <xf numFmtId="0" fontId="62" fillId="0" borderId="102" xfId="0" applyFont="1" applyBorder="1"/>
    <xf numFmtId="3" fontId="62" fillId="0" borderId="103" xfId="3" applyNumberFormat="1" applyFont="1" applyBorder="1"/>
    <xf numFmtId="3" fontId="62" fillId="0" borderId="104" xfId="0" applyNumberFormat="1" applyFont="1" applyBorder="1"/>
    <xf numFmtId="3" fontId="63" fillId="0" borderId="80" xfId="0" applyNumberFormat="1" applyFont="1" applyBorder="1"/>
    <xf numFmtId="166" fontId="49" fillId="0" borderId="103" xfId="1" applyNumberFormat="1" applyFont="1" applyBorder="1"/>
    <xf numFmtId="166" fontId="49" fillId="0" borderId="78" xfId="1" applyNumberFormat="1" applyFont="1" applyBorder="1"/>
    <xf numFmtId="3" fontId="62" fillId="0" borderId="80" xfId="3" applyNumberFormat="1" applyFont="1" applyBorder="1"/>
    <xf numFmtId="0" fontId="45" fillId="3" borderId="67" xfId="0" applyFont="1" applyFill="1" applyBorder="1" applyAlignment="1">
      <alignment horizontal="center" vertical="top" wrapText="1"/>
    </xf>
    <xf numFmtId="0" fontId="30" fillId="3" borderId="92" xfId="0" applyFont="1" applyFill="1" applyBorder="1"/>
    <xf numFmtId="0" fontId="30" fillId="0" borderId="67" xfId="0" applyFont="1" applyBorder="1" applyAlignment="1">
      <alignment horizontal="center"/>
    </xf>
    <xf numFmtId="0" fontId="30" fillId="3" borderId="92" xfId="0" applyFont="1" applyFill="1" applyBorder="1" applyAlignment="1">
      <alignment vertical="top" wrapText="1"/>
    </xf>
    <xf numFmtId="0" fontId="30" fillId="3" borderId="92" xfId="0" applyFont="1" applyFill="1" applyBorder="1" applyAlignment="1">
      <alignment wrapText="1"/>
    </xf>
    <xf numFmtId="0" fontId="30" fillId="0" borderId="67" xfId="0" applyFont="1" applyBorder="1" applyAlignment="1">
      <alignment horizontal="center" vertical="top" wrapText="1"/>
    </xf>
    <xf numFmtId="0" fontId="30" fillId="3" borderId="0" xfId="0" applyFont="1" applyFill="1" applyBorder="1"/>
    <xf numFmtId="0" fontId="30" fillId="3" borderId="107" xfId="0" applyFont="1" applyFill="1" applyBorder="1"/>
    <xf numFmtId="0" fontId="30" fillId="0" borderId="78" xfId="0" applyFont="1" applyBorder="1" applyAlignment="1">
      <alignment horizontal="center"/>
    </xf>
    <xf numFmtId="0" fontId="46" fillId="0" borderId="79" xfId="0" applyFont="1" applyBorder="1" applyAlignment="1">
      <alignment horizontal="center" vertical="center" wrapText="1"/>
    </xf>
    <xf numFmtId="0" fontId="46" fillId="0" borderId="66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45" fillId="3" borderId="74" xfId="0" applyFont="1" applyFill="1" applyBorder="1" applyAlignment="1">
      <alignment horizontal="center" vertical="top" wrapText="1"/>
    </xf>
    <xf numFmtId="0" fontId="30" fillId="3" borderId="94" xfId="0" applyFont="1" applyFill="1" applyBorder="1"/>
    <xf numFmtId="0" fontId="30" fillId="0" borderId="87" xfId="0" applyFont="1" applyBorder="1" applyAlignment="1">
      <alignment horizontal="center"/>
    </xf>
    <xf numFmtId="0" fontId="30" fillId="0" borderId="98" xfId="0" applyFont="1" applyBorder="1" applyAlignment="1">
      <alignment horizontal="center"/>
    </xf>
    <xf numFmtId="0" fontId="30" fillId="0" borderId="98" xfId="0" applyFont="1" applyBorder="1" applyAlignment="1">
      <alignment horizontal="center" vertical="top" wrapText="1"/>
    </xf>
    <xf numFmtId="0" fontId="27" fillId="3" borderId="77" xfId="0" applyFont="1" applyFill="1" applyBorder="1"/>
    <xf numFmtId="0" fontId="30" fillId="0" borderId="99" xfId="0" applyFont="1" applyBorder="1" applyAlignment="1">
      <alignment horizontal="center"/>
    </xf>
    <xf numFmtId="0" fontId="30" fillId="0" borderId="104" xfId="0" applyFont="1" applyBorder="1" applyAlignment="1">
      <alignment horizontal="center"/>
    </xf>
    <xf numFmtId="0" fontId="50" fillId="0" borderId="61" xfId="0" applyFont="1" applyBorder="1" applyAlignment="1">
      <alignment horizontal="center" vertical="top" wrapText="1"/>
    </xf>
    <xf numFmtId="0" fontId="0" fillId="0" borderId="61" xfId="0" applyBorder="1"/>
    <xf numFmtId="0" fontId="45" fillId="0" borderId="67" xfId="0" applyFont="1" applyBorder="1" applyAlignment="1">
      <alignment horizontal="center" vertical="top" wrapText="1"/>
    </xf>
    <xf numFmtId="0" fontId="30" fillId="0" borderId="100" xfId="0" applyFont="1" applyBorder="1" applyAlignment="1">
      <alignment horizontal="center"/>
    </xf>
    <xf numFmtId="0" fontId="30" fillId="0" borderId="100" xfId="0" applyFont="1" applyBorder="1" applyAlignment="1">
      <alignment horizontal="center" vertical="top" wrapText="1"/>
    </xf>
    <xf numFmtId="0" fontId="45" fillId="0" borderId="74" xfId="0" applyFont="1" applyBorder="1" applyAlignment="1">
      <alignment horizontal="center" vertical="top" wrapText="1"/>
    </xf>
    <xf numFmtId="0" fontId="49" fillId="0" borderId="97" xfId="0" applyFont="1" applyBorder="1"/>
    <xf numFmtId="0" fontId="45" fillId="3" borderId="70" xfId="0" applyFont="1" applyFill="1" applyBorder="1" applyAlignment="1">
      <alignment horizontal="center" vertical="top" wrapText="1"/>
    </xf>
    <xf numFmtId="0" fontId="30" fillId="3" borderId="93" xfId="0" applyFont="1" applyFill="1" applyBorder="1"/>
    <xf numFmtId="3" fontId="47" fillId="0" borderId="83" xfId="0" applyNumberFormat="1" applyFont="1" applyBorder="1" applyAlignment="1">
      <alignment horizontal="center" vertical="top" wrapText="1"/>
    </xf>
    <xf numFmtId="3" fontId="45" fillId="0" borderId="75" xfId="0" applyNumberFormat="1" applyFont="1" applyBorder="1" applyAlignment="1">
      <alignment horizontal="right" vertical="top" wrapText="1"/>
    </xf>
    <xf numFmtId="3" fontId="45" fillId="0" borderId="68" xfId="0" applyNumberFormat="1" applyFont="1" applyBorder="1" applyAlignment="1">
      <alignment horizontal="right"/>
    </xf>
    <xf numFmtId="3" fontId="49" fillId="0" borderId="68" xfId="1" applyNumberFormat="1" applyFont="1" applyBorder="1" applyAlignment="1">
      <alignment horizontal="right"/>
    </xf>
    <xf numFmtId="3" fontId="49" fillId="0" borderId="92" xfId="1" applyNumberFormat="1" applyFont="1" applyBorder="1" applyAlignment="1">
      <alignment horizontal="right"/>
    </xf>
    <xf numFmtId="3" fontId="45" fillId="0" borderId="68" xfId="0" applyNumberFormat="1" applyFont="1" applyBorder="1" applyAlignment="1">
      <alignment horizontal="right" vertical="top" wrapText="1"/>
    </xf>
    <xf numFmtId="3" fontId="0" fillId="0" borderId="0" xfId="0" applyNumberFormat="1" applyBorder="1"/>
    <xf numFmtId="3" fontId="49" fillId="0" borderId="67" xfId="1" applyNumberFormat="1" applyFont="1" applyBorder="1" applyAlignment="1">
      <alignment horizontal="right"/>
    </xf>
    <xf numFmtId="3" fontId="49" fillId="0" borderId="77" xfId="1" applyNumberFormat="1" applyFont="1" applyBorder="1" applyAlignment="1">
      <alignment horizontal="right"/>
    </xf>
    <xf numFmtId="3" fontId="45" fillId="0" borderId="68" xfId="1" applyNumberFormat="1" applyFont="1" applyBorder="1" applyAlignment="1">
      <alignment horizontal="right" wrapText="1"/>
    </xf>
    <xf numFmtId="3" fontId="45" fillId="0" borderId="68" xfId="0" applyNumberFormat="1" applyFont="1" applyBorder="1" applyAlignment="1">
      <alignment horizontal="right" wrapText="1"/>
    </xf>
    <xf numFmtId="3" fontId="0" fillId="0" borderId="68" xfId="0" applyNumberFormat="1" applyBorder="1" applyAlignment="1">
      <alignment horizontal="right"/>
    </xf>
    <xf numFmtId="0" fontId="19" fillId="0" borderId="25" xfId="0" applyFont="1" applyBorder="1" applyAlignment="1">
      <alignment horizontal="center" vertical="top" wrapText="1"/>
    </xf>
    <xf numFmtId="3" fontId="45" fillId="0" borderId="23" xfId="0" applyNumberFormat="1" applyFont="1" applyBorder="1" applyAlignment="1">
      <alignment horizontal="right" wrapText="1"/>
    </xf>
    <xf numFmtId="3" fontId="45" fillId="0" borderId="23" xfId="1" applyNumberFormat="1" applyFont="1" applyBorder="1" applyAlignment="1">
      <alignment horizontal="right" wrapText="1"/>
    </xf>
    <xf numFmtId="3" fontId="49" fillId="0" borderId="23" xfId="1" applyNumberFormat="1" applyFont="1" applyBorder="1" applyAlignment="1">
      <alignment horizontal="right"/>
    </xf>
    <xf numFmtId="3" fontId="49" fillId="0" borderId="37" xfId="1" applyNumberFormat="1" applyFont="1" applyBorder="1" applyAlignment="1">
      <alignment horizontal="right"/>
    </xf>
    <xf numFmtId="0" fontId="56" fillId="0" borderId="78" xfId="0" applyFont="1" applyBorder="1" applyAlignment="1">
      <alignment horizontal="center" vertical="center" wrapText="1"/>
    </xf>
    <xf numFmtId="3" fontId="49" fillId="0" borderId="25" xfId="1" applyNumberFormat="1" applyFont="1" applyBorder="1" applyAlignment="1">
      <alignment horizontal="right"/>
    </xf>
    <xf numFmtId="3" fontId="49" fillId="0" borderId="26" xfId="1" applyNumberFormat="1" applyFont="1" applyBorder="1" applyAlignment="1">
      <alignment horizontal="right"/>
    </xf>
    <xf numFmtId="3" fontId="49" fillId="0" borderId="0" xfId="1" applyNumberFormat="1" applyFont="1" applyBorder="1" applyAlignment="1">
      <alignment horizontal="right"/>
    </xf>
    <xf numFmtId="3" fontId="45" fillId="0" borderId="66" xfId="0" applyNumberFormat="1" applyFont="1" applyBorder="1" applyAlignment="1">
      <alignment horizontal="right"/>
    </xf>
    <xf numFmtId="3" fontId="45" fillId="0" borderId="66" xfId="1" applyNumberFormat="1" applyFont="1" applyBorder="1" applyAlignment="1">
      <alignment horizontal="right" wrapText="1"/>
    </xf>
    <xf numFmtId="3" fontId="49" fillId="0" borderId="66" xfId="1" applyNumberFormat="1" applyFont="1" applyBorder="1" applyAlignment="1">
      <alignment horizontal="right"/>
    </xf>
    <xf numFmtId="3" fontId="49" fillId="0" borderId="107" xfId="1" applyNumberFormat="1" applyFont="1" applyBorder="1" applyAlignment="1">
      <alignment horizontal="right"/>
    </xf>
    <xf numFmtId="3" fontId="49" fillId="0" borderId="78" xfId="1" applyNumberFormat="1" applyFont="1" applyBorder="1" applyAlignment="1">
      <alignment horizontal="right"/>
    </xf>
    <xf numFmtId="3" fontId="49" fillId="0" borderId="89" xfId="1" applyNumberFormat="1" applyFont="1" applyBorder="1" applyAlignment="1">
      <alignment horizontal="right"/>
    </xf>
    <xf numFmtId="0" fontId="45" fillId="0" borderId="23" xfId="0" applyFont="1" applyBorder="1" applyAlignment="1">
      <alignment horizontal="right"/>
    </xf>
    <xf numFmtId="3" fontId="45" fillId="0" borderId="106" xfId="0" applyNumberFormat="1" applyFont="1" applyBorder="1" applyAlignment="1">
      <alignment horizontal="right" vertical="top" wrapText="1"/>
    </xf>
    <xf numFmtId="0" fontId="49" fillId="0" borderId="75" xfId="0" applyFont="1" applyBorder="1" applyAlignment="1">
      <alignment horizontal="right"/>
    </xf>
    <xf numFmtId="0" fontId="49" fillId="0" borderId="94" xfId="0" applyFont="1" applyBorder="1" applyAlignment="1">
      <alignment horizontal="right"/>
    </xf>
    <xf numFmtId="0" fontId="49" fillId="0" borderId="74" xfId="0" applyFont="1" applyBorder="1" applyAlignment="1">
      <alignment horizontal="right"/>
    </xf>
    <xf numFmtId="0" fontId="45" fillId="0" borderId="68" xfId="0" applyFont="1" applyBorder="1" applyAlignment="1">
      <alignment horizontal="right"/>
    </xf>
    <xf numFmtId="3" fontId="45" fillId="0" borderId="71" xfId="0" applyNumberFormat="1" applyFont="1" applyBorder="1" applyAlignment="1">
      <alignment horizontal="right" vertical="top" wrapText="1"/>
    </xf>
    <xf numFmtId="0" fontId="49" fillId="0" borderId="68" xfId="0" applyFont="1" applyBorder="1" applyAlignment="1">
      <alignment horizontal="right"/>
    </xf>
    <xf numFmtId="0" fontId="49" fillId="0" borderId="77" xfId="0" applyFont="1" applyBorder="1" applyAlignment="1">
      <alignment horizontal="right"/>
    </xf>
    <xf numFmtId="0" fontId="49" fillId="0" borderId="67" xfId="0" applyFont="1" applyBorder="1" applyAlignment="1">
      <alignment horizontal="right"/>
    </xf>
    <xf numFmtId="0" fontId="45" fillId="0" borderId="68" xfId="0" applyFont="1" applyBorder="1" applyAlignment="1">
      <alignment horizontal="right" vertical="top" wrapText="1"/>
    </xf>
    <xf numFmtId="3" fontId="53" fillId="0" borderId="71" xfId="0" applyNumberFormat="1" applyFont="1" applyBorder="1" applyAlignment="1">
      <alignment horizontal="right" vertical="top" wrapText="1"/>
    </xf>
    <xf numFmtId="0" fontId="45" fillId="0" borderId="71" xfId="0" applyFont="1" applyBorder="1" applyAlignment="1">
      <alignment horizontal="right" vertical="top" wrapText="1"/>
    </xf>
    <xf numFmtId="0" fontId="49" fillId="0" borderId="71" xfId="0" applyFont="1" applyBorder="1" applyAlignment="1">
      <alignment horizontal="right"/>
    </xf>
    <xf numFmtId="3" fontId="49" fillId="0" borderId="68" xfId="0" applyNumberFormat="1" applyFont="1" applyBorder="1" applyAlignment="1">
      <alignment horizontal="right"/>
    </xf>
    <xf numFmtId="0" fontId="49" fillId="0" borderId="71" xfId="0" applyFont="1" applyBorder="1" applyAlignment="1">
      <alignment horizontal="right" vertical="center"/>
    </xf>
    <xf numFmtId="0" fontId="49" fillId="0" borderId="68" xfId="0" applyFont="1" applyBorder="1" applyAlignment="1">
      <alignment horizontal="right" vertical="center"/>
    </xf>
    <xf numFmtId="0" fontId="49" fillId="0" borderId="77" xfId="0" applyFont="1" applyBorder="1" applyAlignment="1">
      <alignment horizontal="right" vertical="center"/>
    </xf>
    <xf numFmtId="0" fontId="49" fillId="0" borderId="67" xfId="0" applyFont="1" applyBorder="1" applyAlignment="1">
      <alignment horizontal="right" vertical="center"/>
    </xf>
    <xf numFmtId="0" fontId="45" fillId="0" borderId="72" xfId="0" applyFont="1" applyBorder="1" applyAlignment="1">
      <alignment horizontal="right"/>
    </xf>
    <xf numFmtId="0" fontId="49" fillId="0" borderId="90" xfId="0" applyFont="1" applyBorder="1" applyAlignment="1">
      <alignment horizontal="right"/>
    </xf>
    <xf numFmtId="0" fontId="49" fillId="0" borderId="72" xfId="0" applyFont="1" applyBorder="1" applyAlignment="1">
      <alignment horizontal="right"/>
    </xf>
    <xf numFmtId="0" fontId="49" fillId="0" borderId="93" xfId="0" applyFont="1" applyBorder="1" applyAlignment="1">
      <alignment horizontal="right"/>
    </xf>
    <xf numFmtId="0" fontId="49" fillId="0" borderId="70" xfId="0" applyFont="1" applyBorder="1" applyAlignment="1">
      <alignment horizontal="right"/>
    </xf>
    <xf numFmtId="3" fontId="53" fillId="0" borderId="83" xfId="0" applyNumberFormat="1" applyFont="1" applyBorder="1" applyAlignment="1">
      <alignment horizontal="right" vertical="top" wrapText="1"/>
    </xf>
    <xf numFmtId="3" fontId="45" fillId="0" borderId="71" xfId="1" applyNumberFormat="1" applyFont="1" applyBorder="1" applyAlignment="1">
      <alignment horizontal="right" wrapText="1"/>
    </xf>
    <xf numFmtId="3" fontId="45" fillId="3" borderId="71" xfId="1" applyNumberFormat="1" applyFont="1" applyFill="1" applyBorder="1" applyAlignment="1">
      <alignment horizontal="right" wrapText="1"/>
    </xf>
    <xf numFmtId="3" fontId="45" fillId="3" borderId="68" xfId="1" applyNumberFormat="1" applyFont="1" applyFill="1" applyBorder="1" applyAlignment="1">
      <alignment horizontal="right" wrapText="1"/>
    </xf>
    <xf numFmtId="3" fontId="45" fillId="0" borderId="4" xfId="0" applyNumberFormat="1" applyFont="1" applyBorder="1" applyAlignment="1">
      <alignment horizontal="center"/>
    </xf>
    <xf numFmtId="3" fontId="45" fillId="0" borderId="36" xfId="0" applyNumberFormat="1" applyFont="1" applyBorder="1" applyAlignment="1">
      <alignment horizontal="right" wrapText="1"/>
    </xf>
    <xf numFmtId="3" fontId="49" fillId="0" borderId="23" xfId="0" applyNumberFormat="1" applyFont="1" applyBorder="1" applyAlignment="1"/>
    <xf numFmtId="3" fontId="49" fillId="0" borderId="37" xfId="0" applyNumberFormat="1" applyFont="1" applyBorder="1" applyAlignment="1"/>
    <xf numFmtId="3" fontId="45" fillId="0" borderId="71" xfId="0" applyNumberFormat="1" applyFont="1" applyBorder="1" applyAlignment="1">
      <alignment horizontal="right" wrapText="1"/>
    </xf>
    <xf numFmtId="3" fontId="53" fillId="0" borderId="71" xfId="0" applyNumberFormat="1" applyFont="1" applyBorder="1" applyAlignment="1">
      <alignment horizontal="right" wrapText="1"/>
    </xf>
    <xf numFmtId="3" fontId="53" fillId="0" borderId="50" xfId="0" applyNumberFormat="1" applyFont="1" applyBorder="1" applyAlignment="1">
      <alignment horizontal="center" wrapText="1"/>
    </xf>
    <xf numFmtId="3" fontId="49" fillId="0" borderId="64" xfId="0" applyNumberFormat="1" applyFont="1" applyBorder="1" applyAlignment="1"/>
    <xf numFmtId="3" fontId="54" fillId="0" borderId="41" xfId="0" applyNumberFormat="1" applyFont="1" applyBorder="1" applyAlignment="1"/>
    <xf numFmtId="3" fontId="45" fillId="0" borderId="69" xfId="0" applyNumberFormat="1" applyFont="1" applyBorder="1" applyAlignment="1">
      <alignment horizontal="right"/>
    </xf>
    <xf numFmtId="3" fontId="49" fillId="0" borderId="92" xfId="0" applyNumberFormat="1" applyFont="1" applyBorder="1" applyAlignment="1">
      <alignment horizontal="right"/>
    </xf>
    <xf numFmtId="3" fontId="49" fillId="0" borderId="67" xfId="0" applyNumberFormat="1" applyFont="1" applyBorder="1" applyAlignment="1">
      <alignment horizontal="right"/>
    </xf>
    <xf numFmtId="3" fontId="49" fillId="0" borderId="77" xfId="0" applyNumberFormat="1" applyFont="1" applyBorder="1" applyAlignment="1">
      <alignment horizontal="right"/>
    </xf>
    <xf numFmtId="3" fontId="45" fillId="0" borderId="69" xfId="0" applyNumberFormat="1" applyFont="1" applyBorder="1" applyAlignment="1">
      <alignment horizontal="right" wrapText="1"/>
    </xf>
    <xf numFmtId="3" fontId="49" fillId="0" borderId="71" xfId="0" applyNumberFormat="1" applyFont="1" applyBorder="1" applyAlignment="1">
      <alignment horizontal="right"/>
    </xf>
    <xf numFmtId="3" fontId="45" fillId="0" borderId="73" xfId="0" applyNumberFormat="1" applyFont="1" applyBorder="1" applyAlignment="1">
      <alignment horizontal="right"/>
    </xf>
    <xf numFmtId="3" fontId="49" fillId="0" borderId="90" xfId="0" applyNumberFormat="1" applyFont="1" applyBorder="1" applyAlignment="1">
      <alignment horizontal="right"/>
    </xf>
    <xf numFmtId="3" fontId="49" fillId="0" borderId="72" xfId="0" applyNumberFormat="1" applyFont="1" applyBorder="1" applyAlignment="1">
      <alignment horizontal="right"/>
    </xf>
    <xf numFmtId="3" fontId="49" fillId="0" borderId="96" xfId="0" applyNumberFormat="1" applyFont="1" applyBorder="1" applyAlignment="1">
      <alignment horizontal="right"/>
    </xf>
    <xf numFmtId="3" fontId="49" fillId="0" borderId="70" xfId="0" applyNumberFormat="1" applyFont="1" applyBorder="1" applyAlignment="1">
      <alignment horizontal="right"/>
    </xf>
    <xf numFmtId="3" fontId="49" fillId="0" borderId="93" xfId="0" applyNumberFormat="1" applyFont="1" applyBorder="1" applyAlignment="1">
      <alignment horizontal="right"/>
    </xf>
    <xf numFmtId="3" fontId="45" fillId="0" borderId="4" xfId="0" applyNumberFormat="1" applyFont="1" applyBorder="1" applyAlignment="1">
      <alignment horizontal="right" wrapText="1"/>
    </xf>
    <xf numFmtId="3" fontId="45" fillId="0" borderId="36" xfId="1" applyNumberFormat="1" applyFont="1" applyBorder="1" applyAlignment="1">
      <alignment horizontal="right" wrapText="1"/>
    </xf>
    <xf numFmtId="3" fontId="49" fillId="3" borderId="68" xfId="1" applyNumberFormat="1" applyFont="1" applyFill="1" applyBorder="1" applyAlignment="1">
      <alignment horizontal="right"/>
    </xf>
    <xf numFmtId="3" fontId="45" fillId="0" borderId="68" xfId="0" applyNumberFormat="1" applyFont="1" applyBorder="1" applyAlignment="1">
      <alignment horizontal="right" vertical="center"/>
    </xf>
    <xf numFmtId="3" fontId="49" fillId="0" borderId="77" xfId="0" applyNumberFormat="1" applyFont="1" applyBorder="1" applyAlignment="1">
      <alignment horizontal="right" vertical="center"/>
    </xf>
    <xf numFmtId="3" fontId="49" fillId="0" borderId="68" xfId="0" applyNumberFormat="1" applyFont="1" applyBorder="1" applyAlignment="1">
      <alignment horizontal="right" vertical="center"/>
    </xf>
    <xf numFmtId="0" fontId="45" fillId="0" borderId="70" xfId="0" applyFont="1" applyBorder="1" applyAlignment="1">
      <alignment horizontal="center" vertical="top" wrapText="1"/>
    </xf>
    <xf numFmtId="3" fontId="53" fillId="0" borderId="83" xfId="0" applyNumberFormat="1" applyFont="1" applyBorder="1" applyAlignment="1">
      <alignment horizontal="center" vertical="top" wrapText="1"/>
    </xf>
    <xf numFmtId="3" fontId="53" fillId="0" borderId="61" xfId="0" applyNumberFormat="1" applyFont="1" applyBorder="1" applyAlignment="1">
      <alignment horizontal="right" wrapText="1"/>
    </xf>
    <xf numFmtId="0" fontId="45" fillId="0" borderId="68" xfId="0" applyFont="1" applyBorder="1" applyAlignment="1">
      <alignment horizontal="center" vertical="top" wrapText="1"/>
    </xf>
    <xf numFmtId="0" fontId="30" fillId="0" borderId="101" xfId="0" applyFont="1" applyBorder="1" applyAlignment="1">
      <alignment horizontal="center"/>
    </xf>
    <xf numFmtId="3" fontId="45" fillId="0" borderId="90" xfId="1" applyNumberFormat="1" applyFont="1" applyBorder="1" applyAlignment="1">
      <alignment horizontal="right" wrapText="1"/>
    </xf>
    <xf numFmtId="3" fontId="45" fillId="0" borderId="72" xfId="1" applyNumberFormat="1" applyFont="1" applyBorder="1" applyAlignment="1">
      <alignment horizontal="right" wrapText="1"/>
    </xf>
    <xf numFmtId="3" fontId="49" fillId="0" borderId="72" xfId="1" applyNumberFormat="1" applyFont="1" applyBorder="1" applyAlignment="1">
      <alignment horizontal="right"/>
    </xf>
    <xf numFmtId="3" fontId="49" fillId="0" borderId="93" xfId="1" applyNumberFormat="1" applyFont="1" applyBorder="1" applyAlignment="1">
      <alignment horizontal="right"/>
    </xf>
    <xf numFmtId="3" fontId="49" fillId="0" borderId="70" xfId="1" applyNumberFormat="1" applyFont="1" applyBorder="1" applyAlignment="1">
      <alignment horizontal="right"/>
    </xf>
    <xf numFmtId="0" fontId="45" fillId="0" borderId="23" xfId="0" applyFont="1" applyBorder="1" applyAlignment="1">
      <alignment horizontal="center" vertical="top" wrapText="1"/>
    </xf>
    <xf numFmtId="0" fontId="30" fillId="3" borderId="26" xfId="0" applyFont="1" applyFill="1" applyBorder="1" applyAlignment="1">
      <alignment vertical="top" wrapText="1"/>
    </xf>
    <xf numFmtId="0" fontId="30" fillId="0" borderId="54" xfId="0" applyFont="1" applyBorder="1" applyAlignment="1">
      <alignment horizontal="center"/>
    </xf>
    <xf numFmtId="3" fontId="49" fillId="0" borderId="25" xfId="0" applyNumberFormat="1" applyFont="1" applyBorder="1" applyAlignment="1"/>
    <xf numFmtId="3" fontId="49" fillId="0" borderId="26" xfId="0" applyNumberFormat="1" applyFont="1" applyBorder="1" applyAlignment="1"/>
    <xf numFmtId="0" fontId="30" fillId="3" borderId="95" xfId="0" applyFont="1" applyFill="1" applyBorder="1"/>
    <xf numFmtId="0" fontId="30" fillId="0" borderId="108" xfId="0" applyFont="1" applyBorder="1" applyAlignment="1">
      <alignment horizontal="center"/>
    </xf>
    <xf numFmtId="3" fontId="45" fillId="0" borderId="62" xfId="0" applyNumberFormat="1" applyFont="1" applyBorder="1" applyAlignment="1">
      <alignment horizontal="right"/>
    </xf>
    <xf numFmtId="3" fontId="45" fillId="0" borderId="109" xfId="1" applyNumberFormat="1" applyFont="1" applyBorder="1" applyAlignment="1">
      <alignment horizontal="right" wrapText="1"/>
    </xf>
    <xf numFmtId="3" fontId="45" fillId="0" borderId="82" xfId="1" applyNumberFormat="1" applyFont="1" applyBorder="1" applyAlignment="1">
      <alignment horizontal="right" wrapText="1"/>
    </xf>
    <xf numFmtId="3" fontId="49" fillId="0" borderId="82" xfId="1" applyNumberFormat="1" applyFont="1" applyBorder="1" applyAlignment="1">
      <alignment horizontal="right"/>
    </xf>
    <xf numFmtId="3" fontId="49" fillId="0" borderId="110" xfId="1" applyNumberFormat="1" applyFont="1" applyBorder="1" applyAlignment="1">
      <alignment horizontal="right"/>
    </xf>
    <xf numFmtId="3" fontId="49" fillId="0" borderId="81" xfId="1" applyNumberFormat="1" applyFont="1" applyBorder="1" applyAlignment="1">
      <alignment horizontal="right"/>
    </xf>
    <xf numFmtId="3" fontId="49" fillId="0" borderId="95" xfId="1" applyNumberFormat="1" applyFont="1" applyBorder="1" applyAlignment="1">
      <alignment horizontal="right"/>
    </xf>
    <xf numFmtId="0" fontId="68" fillId="0" borderId="0" xfId="0" applyFont="1" applyBorder="1" applyAlignment="1">
      <alignment horizontal="center" wrapText="1"/>
    </xf>
    <xf numFmtId="49" fontId="45" fillId="3" borderId="34" xfId="0" applyNumberFormat="1" applyFont="1" applyFill="1" applyBorder="1" applyAlignment="1">
      <alignment vertical="center" wrapText="1" shrinkToFit="1"/>
    </xf>
    <xf numFmtId="49" fontId="65" fillId="3" borderId="83" xfId="0" applyNumberFormat="1" applyFont="1" applyFill="1" applyBorder="1" applyAlignment="1">
      <alignment vertical="center" wrapText="1" shrinkToFit="1"/>
    </xf>
    <xf numFmtId="49" fontId="45" fillId="3" borderId="3" xfId="0" applyNumberFormat="1" applyFont="1" applyFill="1" applyBorder="1" applyAlignment="1">
      <alignment vertical="center" wrapText="1" shrinkToFit="1"/>
    </xf>
    <xf numFmtId="49" fontId="45" fillId="3" borderId="100" xfId="0" applyNumberFormat="1" applyFont="1" applyFill="1" applyBorder="1" applyAlignment="1">
      <alignment vertical="center" wrapText="1" shrinkToFit="1"/>
    </xf>
    <xf numFmtId="49" fontId="45" fillId="3" borderId="101" xfId="0" applyNumberFormat="1" applyFont="1" applyFill="1" applyBorder="1" applyAlignment="1">
      <alignment vertical="center" wrapText="1" shrinkToFit="1"/>
    </xf>
    <xf numFmtId="3" fontId="65" fillId="3" borderId="61" xfId="0" applyNumberFormat="1" applyFont="1" applyFill="1" applyBorder="1" applyAlignment="1">
      <alignment vertical="center" wrapText="1" shrinkToFit="1"/>
    </xf>
    <xf numFmtId="3" fontId="45" fillId="3" borderId="4" xfId="0" applyNumberFormat="1" applyFont="1" applyFill="1" applyBorder="1" applyAlignment="1">
      <alignment vertical="center" wrapText="1" shrinkToFit="1"/>
    </xf>
    <xf numFmtId="3" fontId="45" fillId="3" borderId="69" xfId="0" applyNumberFormat="1" applyFont="1" applyFill="1" applyBorder="1" applyAlignment="1">
      <alignment vertical="center" wrapText="1" shrinkToFit="1"/>
    </xf>
    <xf numFmtId="3" fontId="45" fillId="3" borderId="73" xfId="0" applyNumberFormat="1" applyFont="1" applyFill="1" applyBorder="1" applyAlignment="1">
      <alignment vertical="center" wrapText="1" shrinkToFit="1"/>
    </xf>
    <xf numFmtId="3" fontId="45" fillId="3" borderId="28" xfId="0" applyNumberFormat="1" applyFont="1" applyFill="1" applyBorder="1" applyAlignment="1">
      <alignment vertical="center" wrapText="1" shrinkToFit="1"/>
    </xf>
    <xf numFmtId="3" fontId="44" fillId="3" borderId="28" xfId="0" applyNumberFormat="1" applyFont="1" applyFill="1" applyBorder="1"/>
    <xf numFmtId="49" fontId="45" fillId="3" borderId="105" xfId="0" applyNumberFormat="1" applyFont="1" applyFill="1" applyBorder="1" applyAlignment="1">
      <alignment vertical="center" wrapText="1" shrinkToFit="1"/>
    </xf>
    <xf numFmtId="3" fontId="45" fillId="3" borderId="76" xfId="0" applyNumberFormat="1" applyFont="1" applyFill="1" applyBorder="1" applyAlignment="1">
      <alignment vertical="center" wrapText="1" shrinkToFit="1"/>
    </xf>
    <xf numFmtId="49" fontId="65" fillId="3" borderId="83" xfId="0" applyNumberFormat="1" applyFont="1" applyFill="1" applyBorder="1" applyAlignment="1">
      <alignment horizontal="left" vertical="center" wrapText="1" shrinkToFit="1"/>
    </xf>
    <xf numFmtId="0" fontId="59" fillId="3" borderId="83" xfId="0" applyFont="1" applyFill="1" applyBorder="1" applyAlignment="1">
      <alignment horizontal="left"/>
    </xf>
    <xf numFmtId="49" fontId="19" fillId="3" borderId="105" xfId="0" applyNumberFormat="1" applyFont="1" applyFill="1" applyBorder="1" applyAlignment="1">
      <alignment vertical="center" wrapText="1" shrinkToFit="1"/>
    </xf>
    <xf numFmtId="49" fontId="19" fillId="3" borderId="100" xfId="0" applyNumberFormat="1" applyFont="1" applyFill="1" applyBorder="1" applyAlignment="1">
      <alignment vertical="center" wrapText="1" shrinkToFit="1"/>
    </xf>
    <xf numFmtId="49" fontId="66" fillId="3" borderId="83" xfId="0" applyNumberFormat="1" applyFont="1" applyFill="1" applyBorder="1" applyAlignment="1">
      <alignment vertical="center" wrapText="1" shrinkToFit="1"/>
    </xf>
    <xf numFmtId="3" fontId="19" fillId="3" borderId="76" xfId="0" applyNumberFormat="1" applyFont="1" applyFill="1" applyBorder="1" applyAlignment="1">
      <alignment vertical="center" wrapText="1" shrinkToFit="1"/>
    </xf>
    <xf numFmtId="3" fontId="19" fillId="3" borderId="69" xfId="0" applyNumberFormat="1" applyFont="1" applyFill="1" applyBorder="1" applyAlignment="1">
      <alignment vertical="center" wrapText="1" shrinkToFit="1"/>
    </xf>
    <xf numFmtId="3" fontId="66" fillId="3" borderId="61" xfId="0" applyNumberFormat="1" applyFont="1" applyFill="1" applyBorder="1" applyAlignment="1">
      <alignment vertical="center" wrapText="1" shrinkToFit="1"/>
    </xf>
    <xf numFmtId="0" fontId="93" fillId="0" borderId="0" xfId="0" applyFont="1" applyAlignment="1">
      <alignment horizontal="right"/>
    </xf>
    <xf numFmtId="0" fontId="16" fillId="0" borderId="100" xfId="0" applyFont="1" applyBorder="1" applyAlignment="1">
      <alignment wrapText="1"/>
    </xf>
    <xf numFmtId="0" fontId="16" fillId="0" borderId="101" xfId="0" applyFont="1" applyBorder="1"/>
    <xf numFmtId="0" fontId="14" fillId="0" borderId="83" xfId="0" applyFont="1" applyBorder="1" applyAlignment="1">
      <alignment horizontal="left"/>
    </xf>
    <xf numFmtId="3" fontId="16" fillId="0" borderId="69" xfId="0" applyNumberFormat="1" applyFont="1" applyBorder="1" applyAlignment="1">
      <alignment horizontal="right"/>
    </xf>
    <xf numFmtId="3" fontId="16" fillId="0" borderId="73" xfId="0" applyNumberFormat="1" applyFont="1" applyBorder="1" applyAlignment="1">
      <alignment horizontal="right"/>
    </xf>
    <xf numFmtId="3" fontId="14" fillId="0" borderId="61" xfId="1" applyNumberFormat="1" applyFont="1" applyBorder="1" applyAlignment="1">
      <alignment horizontal="right"/>
    </xf>
    <xf numFmtId="0" fontId="14" fillId="0" borderId="83" xfId="0" applyFont="1" applyBorder="1"/>
    <xf numFmtId="0" fontId="14" fillId="0" borderId="61" xfId="0" applyFont="1" applyBorder="1" applyAlignment="1">
      <alignment horizontal="center"/>
    </xf>
    <xf numFmtId="0" fontId="14" fillId="0" borderId="83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3" fontId="16" fillId="0" borderId="4" xfId="0" applyNumberFormat="1" applyFont="1" applyBorder="1" applyAlignment="1">
      <alignment horizontal="right"/>
    </xf>
    <xf numFmtId="3" fontId="14" fillId="0" borderId="61" xfId="0" applyNumberFormat="1" applyFont="1" applyBorder="1" applyAlignment="1">
      <alignment horizontal="right"/>
    </xf>
    <xf numFmtId="3" fontId="14" fillId="0" borderId="61" xfId="0" applyNumberFormat="1" applyFont="1" applyBorder="1" applyAlignment="1">
      <alignment horizontal="center"/>
    </xf>
    <xf numFmtId="0" fontId="16" fillId="0" borderId="3" xfId="0" applyFont="1" applyBorder="1"/>
    <xf numFmtId="0" fontId="16" fillId="0" borderId="100" xfId="0" applyFont="1" applyBorder="1"/>
    <xf numFmtId="3" fontId="16" fillId="0" borderId="69" xfId="1" applyNumberFormat="1" applyFont="1" applyBorder="1" applyAlignment="1">
      <alignment horizontal="right"/>
    </xf>
    <xf numFmtId="3" fontId="16" fillId="0" borderId="73" xfId="1" applyNumberFormat="1" applyFont="1" applyBorder="1" applyAlignment="1">
      <alignment horizontal="right"/>
    </xf>
    <xf numFmtId="0" fontId="16" fillId="0" borderId="101" xfId="0" applyFont="1" applyBorder="1" applyAlignment="1">
      <alignment wrapText="1"/>
    </xf>
    <xf numFmtId="0" fontId="94" fillId="0" borderId="101" xfId="0" applyFont="1" applyBorder="1" applyAlignment="1">
      <alignment wrapText="1"/>
    </xf>
    <xf numFmtId="3" fontId="94" fillId="0" borderId="73" xfId="0" applyNumberFormat="1" applyFont="1" applyBorder="1" applyAlignment="1">
      <alignment horizontal="right"/>
    </xf>
    <xf numFmtId="0" fontId="18" fillId="22" borderId="1" xfId="0" applyFont="1" applyFill="1" applyBorder="1"/>
    <xf numFmtId="3" fontId="18" fillId="22" borderId="5" xfId="0" applyNumberFormat="1" applyFont="1" applyFill="1" applyBorder="1"/>
    <xf numFmtId="0" fontId="35" fillId="0" borderId="61" xfId="0" applyFont="1" applyBorder="1" applyAlignment="1">
      <alignment horizontal="center" wrapText="1"/>
    </xf>
    <xf numFmtId="3" fontId="35" fillId="0" borderId="61" xfId="0" applyNumberFormat="1" applyFont="1" applyBorder="1" applyAlignment="1">
      <alignment horizontal="center" wrapText="1"/>
    </xf>
    <xf numFmtId="0" fontId="35" fillId="0" borderId="76" xfId="0" applyFont="1" applyBorder="1" applyAlignment="1">
      <alignment horizontal="center" wrapText="1"/>
    </xf>
    <xf numFmtId="0" fontId="35" fillId="0" borderId="76" xfId="0" applyFont="1" applyBorder="1" applyAlignment="1">
      <alignment horizontal="justify" wrapText="1"/>
    </xf>
    <xf numFmtId="3" fontId="35" fillId="0" borderId="76" xfId="0" applyNumberFormat="1" applyFont="1" applyBorder="1" applyAlignment="1">
      <alignment horizontal="right" wrapText="1"/>
    </xf>
    <xf numFmtId="0" fontId="35" fillId="0" borderId="69" xfId="0" applyFont="1" applyBorder="1" applyAlignment="1">
      <alignment horizontal="center" wrapText="1"/>
    </xf>
    <xf numFmtId="0" fontId="35" fillId="0" borderId="69" xfId="0" applyFont="1" applyBorder="1" applyAlignment="1">
      <alignment horizontal="justify" wrapText="1"/>
    </xf>
    <xf numFmtId="3" fontId="35" fillId="0" borderId="69" xfId="0" applyNumberFormat="1" applyFont="1" applyBorder="1" applyAlignment="1">
      <alignment horizontal="right" wrapText="1"/>
    </xf>
    <xf numFmtId="0" fontId="35" fillId="0" borderId="69" xfId="0" applyFont="1" applyBorder="1" applyAlignment="1">
      <alignment horizontal="right" wrapText="1"/>
    </xf>
    <xf numFmtId="3" fontId="35" fillId="0" borderId="69" xfId="0" applyNumberFormat="1" applyFont="1" applyBorder="1" applyAlignment="1">
      <alignment horizontal="justify" wrapText="1"/>
    </xf>
    <xf numFmtId="3" fontId="2" fillId="0" borderId="77" xfId="0" applyNumberFormat="1" applyFont="1" applyBorder="1" applyAlignment="1">
      <alignment horizontal="right" wrapText="1"/>
    </xf>
    <xf numFmtId="0" fontId="37" fillId="0" borderId="61" xfId="0" applyFont="1" applyBorder="1" applyAlignment="1">
      <alignment horizontal="center" wrapText="1"/>
    </xf>
    <xf numFmtId="0" fontId="37" fillId="0" borderId="61" xfId="0" applyFont="1" applyBorder="1" applyAlignment="1">
      <alignment horizontal="justify" wrapText="1"/>
    </xf>
    <xf numFmtId="3" fontId="36" fillId="0" borderId="61" xfId="0" applyNumberFormat="1" applyFont="1" applyBorder="1" applyAlignment="1">
      <alignment horizontal="right" wrapText="1"/>
    </xf>
    <xf numFmtId="0" fontId="37" fillId="0" borderId="84" xfId="0" applyFont="1" applyBorder="1" applyAlignment="1">
      <alignment horizontal="justify" wrapText="1"/>
    </xf>
    <xf numFmtId="0" fontId="36" fillId="0" borderId="61" xfId="0" applyFont="1" applyBorder="1" applyAlignment="1">
      <alignment horizontal="center" wrapText="1"/>
    </xf>
    <xf numFmtId="0" fontId="36" fillId="0" borderId="84" xfId="0" applyFont="1" applyBorder="1" applyAlignment="1">
      <alignment horizontal="justify" wrapText="1"/>
    </xf>
    <xf numFmtId="0" fontId="36" fillId="0" borderId="0" xfId="0" applyFont="1" applyBorder="1" applyAlignment="1">
      <alignment horizontal="justify" wrapText="1"/>
    </xf>
    <xf numFmtId="0" fontId="50" fillId="0" borderId="84" xfId="0" applyFont="1" applyBorder="1"/>
    <xf numFmtId="3" fontId="26" fillId="0" borderId="61" xfId="0" applyNumberFormat="1" applyFont="1" applyBorder="1"/>
    <xf numFmtId="0" fontId="26" fillId="0" borderId="61" xfId="0" applyFont="1" applyBorder="1"/>
    <xf numFmtId="0" fontId="35" fillId="0" borderId="80" xfId="0" applyFont="1" applyBorder="1" applyAlignment="1">
      <alignment horizontal="center" wrapText="1"/>
    </xf>
    <xf numFmtId="3" fontId="35" fillId="0" borderId="80" xfId="0" applyNumberFormat="1" applyFont="1" applyBorder="1" applyAlignment="1">
      <alignment horizontal="center" wrapText="1"/>
    </xf>
    <xf numFmtId="0" fontId="26" fillId="0" borderId="100" xfId="0" applyFont="1" applyBorder="1"/>
    <xf numFmtId="0" fontId="35" fillId="0" borderId="73" xfId="0" applyFont="1" applyBorder="1" applyAlignment="1">
      <alignment horizontal="justify" wrapText="1"/>
    </xf>
    <xf numFmtId="3" fontId="35" fillId="0" borderId="73" xfId="0" applyNumberFormat="1" applyFont="1" applyBorder="1" applyAlignment="1">
      <alignment horizontal="right" wrapText="1"/>
    </xf>
    <xf numFmtId="0" fontId="37" fillId="0" borderId="69" xfId="0" applyFont="1" applyBorder="1" applyAlignment="1">
      <alignment horizontal="center" wrapText="1"/>
    </xf>
    <xf numFmtId="3" fontId="35" fillId="2" borderId="69" xfId="0" applyNumberFormat="1" applyFont="1" applyFill="1" applyBorder="1" applyAlignment="1">
      <alignment horizontal="right" wrapText="1"/>
    </xf>
    <xf numFmtId="0" fontId="38" fillId="0" borderId="80" xfId="0" applyFont="1" applyBorder="1" applyAlignment="1">
      <alignment wrapText="1"/>
    </xf>
    <xf numFmtId="0" fontId="37" fillId="0" borderId="61" xfId="0" applyFont="1" applyBorder="1" applyAlignment="1">
      <alignment wrapText="1"/>
    </xf>
    <xf numFmtId="3" fontId="36" fillId="0" borderId="61" xfId="0" applyNumberFormat="1" applyFont="1" applyBorder="1" applyAlignment="1">
      <alignment wrapText="1"/>
    </xf>
    <xf numFmtId="3" fontId="29" fillId="2" borderId="68" xfId="0" applyNumberFormat="1" applyFont="1" applyFill="1" applyBorder="1" applyAlignment="1">
      <alignment horizontal="right" wrapText="1"/>
    </xf>
    <xf numFmtId="3" fontId="41" fillId="2" borderId="68" xfId="0" applyNumberFormat="1" applyFont="1" applyFill="1" applyBorder="1" applyAlignment="1">
      <alignment horizontal="right" wrapText="1"/>
    </xf>
    <xf numFmtId="3" fontId="24" fillId="2" borderId="68" xfId="0" applyNumberFormat="1" applyFont="1" applyFill="1" applyBorder="1" applyAlignment="1">
      <alignment horizontal="right" wrapText="1"/>
    </xf>
    <xf numFmtId="3" fontId="29" fillId="2" borderId="74" xfId="0" applyNumberFormat="1" applyFont="1" applyFill="1" applyBorder="1" applyAlignment="1">
      <alignment horizontal="right" wrapText="1"/>
    </xf>
    <xf numFmtId="3" fontId="29" fillId="2" borderId="75" xfId="0" applyNumberFormat="1" applyFont="1" applyFill="1" applyBorder="1" applyAlignment="1">
      <alignment horizontal="right" wrapText="1"/>
    </xf>
    <xf numFmtId="3" fontId="29" fillId="2" borderId="94" xfId="0" applyNumberFormat="1" applyFont="1" applyFill="1" applyBorder="1" applyAlignment="1">
      <alignment horizontal="right" wrapText="1"/>
    </xf>
    <xf numFmtId="3" fontId="29" fillId="2" borderId="67" xfId="0" applyNumberFormat="1" applyFont="1" applyFill="1" applyBorder="1" applyAlignment="1">
      <alignment horizontal="right" wrapText="1"/>
    </xf>
    <xf numFmtId="3" fontId="29" fillId="2" borderId="77" xfId="0" applyNumberFormat="1" applyFont="1" applyFill="1" applyBorder="1" applyAlignment="1">
      <alignment horizontal="right" wrapText="1"/>
    </xf>
    <xf numFmtId="3" fontId="41" fillId="2" borderId="67" xfId="0" applyNumberFormat="1" applyFont="1" applyFill="1" applyBorder="1" applyAlignment="1">
      <alignment horizontal="right" wrapText="1"/>
    </xf>
    <xf numFmtId="3" fontId="41" fillId="2" borderId="77" xfId="0" applyNumberFormat="1" applyFont="1" applyFill="1" applyBorder="1" applyAlignment="1">
      <alignment horizontal="right" wrapText="1"/>
    </xf>
    <xf numFmtId="3" fontId="24" fillId="2" borderId="67" xfId="0" applyNumberFormat="1" applyFont="1" applyFill="1" applyBorder="1" applyAlignment="1">
      <alignment horizontal="right" wrapText="1"/>
    </xf>
    <xf numFmtId="3" fontId="24" fillId="2" borderId="77" xfId="0" applyNumberFormat="1" applyFont="1" applyFill="1" applyBorder="1" applyAlignment="1">
      <alignment horizontal="right" wrapText="1"/>
    </xf>
    <xf numFmtId="3" fontId="41" fillId="2" borderId="78" xfId="0" applyNumberFormat="1" applyFont="1" applyFill="1" applyBorder="1" applyAlignment="1">
      <alignment horizontal="right" wrapText="1"/>
    </xf>
    <xf numFmtId="3" fontId="41" fillId="2" borderId="66" xfId="0" applyNumberFormat="1" applyFont="1" applyFill="1" applyBorder="1" applyAlignment="1">
      <alignment horizontal="right" wrapText="1"/>
    </xf>
    <xf numFmtId="3" fontId="24" fillId="2" borderId="89" xfId="0" applyNumberFormat="1" applyFont="1" applyFill="1" applyBorder="1" applyAlignment="1">
      <alignment horizontal="right" wrapText="1"/>
    </xf>
    <xf numFmtId="0" fontId="9" fillId="0" borderId="34" xfId="0" applyFont="1" applyBorder="1"/>
    <xf numFmtId="3" fontId="24" fillId="2" borderId="25" xfId="0" applyNumberFormat="1" applyFont="1" applyFill="1" applyBorder="1" applyAlignment="1">
      <alignment horizontal="right" wrapText="1"/>
    </xf>
    <xf numFmtId="3" fontId="24" fillId="2" borderId="23" xfId="0" applyNumberFormat="1" applyFont="1" applyFill="1" applyBorder="1" applyAlignment="1">
      <alignment horizontal="right" wrapText="1"/>
    </xf>
    <xf numFmtId="3" fontId="24" fillId="2" borderId="26" xfId="0" applyNumberFormat="1" applyFont="1" applyFill="1" applyBorder="1" applyAlignment="1">
      <alignment horizontal="right" wrapText="1"/>
    </xf>
    <xf numFmtId="0" fontId="43" fillId="2" borderId="83" xfId="0" applyFont="1" applyFill="1" applyBorder="1" applyAlignment="1">
      <alignment wrapText="1"/>
    </xf>
    <xf numFmtId="3" fontId="23" fillId="0" borderId="29" xfId="3" applyNumberFormat="1" applyFont="1" applyBorder="1" applyAlignment="1">
      <alignment horizontal="right"/>
    </xf>
    <xf numFmtId="3" fontId="23" fillId="0" borderId="2" xfId="3" applyNumberFormat="1" applyFont="1" applyBorder="1" applyAlignment="1">
      <alignment horizontal="right"/>
    </xf>
    <xf numFmtId="3" fontId="23" fillId="2" borderId="30" xfId="0" applyNumberFormat="1" applyFont="1" applyFill="1" applyBorder="1" applyAlignment="1">
      <alignment horizontal="right" wrapText="1"/>
    </xf>
    <xf numFmtId="3" fontId="43" fillId="2" borderId="61" xfId="0" applyNumberFormat="1" applyFont="1" applyFill="1" applyBorder="1" applyAlignment="1">
      <alignment horizontal="right" wrapText="1"/>
    </xf>
    <xf numFmtId="3" fontId="43" fillId="2" borderId="63" xfId="0" applyNumberFormat="1" applyFont="1" applyFill="1" applyBorder="1" applyAlignment="1">
      <alignment horizontal="right" wrapText="1"/>
    </xf>
    <xf numFmtId="3" fontId="43" fillId="2" borderId="28" xfId="0" applyNumberFormat="1" applyFont="1" applyFill="1" applyBorder="1" applyAlignment="1">
      <alignment horizontal="right" wrapText="1"/>
    </xf>
    <xf numFmtId="3" fontId="43" fillId="2" borderId="21" xfId="0" applyNumberFormat="1" applyFont="1" applyFill="1" applyBorder="1" applyAlignment="1">
      <alignment horizontal="right" wrapText="1"/>
    </xf>
    <xf numFmtId="3" fontId="43" fillId="2" borderId="22" xfId="0" applyNumberFormat="1" applyFont="1" applyFill="1" applyBorder="1" applyAlignment="1">
      <alignment horizontal="right" wrapText="1"/>
    </xf>
    <xf numFmtId="3" fontId="43" fillId="2" borderId="40" xfId="0" applyNumberFormat="1" applyFont="1" applyFill="1" applyBorder="1" applyAlignment="1">
      <alignment horizontal="right" wrapText="1"/>
    </xf>
    <xf numFmtId="3" fontId="23" fillId="0" borderId="100" xfId="0" applyNumberFormat="1" applyFont="1" applyBorder="1" applyAlignment="1">
      <alignment horizontal="right"/>
    </xf>
    <xf numFmtId="3" fontId="55" fillId="0" borderId="63" xfId="0" applyNumberFormat="1" applyFont="1" applyBorder="1" applyAlignment="1">
      <alignment horizontal="right"/>
    </xf>
    <xf numFmtId="3" fontId="55" fillId="0" borderId="97" xfId="0" applyNumberFormat="1" applyFont="1" applyBorder="1" applyAlignment="1">
      <alignment horizontal="right"/>
    </xf>
    <xf numFmtId="3" fontId="55" fillId="0" borderId="85" xfId="0" applyNumberFormat="1" applyFont="1" applyBorder="1" applyAlignment="1">
      <alignment horizontal="right"/>
    </xf>
    <xf numFmtId="3" fontId="57" fillId="0" borderId="101" xfId="0" applyNumberFormat="1" applyFont="1" applyBorder="1"/>
    <xf numFmtId="3" fontId="23" fillId="0" borderId="101" xfId="0" applyNumberFormat="1" applyFont="1" applyBorder="1" applyAlignment="1">
      <alignment horizontal="right"/>
    </xf>
    <xf numFmtId="3" fontId="28" fillId="2" borderId="72" xfId="0" applyNumberFormat="1" applyFont="1" applyFill="1" applyBorder="1" applyAlignment="1">
      <alignment horizontal="right" wrapText="1"/>
    </xf>
    <xf numFmtId="0" fontId="28" fillId="2" borderId="83" xfId="0" applyFont="1" applyFill="1" applyBorder="1" applyAlignment="1">
      <alignment wrapText="1"/>
    </xf>
    <xf numFmtId="3" fontId="52" fillId="2" borderId="83" xfId="0" applyNumberFormat="1" applyFont="1" applyFill="1" applyBorder="1" applyAlignment="1">
      <alignment horizontal="right" wrapText="1"/>
    </xf>
    <xf numFmtId="3" fontId="52" fillId="2" borderId="63" xfId="0" applyNumberFormat="1" applyFont="1" applyFill="1" applyBorder="1" applyAlignment="1">
      <alignment horizontal="right" wrapText="1"/>
    </xf>
    <xf numFmtId="3" fontId="52" fillId="2" borderId="64" xfId="0" applyNumberFormat="1" applyFont="1" applyFill="1" applyBorder="1" applyAlignment="1">
      <alignment horizontal="right" wrapText="1"/>
    </xf>
    <xf numFmtId="3" fontId="52" fillId="2" borderId="91" xfId="0" applyNumberFormat="1" applyFont="1" applyFill="1" applyBorder="1" applyAlignment="1">
      <alignment horizontal="right" wrapText="1"/>
    </xf>
    <xf numFmtId="3" fontId="57" fillId="0" borderId="3" xfId="0" applyNumberFormat="1" applyFont="1" applyBorder="1"/>
    <xf numFmtId="3" fontId="23" fillId="0" borderId="3" xfId="0" applyNumberFormat="1" applyFont="1" applyBorder="1" applyAlignment="1">
      <alignment horizontal="right"/>
    </xf>
    <xf numFmtId="0" fontId="40" fillId="2" borderId="78" xfId="0" applyFont="1" applyFill="1" applyBorder="1" applyAlignment="1">
      <alignment horizontal="center" wrapText="1"/>
    </xf>
    <xf numFmtId="0" fontId="40" fillId="2" borderId="66" xfId="0" applyFont="1" applyFill="1" applyBorder="1" applyAlignment="1">
      <alignment horizontal="center" wrapText="1"/>
    </xf>
    <xf numFmtId="0" fontId="40" fillId="2" borderId="89" xfId="0" applyFont="1" applyFill="1" applyBorder="1" applyAlignment="1">
      <alignment horizontal="center" wrapText="1"/>
    </xf>
    <xf numFmtId="3" fontId="57" fillId="0" borderId="100" xfId="0" applyNumberFormat="1" applyFont="1" applyBorder="1"/>
    <xf numFmtId="3" fontId="24" fillId="2" borderId="93" xfId="0" applyNumberFormat="1" applyFont="1" applyFill="1" applyBorder="1" applyAlignment="1">
      <alignment horizontal="right" wrapText="1"/>
    </xf>
    <xf numFmtId="0" fontId="9" fillId="0" borderId="83" xfId="0" applyFont="1" applyBorder="1"/>
    <xf numFmtId="0" fontId="57" fillId="0" borderId="100" xfId="0" applyFont="1" applyBorder="1"/>
    <xf numFmtId="3" fontId="23" fillId="0" borderId="100" xfId="3" applyNumberFormat="1" applyFont="1" applyBorder="1" applyAlignment="1">
      <alignment horizontal="right"/>
    </xf>
    <xf numFmtId="3" fontId="29" fillId="2" borderId="72" xfId="0" applyNumberFormat="1" applyFont="1" applyFill="1" applyBorder="1" applyAlignment="1">
      <alignment horizontal="right" wrapText="1"/>
    </xf>
    <xf numFmtId="3" fontId="29" fillId="2" borderId="93" xfId="0" applyNumberFormat="1" applyFont="1" applyFill="1" applyBorder="1" applyAlignment="1">
      <alignment horizontal="right" wrapText="1"/>
    </xf>
    <xf numFmtId="3" fontId="41" fillId="2" borderId="63" xfId="0" applyNumberFormat="1" applyFont="1" applyFill="1" applyBorder="1" applyAlignment="1">
      <alignment horizontal="right" wrapText="1"/>
    </xf>
    <xf numFmtId="3" fontId="41" fillId="2" borderId="61" xfId="0" applyNumberFormat="1" applyFont="1" applyFill="1" applyBorder="1" applyAlignment="1">
      <alignment horizontal="right" wrapText="1"/>
    </xf>
    <xf numFmtId="3" fontId="28" fillId="2" borderId="83" xfId="0" applyNumberFormat="1" applyFont="1" applyFill="1" applyBorder="1" applyAlignment="1">
      <alignment horizontal="right" wrapText="1"/>
    </xf>
    <xf numFmtId="3" fontId="55" fillId="0" borderId="83" xfId="0" applyNumberFormat="1" applyFont="1" applyBorder="1" applyAlignment="1">
      <alignment horizontal="right"/>
    </xf>
    <xf numFmtId="3" fontId="29" fillId="2" borderId="70" xfId="0" applyNumberFormat="1" applyFont="1" applyFill="1" applyBorder="1" applyAlignment="1">
      <alignment horizontal="right" wrapText="1"/>
    </xf>
    <xf numFmtId="3" fontId="28" fillId="2" borderId="70" xfId="0" applyNumberFormat="1" applyFont="1" applyFill="1" applyBorder="1" applyAlignment="1">
      <alignment horizontal="right" wrapText="1"/>
    </xf>
    <xf numFmtId="3" fontId="24" fillId="2" borderId="63" xfId="0" applyNumberFormat="1" applyFont="1" applyFill="1" applyBorder="1" applyAlignment="1">
      <alignment horizontal="right" wrapText="1"/>
    </xf>
    <xf numFmtId="3" fontId="24" fillId="2" borderId="61" xfId="0" applyNumberFormat="1" applyFont="1" applyFill="1" applyBorder="1" applyAlignment="1">
      <alignment horizontal="right" wrapText="1"/>
    </xf>
    <xf numFmtId="0" fontId="74" fillId="0" borderId="63" xfId="0" applyFont="1" applyBorder="1" applyAlignment="1" applyProtection="1">
      <alignment horizontal="center" vertical="center" wrapText="1"/>
      <protection locked="0"/>
    </xf>
    <xf numFmtId="0" fontId="44" fillId="10" borderId="63" xfId="0" applyFont="1" applyFill="1" applyBorder="1" applyAlignment="1">
      <alignment horizontal="left"/>
    </xf>
    <xf numFmtId="0" fontId="74" fillId="6" borderId="76" xfId="0" applyFont="1" applyFill="1" applyBorder="1" applyAlignment="1" applyProtection="1">
      <alignment horizontal="center" vertical="center" wrapText="1"/>
      <protection locked="0"/>
    </xf>
    <xf numFmtId="0" fontId="53" fillId="7" borderId="63" xfId="0" applyFont="1" applyFill="1" applyBorder="1" applyAlignment="1">
      <alignment horizontal="center" vertical="center" wrapText="1" shrinkToFit="1"/>
    </xf>
    <xf numFmtId="0" fontId="53" fillId="7" borderId="64" xfId="0" applyFont="1" applyFill="1" applyBorder="1" applyAlignment="1">
      <alignment horizontal="center" vertical="center" wrapText="1" shrinkToFit="1"/>
    </xf>
    <xf numFmtId="0" fontId="15" fillId="8" borderId="65" xfId="0" applyFont="1" applyFill="1" applyBorder="1" applyAlignment="1">
      <alignment horizontal="center"/>
    </xf>
    <xf numFmtId="0" fontId="27" fillId="9" borderId="61" xfId="0" applyFont="1" applyFill="1" applyBorder="1" applyAlignment="1">
      <alignment horizontal="center" vertical="center"/>
    </xf>
    <xf numFmtId="0" fontId="74" fillId="6" borderId="28" xfId="0" applyFont="1" applyFill="1" applyBorder="1" applyAlignment="1" applyProtection="1">
      <alignment horizontal="center" vertical="center" wrapText="1"/>
      <protection locked="0"/>
    </xf>
    <xf numFmtId="0" fontId="74" fillId="6" borderId="61" xfId="0" applyFont="1" applyFill="1" applyBorder="1" applyAlignment="1" applyProtection="1">
      <alignment horizontal="center" vertical="center" wrapText="1"/>
      <protection locked="0"/>
    </xf>
    <xf numFmtId="0" fontId="74" fillId="6" borderId="34" xfId="0" applyFont="1" applyFill="1" applyBorder="1" applyAlignment="1" applyProtection="1">
      <alignment horizontal="center" vertical="center" wrapText="1"/>
      <protection locked="0"/>
    </xf>
    <xf numFmtId="0" fontId="74" fillId="6" borderId="13" xfId="0" applyFont="1" applyFill="1" applyBorder="1" applyAlignment="1" applyProtection="1">
      <alignment horizontal="center" vertical="center" wrapText="1"/>
      <protection locked="0"/>
    </xf>
    <xf numFmtId="0" fontId="74" fillId="6" borderId="40" xfId="0" applyFont="1" applyFill="1" applyBorder="1" applyAlignment="1" applyProtection="1">
      <alignment horizontal="center" vertical="center" wrapText="1"/>
      <protection locked="0"/>
    </xf>
    <xf numFmtId="0" fontId="74" fillId="0" borderId="81" xfId="0" applyFont="1" applyBorder="1" applyAlignment="1" applyProtection="1">
      <alignment horizontal="center" vertical="center" wrapText="1"/>
      <protection locked="0"/>
    </xf>
    <xf numFmtId="0" fontId="74" fillId="6" borderId="83" xfId="0" applyFont="1" applyFill="1" applyBorder="1" applyAlignment="1" applyProtection="1">
      <alignment horizontal="center" vertical="center" wrapText="1"/>
      <protection locked="0"/>
    </xf>
    <xf numFmtId="0" fontId="74" fillId="6" borderId="84" xfId="0" applyFont="1" applyFill="1" applyBorder="1" applyAlignment="1" applyProtection="1">
      <alignment horizontal="center" vertical="center" wrapText="1"/>
      <protection locked="0"/>
    </xf>
    <xf numFmtId="0" fontId="74" fillId="6" borderId="85" xfId="0" applyFont="1" applyFill="1" applyBorder="1" applyAlignment="1" applyProtection="1">
      <alignment horizontal="center" vertical="center" wrapText="1"/>
      <protection locked="0"/>
    </xf>
    <xf numFmtId="3" fontId="74" fillId="0" borderId="63" xfId="0" applyNumberFormat="1" applyFont="1" applyBorder="1" applyAlignment="1" applyProtection="1">
      <alignment horizontal="center" vertical="center" wrapText="1"/>
      <protection locked="0"/>
    </xf>
    <xf numFmtId="0" fontId="76" fillId="0" borderId="67" xfId="0" applyFont="1" applyBorder="1" applyAlignment="1" applyProtection="1">
      <alignment vertical="center" wrapText="1"/>
      <protection locked="0"/>
    </xf>
    <xf numFmtId="0" fontId="72" fillId="0" borderId="0" xfId="0" applyFont="1" applyAlignment="1">
      <alignment horizontal="center"/>
    </xf>
    <xf numFmtId="0" fontId="44" fillId="4" borderId="61" xfId="0" applyFont="1" applyFill="1" applyBorder="1" applyAlignment="1">
      <alignment horizontal="center"/>
    </xf>
    <xf numFmtId="0" fontId="74" fillId="6" borderId="6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0" fillId="7" borderId="81" xfId="0" applyFont="1" applyFill="1" applyBorder="1" applyAlignment="1">
      <alignment horizontal="center" vertical="center" wrapText="1" shrinkToFit="1"/>
    </xf>
    <xf numFmtId="0" fontId="80" fillId="7" borderId="82" xfId="0" applyFont="1" applyFill="1" applyBorder="1" applyAlignment="1">
      <alignment horizontal="center" vertical="center" wrapText="1" shrinkToFit="1"/>
    </xf>
    <xf numFmtId="0" fontId="80" fillId="7" borderId="65" xfId="0" applyFont="1" applyFill="1" applyBorder="1" applyAlignment="1">
      <alignment horizontal="center" vertical="center"/>
    </xf>
    <xf numFmtId="0" fontId="80" fillId="7" borderId="87" xfId="0" applyFont="1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74" fillId="6" borderId="63" xfId="0" applyFont="1" applyFill="1" applyBorder="1" applyAlignment="1" applyProtection="1">
      <alignment horizontal="center" vertical="center" wrapText="1"/>
      <protection locked="0"/>
    </xf>
    <xf numFmtId="0" fontId="74" fillId="6" borderId="64" xfId="0" applyFont="1" applyFill="1" applyBorder="1" applyAlignment="1" applyProtection="1">
      <alignment horizontal="center" vertical="center" wrapText="1"/>
      <protection locked="0"/>
    </xf>
    <xf numFmtId="0" fontId="74" fillId="6" borderId="91" xfId="0" applyFont="1" applyFill="1" applyBorder="1" applyAlignment="1" applyProtection="1">
      <alignment horizontal="center" vertical="center" wrapText="1"/>
      <protection locked="0"/>
    </xf>
    <xf numFmtId="0" fontId="80" fillId="7" borderId="63" xfId="0" applyFont="1" applyFill="1" applyBorder="1" applyAlignment="1">
      <alignment horizontal="center" vertical="center" wrapText="1" shrinkToFit="1"/>
    </xf>
    <xf numFmtId="0" fontId="80" fillId="7" borderId="64" xfId="0" applyFont="1" applyFill="1" applyBorder="1" applyAlignment="1">
      <alignment horizontal="center" vertical="center" wrapText="1" shrinkToFit="1"/>
    </xf>
    <xf numFmtId="0" fontId="80" fillId="7" borderId="51" xfId="0" applyFont="1" applyFill="1" applyBorder="1" applyAlignment="1">
      <alignment horizontal="center" vertical="center" wrapText="1" shrinkToFit="1"/>
    </xf>
    <xf numFmtId="0" fontId="80" fillId="7" borderId="50" xfId="0" applyFont="1" applyFill="1" applyBorder="1" applyAlignment="1">
      <alignment horizontal="center" vertical="center" wrapText="1" shrinkToFit="1"/>
    </xf>
    <xf numFmtId="170" fontId="76" fillId="0" borderId="0" xfId="0" applyNumberFormat="1" applyFont="1" applyAlignment="1" applyProtection="1">
      <alignment horizontal="center" vertical="center" wrapText="1"/>
      <protection locked="0"/>
    </xf>
    <xf numFmtId="0" fontId="74" fillId="11" borderId="63" xfId="0" applyFont="1" applyFill="1" applyBorder="1" applyAlignment="1" applyProtection="1">
      <alignment horizontal="center" vertical="center" wrapText="1"/>
      <protection locked="0"/>
    </xf>
    <xf numFmtId="170" fontId="76" fillId="5" borderId="0" xfId="0" applyNumberFormat="1" applyFont="1" applyFill="1" applyAlignment="1" applyProtection="1">
      <alignment horizontal="center" vertical="center" wrapText="1"/>
      <protection locked="0"/>
    </xf>
    <xf numFmtId="49" fontId="76" fillId="0" borderId="67" xfId="0" applyNumberFormat="1" applyFont="1" applyBorder="1" applyAlignment="1" applyProtection="1">
      <alignment horizontal="left" vertical="center" wrapText="1"/>
      <protection locked="0"/>
    </xf>
    <xf numFmtId="0" fontId="7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4" fillId="4" borderId="0" xfId="0" applyFont="1" applyFill="1" applyAlignment="1">
      <alignment horizontal="center"/>
    </xf>
    <xf numFmtId="0" fontId="80" fillId="7" borderId="21" xfId="0" applyFont="1" applyFill="1" applyBorder="1" applyAlignment="1">
      <alignment horizontal="center" vertical="center" wrapText="1" shrinkToFit="1"/>
    </xf>
    <xf numFmtId="0" fontId="80" fillId="7" borderId="41" xfId="0" applyFont="1" applyFill="1" applyBorder="1" applyAlignment="1">
      <alignment horizontal="center" vertical="center" wrapText="1" shrinkToFit="1"/>
    </xf>
    <xf numFmtId="0" fontId="59" fillId="14" borderId="63" xfId="0" applyFont="1" applyFill="1" applyBorder="1" applyAlignment="1">
      <alignment horizontal="center"/>
    </xf>
    <xf numFmtId="0" fontId="59" fillId="14" borderId="64" xfId="0" applyFont="1" applyFill="1" applyBorder="1" applyAlignment="1">
      <alignment horizontal="center"/>
    </xf>
    <xf numFmtId="0" fontId="59" fillId="14" borderId="81" xfId="0" applyFont="1" applyFill="1" applyBorder="1" applyAlignment="1">
      <alignment horizontal="center"/>
    </xf>
    <xf numFmtId="0" fontId="59" fillId="14" borderId="82" xfId="0" applyFont="1" applyFill="1" applyBorder="1" applyAlignment="1">
      <alignment horizontal="center"/>
    </xf>
    <xf numFmtId="0" fontId="72" fillId="12" borderId="74" xfId="0" applyFont="1" applyFill="1" applyBorder="1" applyAlignment="1">
      <alignment horizontal="center"/>
    </xf>
    <xf numFmtId="0" fontId="72" fillId="12" borderId="75" xfId="0" applyFont="1" applyFill="1" applyBorder="1" applyAlignment="1">
      <alignment horizontal="center"/>
    </xf>
    <xf numFmtId="0" fontId="72" fillId="12" borderId="94" xfId="0" applyFont="1" applyFill="1" applyBorder="1" applyAlignment="1">
      <alignment horizontal="center"/>
    </xf>
    <xf numFmtId="0" fontId="53" fillId="13" borderId="67" xfId="0" applyFont="1" applyFill="1" applyBorder="1" applyAlignment="1">
      <alignment horizontal="center" vertical="center" wrapText="1" shrinkToFit="1"/>
    </xf>
    <xf numFmtId="0" fontId="53" fillId="13" borderId="78" xfId="0" applyFont="1" applyFill="1" applyBorder="1" applyAlignment="1">
      <alignment horizontal="center" vertical="center" wrapText="1" shrinkToFit="1"/>
    </xf>
    <xf numFmtId="0" fontId="53" fillId="13" borderId="68" xfId="0" applyFont="1" applyFill="1" applyBorder="1" applyAlignment="1">
      <alignment horizontal="center" vertical="center" wrapText="1" shrinkToFit="1"/>
    </xf>
    <xf numFmtId="0" fontId="53" fillId="13" borderId="66" xfId="0" applyFont="1" applyFill="1" applyBorder="1" applyAlignment="1">
      <alignment horizontal="center" vertical="center" wrapText="1" shrinkToFit="1"/>
    </xf>
    <xf numFmtId="0" fontId="15" fillId="14" borderId="68" xfId="0" applyFont="1" applyFill="1" applyBorder="1" applyAlignment="1">
      <alignment horizontal="center" vertical="center"/>
    </xf>
    <xf numFmtId="49" fontId="45" fillId="0" borderId="70" xfId="0" applyNumberFormat="1" applyFont="1" applyFill="1" applyBorder="1" applyAlignment="1">
      <alignment horizontal="left" vertical="center" wrapText="1" shrinkToFit="1"/>
    </xf>
    <xf numFmtId="0" fontId="0" fillId="0" borderId="51" xfId="0" applyFill="1" applyBorder="1" applyAlignment="1">
      <alignment horizontal="left" vertical="center" wrapText="1" shrinkToFit="1"/>
    </xf>
    <xf numFmtId="49" fontId="86" fillId="20" borderId="83" xfId="0" applyNumberFormat="1" applyFont="1" applyFill="1" applyBorder="1" applyAlignment="1" applyProtection="1">
      <alignment vertical="center" wrapText="1" readingOrder="1"/>
      <protection locked="0"/>
    </xf>
    <xf numFmtId="49" fontId="44" fillId="20" borderId="97" xfId="0" applyNumberFormat="1" applyFont="1" applyFill="1" applyBorder="1" applyAlignment="1">
      <alignment vertical="center" wrapText="1" readingOrder="1"/>
    </xf>
    <xf numFmtId="0" fontId="44" fillId="20" borderId="97" xfId="0" applyFont="1" applyFill="1" applyBorder="1" applyAlignment="1">
      <alignment vertical="center" wrapText="1" readingOrder="1"/>
    </xf>
    <xf numFmtId="0" fontId="86" fillId="18" borderId="63" xfId="0" applyFont="1" applyFill="1" applyBorder="1" applyAlignment="1" applyProtection="1">
      <alignment horizontal="center" vertical="center" wrapText="1" readingOrder="1"/>
      <protection locked="0"/>
    </xf>
    <xf numFmtId="0" fontId="86" fillId="18" borderId="64" xfId="0" applyFont="1" applyFill="1" applyBorder="1" applyAlignment="1" applyProtection="1">
      <alignment horizontal="center" vertical="center" wrapText="1" readingOrder="1"/>
      <protection locked="0"/>
    </xf>
    <xf numFmtId="0" fontId="44" fillId="20" borderId="85" xfId="0" applyFont="1" applyFill="1" applyBorder="1" applyAlignment="1">
      <alignment vertical="center" wrapText="1" readingOrder="1"/>
    </xf>
    <xf numFmtId="0" fontId="86" fillId="20" borderId="83" xfId="0" applyFont="1" applyFill="1" applyBorder="1" applyAlignment="1" applyProtection="1">
      <alignment vertical="center" wrapText="1" readingOrder="1"/>
      <protection locked="0"/>
    </xf>
    <xf numFmtId="0" fontId="86" fillId="17" borderId="83" xfId="0" applyFont="1" applyFill="1" applyBorder="1" applyAlignment="1" applyProtection="1">
      <alignment horizontal="center" wrapText="1" readingOrder="1"/>
      <protection locked="0"/>
    </xf>
    <xf numFmtId="0" fontId="86" fillId="17" borderId="84" xfId="0" applyFont="1" applyFill="1" applyBorder="1" applyAlignment="1" applyProtection="1">
      <alignment horizontal="center" wrapText="1" readingOrder="1"/>
      <protection locked="0"/>
    </xf>
    <xf numFmtId="0" fontId="86" fillId="17" borderId="85" xfId="0" applyFont="1" applyFill="1" applyBorder="1" applyAlignment="1" applyProtection="1">
      <alignment horizontal="center" wrapText="1" readingOrder="1"/>
      <protection locked="0"/>
    </xf>
    <xf numFmtId="0" fontId="86" fillId="18" borderId="74" xfId="0" applyFont="1" applyFill="1" applyBorder="1" applyAlignment="1" applyProtection="1">
      <alignment horizontal="center" vertical="center" wrapText="1" readingOrder="1"/>
      <protection locked="0"/>
    </xf>
    <xf numFmtId="0" fontId="86" fillId="18" borderId="78" xfId="0" applyFont="1" applyFill="1" applyBorder="1" applyAlignment="1" applyProtection="1">
      <alignment horizontal="center" vertical="center" wrapText="1" readingOrder="1"/>
      <protection locked="0"/>
    </xf>
    <xf numFmtId="0" fontId="86" fillId="18" borderId="75" xfId="0" applyFont="1" applyFill="1" applyBorder="1" applyAlignment="1" applyProtection="1">
      <alignment horizontal="center" vertical="center" wrapText="1" readingOrder="1"/>
      <protection locked="0"/>
    </xf>
    <xf numFmtId="0" fontId="86" fillId="18" borderId="66" xfId="0" applyFont="1" applyFill="1" applyBorder="1" applyAlignment="1" applyProtection="1">
      <alignment horizontal="center" vertical="center" wrapText="1" readingOrder="1"/>
      <protection locked="0"/>
    </xf>
    <xf numFmtId="0" fontId="86" fillId="19" borderId="68" xfId="0" applyFont="1" applyFill="1" applyBorder="1" applyAlignment="1" applyProtection="1">
      <alignment horizontal="center" vertical="center"/>
      <protection locked="0"/>
    </xf>
    <xf numFmtId="0" fontId="86" fillId="18" borderId="67" xfId="0" applyFont="1" applyFill="1" applyBorder="1" applyAlignment="1" applyProtection="1">
      <alignment horizontal="center" vertical="center" wrapText="1" readingOrder="1"/>
      <protection locked="0"/>
    </xf>
    <xf numFmtId="0" fontId="86" fillId="18" borderId="68" xfId="0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Font="1" applyAlignment="1">
      <alignment horizontal="right"/>
    </xf>
    <xf numFmtId="0" fontId="44" fillId="16" borderId="0" xfId="0" applyFont="1" applyFill="1" applyAlignment="1">
      <alignment horizontal="center"/>
    </xf>
    <xf numFmtId="0" fontId="86" fillId="17" borderId="74" xfId="0" applyFont="1" applyFill="1" applyBorder="1" applyAlignment="1" applyProtection="1">
      <alignment horizontal="center" wrapText="1" readingOrder="1"/>
      <protection locked="0"/>
    </xf>
    <xf numFmtId="0" fontId="86" fillId="17" borderId="75" xfId="0" applyFont="1" applyFill="1" applyBorder="1" applyAlignment="1" applyProtection="1">
      <alignment horizontal="center" wrapText="1" readingOrder="1"/>
      <protection locked="0"/>
    </xf>
    <xf numFmtId="0" fontId="86" fillId="17" borderId="94" xfId="0" applyFont="1" applyFill="1" applyBorder="1" applyAlignment="1" applyProtection="1">
      <alignment horizontal="center" wrapText="1" readingOrder="1"/>
      <protection locked="0"/>
    </xf>
    <xf numFmtId="0" fontId="80" fillId="14" borderId="63" xfId="0" applyFont="1" applyFill="1" applyBorder="1" applyAlignment="1">
      <alignment horizontal="center"/>
    </xf>
    <xf numFmtId="0" fontId="80" fillId="14" borderId="64" xfId="0" applyFont="1" applyFill="1" applyBorder="1" applyAlignment="1">
      <alignment horizontal="center"/>
    </xf>
    <xf numFmtId="49" fontId="75" fillId="0" borderId="70" xfId="0" applyNumberFormat="1" applyFont="1" applyFill="1" applyBorder="1" applyAlignment="1">
      <alignment horizontal="left" vertical="center" wrapText="1" shrinkToFit="1"/>
    </xf>
    <xf numFmtId="0" fontId="75" fillId="0" borderId="51" xfId="0" applyFont="1" applyFill="1" applyBorder="1" applyAlignment="1">
      <alignment horizontal="left" vertical="center" wrapText="1" shrinkToFit="1"/>
    </xf>
    <xf numFmtId="0" fontId="80" fillId="12" borderId="74" xfId="0" applyFont="1" applyFill="1" applyBorder="1" applyAlignment="1">
      <alignment horizontal="center"/>
    </xf>
    <xf numFmtId="0" fontId="80" fillId="12" borderId="75" xfId="0" applyFont="1" applyFill="1" applyBorder="1" applyAlignment="1">
      <alignment horizontal="center"/>
    </xf>
    <xf numFmtId="0" fontId="80" fillId="12" borderId="94" xfId="0" applyFont="1" applyFill="1" applyBorder="1" applyAlignment="1">
      <alignment horizontal="center"/>
    </xf>
    <xf numFmtId="0" fontId="80" fillId="13" borderId="67" xfId="0" applyFont="1" applyFill="1" applyBorder="1" applyAlignment="1">
      <alignment horizontal="center" vertical="center" wrapText="1" shrinkToFit="1"/>
    </xf>
    <xf numFmtId="0" fontId="80" fillId="13" borderId="78" xfId="0" applyFont="1" applyFill="1" applyBorder="1" applyAlignment="1">
      <alignment horizontal="center" vertical="center" wrapText="1" shrinkToFit="1"/>
    </xf>
    <xf numFmtId="0" fontId="80" fillId="13" borderId="68" xfId="0" applyFont="1" applyFill="1" applyBorder="1" applyAlignment="1">
      <alignment horizontal="center" vertical="center" wrapText="1" shrinkToFit="1"/>
    </xf>
    <xf numFmtId="0" fontId="80" fillId="13" borderId="66" xfId="0" applyFont="1" applyFill="1" applyBorder="1" applyAlignment="1">
      <alignment horizontal="center" vertical="center" wrapText="1" shrinkToFit="1"/>
    </xf>
    <xf numFmtId="0" fontId="80" fillId="14" borderId="68" xfId="0" applyFont="1" applyFill="1" applyBorder="1" applyAlignment="1">
      <alignment horizontal="center" vertical="center"/>
    </xf>
    <xf numFmtId="0" fontId="89" fillId="0" borderId="0" xfId="0" applyFont="1" applyAlignment="1">
      <alignment horizontal="center"/>
    </xf>
    <xf numFmtId="0" fontId="90" fillId="21" borderId="0" xfId="0" applyFont="1" applyFill="1" applyAlignment="1">
      <alignment horizontal="center"/>
    </xf>
    <xf numFmtId="0" fontId="86" fillId="18" borderId="21" xfId="0" applyFont="1" applyFill="1" applyBorder="1" applyAlignment="1" applyProtection="1">
      <alignment horizontal="center" vertical="center" wrapText="1" readingOrder="1"/>
      <protection locked="0"/>
    </xf>
    <xf numFmtId="0" fontId="86" fillId="18" borderId="41" xfId="0" applyFont="1" applyFill="1" applyBorder="1" applyAlignment="1" applyProtection="1">
      <alignment horizontal="center" vertical="center" wrapText="1" readingOrder="1"/>
      <protection locked="0"/>
    </xf>
    <xf numFmtId="0" fontId="90" fillId="16" borderId="0" xfId="0" applyFont="1" applyFill="1" applyAlignment="1">
      <alignment horizontal="center"/>
    </xf>
    <xf numFmtId="0" fontId="86" fillId="18" borderId="86" xfId="0" applyFont="1" applyFill="1" applyBorder="1" applyAlignment="1" applyProtection="1">
      <alignment horizontal="center" vertical="center" wrapText="1" readingOrder="1"/>
      <protection locked="0"/>
    </xf>
    <xf numFmtId="0" fontId="25" fillId="3" borderId="0" xfId="0" applyFont="1" applyFill="1" applyAlignment="1">
      <alignment horizontal="center" vertical="top" wrapText="1"/>
    </xf>
    <xf numFmtId="14" fontId="51" fillId="0" borderId="0" xfId="0" applyNumberFormat="1" applyFont="1" applyAlignment="1">
      <alignment horizontal="center" vertical="top" wrapText="1"/>
    </xf>
    <xf numFmtId="0" fontId="51" fillId="0" borderId="0" xfId="0" applyFont="1" applyAlignment="1">
      <alignment horizontal="center" vertical="top" wrapText="1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3" fontId="54" fillId="0" borderId="41" xfId="0" applyNumberFormat="1" applyFont="1" applyBorder="1" applyAlignment="1">
      <alignment horizontal="center"/>
    </xf>
    <xf numFmtId="3" fontId="54" fillId="0" borderId="45" xfId="0" applyNumberFormat="1" applyFont="1" applyBorder="1" applyAlignment="1">
      <alignment horizontal="center"/>
    </xf>
    <xf numFmtId="0" fontId="45" fillId="0" borderId="74" xfId="0" applyFont="1" applyBorder="1" applyAlignment="1">
      <alignment horizontal="center" vertical="top" wrapText="1"/>
    </xf>
    <xf numFmtId="0" fontId="45" fillId="0" borderId="78" xfId="0" applyFont="1" applyBorder="1" applyAlignment="1">
      <alignment horizontal="center" vertical="top" wrapText="1"/>
    </xf>
    <xf numFmtId="0" fontId="45" fillId="0" borderId="95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left" vertical="top" wrapText="1"/>
    </xf>
    <xf numFmtId="0" fontId="45" fillId="0" borderId="45" xfId="0" applyFont="1" applyBorder="1" applyAlignment="1">
      <alignment horizontal="left" vertical="top" wrapText="1"/>
    </xf>
    <xf numFmtId="0" fontId="54" fillId="0" borderId="21" xfId="0" applyFont="1" applyBorder="1" applyAlignment="1">
      <alignment horizontal="left"/>
    </xf>
    <xf numFmtId="0" fontId="54" fillId="0" borderId="45" xfId="0" applyFont="1" applyBorder="1" applyAlignment="1">
      <alignment horizontal="left"/>
    </xf>
    <xf numFmtId="3" fontId="49" fillId="0" borderId="64" xfId="0" applyNumberFormat="1" applyFont="1" applyBorder="1" applyAlignment="1">
      <alignment horizontal="center"/>
    </xf>
    <xf numFmtId="3" fontId="49" fillId="0" borderId="91" xfId="0" applyNumberFormat="1" applyFont="1" applyBorder="1" applyAlignment="1">
      <alignment horizontal="center"/>
    </xf>
    <xf numFmtId="0" fontId="30" fillId="0" borderId="76" xfId="0" applyFont="1" applyBorder="1" applyAlignment="1">
      <alignment horizontal="center" vertical="center" wrapText="1"/>
    </xf>
    <xf numFmtId="0" fontId="30" fillId="0" borderId="80" xfId="0" applyFont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48" fillId="0" borderId="74" xfId="0" applyFont="1" applyBorder="1" applyAlignment="1">
      <alignment horizontal="center"/>
    </xf>
    <xf numFmtId="0" fontId="48" fillId="0" borderId="75" xfId="0" applyFont="1" applyBorder="1" applyAlignment="1">
      <alignment horizontal="center"/>
    </xf>
    <xf numFmtId="0" fontId="48" fillId="0" borderId="65" xfId="0" applyFont="1" applyBorder="1" applyAlignment="1">
      <alignment horizontal="center"/>
    </xf>
    <xf numFmtId="0" fontId="0" fillId="0" borderId="74" xfId="0" applyBorder="1" applyAlignment="1">
      <alignment horizontal="right"/>
    </xf>
    <xf numFmtId="0" fontId="0" fillId="0" borderId="94" xfId="0" applyBorder="1" applyAlignment="1">
      <alignment horizontal="right"/>
    </xf>
    <xf numFmtId="0" fontId="30" fillId="0" borderId="82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right" vertical="center" wrapText="1"/>
    </xf>
    <xf numFmtId="0" fontId="30" fillId="0" borderId="28" xfId="0" applyFont="1" applyBorder="1" applyAlignment="1">
      <alignment horizontal="right" vertical="center" wrapText="1"/>
    </xf>
    <xf numFmtId="3" fontId="54" fillId="0" borderId="13" xfId="0" applyNumberFormat="1" applyFont="1" applyBorder="1" applyAlignment="1">
      <alignment horizontal="center"/>
    </xf>
    <xf numFmtId="3" fontId="54" fillId="0" borderId="40" xfId="0" applyNumberFormat="1" applyFont="1" applyBorder="1" applyAlignment="1">
      <alignment horizontal="center"/>
    </xf>
    <xf numFmtId="3" fontId="49" fillId="0" borderId="84" xfId="0" applyNumberFormat="1" applyFont="1" applyBorder="1" applyAlignment="1">
      <alignment horizontal="center"/>
    </xf>
    <xf numFmtId="0" fontId="49" fillId="0" borderId="84" xfId="0" applyFont="1" applyBorder="1" applyAlignment="1">
      <alignment horizontal="center"/>
    </xf>
    <xf numFmtId="0" fontId="49" fillId="0" borderId="85" xfId="0" applyFont="1" applyBorder="1" applyAlignment="1">
      <alignment horizontal="center"/>
    </xf>
    <xf numFmtId="0" fontId="54" fillId="0" borderId="13" xfId="0" applyFont="1" applyBorder="1" applyAlignment="1">
      <alignment horizontal="center"/>
    </xf>
    <xf numFmtId="0" fontId="54" fillId="0" borderId="40" xfId="0" applyFont="1" applyBorder="1" applyAlignment="1">
      <alignment horizontal="center"/>
    </xf>
    <xf numFmtId="3" fontId="49" fillId="0" borderId="72" xfId="1" applyNumberFormat="1" applyFon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45" fillId="0" borderId="63" xfId="0" applyFont="1" applyBorder="1" applyAlignment="1">
      <alignment horizontal="justify" vertical="top" wrapText="1"/>
    </xf>
    <xf numFmtId="0" fontId="45" fillId="0" borderId="86" xfId="0" applyFont="1" applyBorder="1" applyAlignment="1">
      <alignment horizontal="justify" vertical="top" wrapText="1"/>
    </xf>
    <xf numFmtId="0" fontId="30" fillId="3" borderId="74" xfId="0" applyFont="1" applyFill="1" applyBorder="1" applyAlignment="1">
      <alignment horizontal="center" vertical="top" wrapText="1"/>
    </xf>
    <xf numFmtId="0" fontId="30" fillId="3" borderId="78" xfId="0" applyFont="1" applyFill="1" applyBorder="1" applyAlignment="1">
      <alignment horizontal="center" vertical="top" wrapText="1"/>
    </xf>
    <xf numFmtId="0" fontId="30" fillId="3" borderId="65" xfId="0" applyFont="1" applyFill="1" applyBorder="1" applyAlignment="1">
      <alignment horizontal="center" vertical="center" wrapText="1"/>
    </xf>
    <xf numFmtId="0" fontId="30" fillId="3" borderId="107" xfId="0" applyFont="1" applyFill="1" applyBorder="1" applyAlignment="1">
      <alignment horizontal="center" vertical="center" wrapText="1"/>
    </xf>
    <xf numFmtId="0" fontId="30" fillId="0" borderId="106" xfId="0" applyFont="1" applyBorder="1" applyAlignment="1">
      <alignment horizontal="center" vertical="top" wrapText="1"/>
    </xf>
    <xf numFmtId="0" fontId="30" fillId="0" borderId="75" xfId="0" applyFont="1" applyBorder="1" applyAlignment="1">
      <alignment horizontal="center" vertical="top" wrapText="1"/>
    </xf>
    <xf numFmtId="0" fontId="30" fillId="0" borderId="94" xfId="0" applyFont="1" applyBorder="1" applyAlignment="1">
      <alignment horizontal="center" vertical="top" wrapText="1"/>
    </xf>
    <xf numFmtId="0" fontId="48" fillId="0" borderId="94" xfId="0" applyFont="1" applyBorder="1" applyAlignment="1">
      <alignment horizontal="center"/>
    </xf>
    <xf numFmtId="0" fontId="0" fillId="0" borderId="75" xfId="0" applyBorder="1" applyAlignment="1">
      <alignment horizontal="right"/>
    </xf>
    <xf numFmtId="14" fontId="92" fillId="0" borderId="0" xfId="0" applyNumberFormat="1" applyFont="1" applyAlignment="1">
      <alignment horizontal="right" vertical="top" wrapText="1"/>
    </xf>
    <xf numFmtId="0" fontId="92" fillId="0" borderId="0" xfId="0" applyFont="1" applyAlignment="1">
      <alignment horizontal="right" vertical="top" wrapText="1"/>
    </xf>
    <xf numFmtId="0" fontId="45" fillId="3" borderId="25" xfId="0" applyFont="1" applyFill="1" applyBorder="1" applyAlignment="1">
      <alignment horizontal="center" vertical="top" wrapText="1"/>
    </xf>
    <xf numFmtId="0" fontId="45" fillId="3" borderId="37" xfId="0" applyFont="1" applyFill="1" applyBorder="1" applyAlignment="1">
      <alignment horizontal="center" vertical="top" wrapText="1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94" xfId="0" applyBorder="1" applyAlignment="1">
      <alignment horizontal="center"/>
    </xf>
    <xf numFmtId="0" fontId="45" fillId="3" borderId="74" xfId="0" applyFont="1" applyFill="1" applyBorder="1" applyAlignment="1">
      <alignment horizontal="center" vertical="top" wrapText="1"/>
    </xf>
    <xf numFmtId="0" fontId="45" fillId="3" borderId="78" xfId="0" applyFont="1" applyFill="1" applyBorder="1" applyAlignment="1">
      <alignment horizontal="center" vertical="top" wrapText="1"/>
    </xf>
    <xf numFmtId="0" fontId="45" fillId="3" borderId="65" xfId="0" applyFont="1" applyFill="1" applyBorder="1" applyAlignment="1">
      <alignment horizontal="center" vertical="center" wrapText="1"/>
    </xf>
    <xf numFmtId="0" fontId="45" fillId="3" borderId="107" xfId="0" applyFont="1" applyFill="1" applyBorder="1" applyAlignment="1">
      <alignment horizontal="center" vertical="center" wrapText="1"/>
    </xf>
    <xf numFmtId="0" fontId="53" fillId="0" borderId="63" xfId="0" applyFont="1" applyBorder="1" applyAlignment="1">
      <alignment horizontal="left" vertical="top" wrapText="1"/>
    </xf>
    <xf numFmtId="0" fontId="53" fillId="0" borderId="86" xfId="0" applyFont="1" applyBorder="1" applyAlignment="1">
      <alignment horizontal="left" vertical="top" wrapText="1"/>
    </xf>
    <xf numFmtId="0" fontId="45" fillId="0" borderId="91" xfId="0" applyFont="1" applyBorder="1" applyAlignment="1">
      <alignment horizontal="justify" vertical="top" wrapText="1"/>
    </xf>
    <xf numFmtId="3" fontId="54" fillId="0" borderId="50" xfId="0" applyNumberFormat="1" applyFont="1" applyBorder="1" applyAlignment="1">
      <alignment horizontal="center"/>
    </xf>
    <xf numFmtId="3" fontId="54" fillId="0" borderId="49" xfId="0" applyNumberFormat="1" applyFont="1" applyBorder="1" applyAlignment="1">
      <alignment horizontal="center"/>
    </xf>
    <xf numFmtId="0" fontId="30" fillId="0" borderId="87" xfId="0" applyFont="1" applyBorder="1" applyAlignment="1">
      <alignment horizontal="center" vertical="top" wrapText="1"/>
    </xf>
    <xf numFmtId="0" fontId="30" fillId="0" borderId="88" xfId="0" applyFont="1" applyBorder="1" applyAlignment="1">
      <alignment horizontal="center" vertical="top" wrapText="1"/>
    </xf>
    <xf numFmtId="0" fontId="48" fillId="0" borderId="105" xfId="0" applyFont="1" applyBorder="1" applyAlignment="1">
      <alignment horizontal="center"/>
    </xf>
    <xf numFmtId="0" fontId="48" fillId="0" borderId="87" xfId="0" applyFont="1" applyBorder="1" applyAlignment="1">
      <alignment horizontal="center"/>
    </xf>
    <xf numFmtId="0" fontId="48" fillId="0" borderId="88" xfId="0" applyFont="1" applyBorder="1" applyAlignment="1">
      <alignment horizontal="center"/>
    </xf>
    <xf numFmtId="0" fontId="0" fillId="0" borderId="105" xfId="0" applyBorder="1" applyAlignment="1">
      <alignment horizontal="right"/>
    </xf>
    <xf numFmtId="0" fontId="0" fillId="0" borderId="88" xfId="0" applyBorder="1" applyAlignment="1">
      <alignment horizontal="right"/>
    </xf>
    <xf numFmtId="0" fontId="30" fillId="0" borderId="65" xfId="0" applyFont="1" applyBorder="1" applyAlignment="1">
      <alignment horizontal="center" vertical="top" wrapText="1"/>
    </xf>
    <xf numFmtId="0" fontId="53" fillId="0" borderId="21" xfId="0" applyFont="1" applyBorder="1" applyAlignment="1">
      <alignment horizontal="left" vertical="top" wrapText="1"/>
    </xf>
    <xf numFmtId="0" fontId="53" fillId="0" borderId="45" xfId="0" applyFont="1" applyBorder="1" applyAlignment="1">
      <alignment horizontal="left" vertical="top" wrapText="1"/>
    </xf>
    <xf numFmtId="0" fontId="45" fillId="0" borderId="83" xfId="0" applyFont="1" applyBorder="1" applyAlignment="1">
      <alignment horizontal="left" vertical="top" wrapText="1"/>
    </xf>
    <xf numFmtId="0" fontId="45" fillId="0" borderId="84" xfId="0" applyFont="1" applyBorder="1" applyAlignment="1">
      <alignment horizontal="left" vertical="top" wrapText="1"/>
    </xf>
    <xf numFmtId="0" fontId="54" fillId="0" borderId="34" xfId="0" applyFont="1" applyBorder="1" applyAlignment="1">
      <alignment horizontal="left"/>
    </xf>
    <xf numFmtId="0" fontId="54" fillId="0" borderId="13" xfId="0" applyFont="1" applyBorder="1" applyAlignment="1">
      <alignment horizontal="left"/>
    </xf>
    <xf numFmtId="0" fontId="45" fillId="0" borderId="25" xfId="0" applyFont="1" applyBorder="1" applyAlignment="1">
      <alignment horizontal="center" vertical="top" wrapText="1"/>
    </xf>
    <xf numFmtId="0" fontId="45" fillId="0" borderId="37" xfId="0" applyFont="1" applyBorder="1" applyAlignment="1">
      <alignment horizontal="center" vertical="top" wrapText="1"/>
    </xf>
    <xf numFmtId="0" fontId="45" fillId="0" borderId="94" xfId="0" applyFont="1" applyBorder="1" applyAlignment="1">
      <alignment horizontal="center" vertical="center" wrapText="1"/>
    </xf>
    <xf numFmtId="0" fontId="45" fillId="0" borderId="89" xfId="0" applyFont="1" applyBorder="1" applyAlignment="1">
      <alignment horizontal="center" vertical="center" wrapText="1"/>
    </xf>
    <xf numFmtId="0" fontId="68" fillId="0" borderId="63" xfId="0" applyFont="1" applyBorder="1" applyAlignment="1">
      <alignment horizontal="center" wrapText="1"/>
    </xf>
    <xf numFmtId="0" fontId="68" fillId="0" borderId="9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25" fillId="0" borderId="0" xfId="0" applyFont="1" applyAlignment="1">
      <alignment horizontal="center" vertical="top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14" fillId="0" borderId="83" xfId="0" applyFont="1" applyBorder="1" applyAlignment="1"/>
    <xf numFmtId="0" fontId="0" fillId="0" borderId="85" xfId="0" applyBorder="1" applyAlignment="1"/>
    <xf numFmtId="0" fontId="18" fillId="0" borderId="0" xfId="0" applyFont="1" applyAlignment="1">
      <alignment horizontal="center"/>
    </xf>
    <xf numFmtId="0" fontId="36" fillId="0" borderId="83" xfId="0" applyFont="1" applyBorder="1" applyAlignment="1">
      <alignment horizontal="center" vertical="center" wrapText="1"/>
    </xf>
    <xf numFmtId="0" fontId="36" fillId="0" borderId="84" xfId="0" applyFont="1" applyBorder="1" applyAlignment="1">
      <alignment horizontal="center" vertical="center" wrapText="1"/>
    </xf>
    <xf numFmtId="0" fontId="36" fillId="0" borderId="85" xfId="0" applyFont="1" applyBorder="1" applyAlignment="1">
      <alignment horizontal="center" vertical="center" wrapText="1"/>
    </xf>
    <xf numFmtId="0" fontId="36" fillId="0" borderId="76" xfId="0" applyFont="1" applyBorder="1" applyAlignment="1">
      <alignment horizontal="center" wrapText="1"/>
    </xf>
    <xf numFmtId="3" fontId="35" fillId="0" borderId="13" xfId="0" applyNumberFormat="1" applyFont="1" applyBorder="1" applyAlignment="1">
      <alignment horizontal="center" wrapText="1"/>
    </xf>
    <xf numFmtId="0" fontId="42" fillId="2" borderId="0" xfId="0" applyFont="1" applyFill="1" applyAlignment="1">
      <alignment horizontal="center" wrapText="1"/>
    </xf>
    <xf numFmtId="0" fontId="28" fillId="2" borderId="105" xfId="0" applyFont="1" applyFill="1" applyBorder="1" applyAlignment="1">
      <alignment horizontal="center" wrapText="1"/>
    </xf>
    <xf numFmtId="0" fontId="28" fillId="2" borderId="102" xfId="0" applyFont="1" applyFill="1" applyBorder="1" applyAlignment="1">
      <alignment horizontal="center" wrapText="1"/>
    </xf>
    <xf numFmtId="0" fontId="40" fillId="2" borderId="105" xfId="0" applyFont="1" applyFill="1" applyBorder="1" applyAlignment="1">
      <alignment horizontal="center" wrapText="1"/>
    </xf>
    <xf numFmtId="0" fontId="40" fillId="2" borderId="102" xfId="0" applyFont="1" applyFill="1" applyBorder="1" applyAlignment="1">
      <alignment horizontal="center" wrapText="1"/>
    </xf>
    <xf numFmtId="0" fontId="39" fillId="2" borderId="74" xfId="0" applyFont="1" applyFill="1" applyBorder="1" applyAlignment="1">
      <alignment horizontal="center" wrapText="1"/>
    </xf>
    <xf numFmtId="0" fontId="39" fillId="2" borderId="75" xfId="0" applyFont="1" applyFill="1" applyBorder="1" applyAlignment="1">
      <alignment horizontal="center" wrapText="1"/>
    </xf>
    <xf numFmtId="0" fontId="39" fillId="2" borderId="94" xfId="0" applyFont="1" applyFill="1" applyBorder="1" applyAlignment="1">
      <alignment horizontal="center" wrapText="1"/>
    </xf>
    <xf numFmtId="0" fontId="3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8" fillId="2" borderId="33" xfId="0" applyFont="1" applyFill="1" applyBorder="1" applyAlignment="1">
      <alignment horizontal="center" wrapText="1"/>
    </xf>
    <xf numFmtId="0" fontId="28" fillId="2" borderId="32" xfId="0" applyFont="1" applyFill="1" applyBorder="1" applyAlignment="1">
      <alignment horizontal="center" wrapText="1"/>
    </xf>
    <xf numFmtId="0" fontId="40" fillId="2" borderId="31" xfId="0" applyFont="1" applyFill="1" applyBorder="1" applyAlignment="1">
      <alignment horizontal="center" wrapText="1"/>
    </xf>
    <xf numFmtId="0" fontId="40" fillId="2" borderId="20" xfId="0" applyFont="1" applyFill="1" applyBorder="1" applyAlignment="1">
      <alignment horizontal="center" wrapText="1"/>
    </xf>
    <xf numFmtId="0" fontId="39" fillId="2" borderId="52" xfId="0" applyFont="1" applyFill="1" applyBorder="1" applyAlignment="1">
      <alignment horizontal="center" wrapText="1"/>
    </xf>
    <xf numFmtId="0" fontId="39" fillId="2" borderId="42" xfId="0" applyFont="1" applyFill="1" applyBorder="1" applyAlignment="1">
      <alignment horizontal="center" wrapText="1"/>
    </xf>
    <xf numFmtId="0" fontId="39" fillId="2" borderId="43" xfId="0" applyFont="1" applyFill="1" applyBorder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50" fillId="0" borderId="0" xfId="2" applyFont="1" applyAlignment="1">
      <alignment horizontal="center" vertical="center" wrapText="1"/>
    </xf>
  </cellXfs>
  <cellStyles count="7">
    <cellStyle name="Ezres" xfId="1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 3" xfId="5" xr:uid="{00000000-0005-0000-0000-000004000000}"/>
    <cellStyle name="Pénznem" xfId="6" builtinId="4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19.%20&#233;vi%20k&#246;lts&#233;gvet&#233;s/2019.%20&#233;vi%20ktgvet&#233;s%20-%20&#214;nkorm&#225;nyat%20Pcs&#233;v/2019.I.sz.EI%20m&#243;d.%20-%20Pcs&#233;v%20&#214;nk%202019/2019.I.sz.EI%20m&#243;d.%20-%20&#214;nkorm&#225;nyzat%20Piliscs&#233;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19.%20&#233;vi%20k&#246;lts&#233;gvet&#233;s/2019.%20&#233;vi%20ktgvet&#233;s%20-%20&#211;voda%20Pcs&#233;v/2019.I.sz.EI%20m&#243;d%20-%20&#211;voda-B&#246;lcsi%20Pcs&#233;v/2019.I.sz.%20EI%20m&#243;d.%20-%20&#211;voda-B&#246;lcsi%20Pcs&#233;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önkormányzat 2019)"/>
      <sheetName val="Bevételek(önkormányzat 2019"/>
      <sheetName val="Bevételek COFOG szerint 2019"/>
      <sheetName val="Kiadások(önkormányzat 2019)"/>
      <sheetName val="Kiadások COFOG szerint"/>
      <sheetName val="Kiadások részletes COFOG"/>
      <sheetName val="Kiadások COFOG összesítő"/>
    </sheetNames>
    <sheetDataSet>
      <sheetData sheetId="0"/>
      <sheetData sheetId="1"/>
      <sheetData sheetId="2"/>
      <sheetData sheetId="3"/>
      <sheetData sheetId="4"/>
      <sheetData sheetId="5">
        <row r="13">
          <cell r="F13">
            <v>1556250</v>
          </cell>
        </row>
        <row r="14">
          <cell r="F14">
            <v>0</v>
          </cell>
        </row>
        <row r="26">
          <cell r="F26">
            <v>16224200</v>
          </cell>
        </row>
        <row r="30">
          <cell r="F30">
            <v>1406000</v>
          </cell>
        </row>
        <row r="31">
          <cell r="F31">
            <v>356000</v>
          </cell>
        </row>
        <row r="33">
          <cell r="F33">
            <v>3750000</v>
          </cell>
        </row>
        <row r="38">
          <cell r="F38">
            <v>0</v>
          </cell>
        </row>
        <row r="39">
          <cell r="F39">
            <v>60000</v>
          </cell>
        </row>
        <row r="47">
          <cell r="F47">
            <v>1649000</v>
          </cell>
        </row>
        <row r="48">
          <cell r="F48">
            <v>1300000</v>
          </cell>
        </row>
        <row r="49">
          <cell r="F49">
            <v>300000</v>
          </cell>
        </row>
        <row r="50">
          <cell r="F50">
            <v>666000</v>
          </cell>
        </row>
        <row r="51">
          <cell r="F51">
            <v>1100000</v>
          </cell>
        </row>
        <row r="52">
          <cell r="F52">
            <v>300000</v>
          </cell>
        </row>
        <row r="55">
          <cell r="F55">
            <v>150000</v>
          </cell>
        </row>
        <row r="56">
          <cell r="F56">
            <v>451000</v>
          </cell>
        </row>
        <row r="57">
          <cell r="F57">
            <v>150000</v>
          </cell>
        </row>
        <row r="65">
          <cell r="F65">
            <v>2900000</v>
          </cell>
        </row>
        <row r="74">
          <cell r="F74">
            <v>4100000</v>
          </cell>
        </row>
        <row r="76">
          <cell r="F76">
            <v>0</v>
          </cell>
        </row>
        <row r="80">
          <cell r="F80">
            <v>3646832</v>
          </cell>
        </row>
        <row r="81">
          <cell r="F81">
            <v>10000000</v>
          </cell>
        </row>
        <row r="82">
          <cell r="F82">
            <v>20000</v>
          </cell>
        </row>
        <row r="85">
          <cell r="F85">
            <v>1010000</v>
          </cell>
        </row>
        <row r="86">
          <cell r="F86">
            <v>0</v>
          </cell>
        </row>
        <row r="92">
          <cell r="F92">
            <v>20110007</v>
          </cell>
        </row>
        <row r="94">
          <cell r="F94">
            <v>9078553</v>
          </cell>
        </row>
        <row r="95">
          <cell r="F95">
            <v>0</v>
          </cell>
        </row>
        <row r="97">
          <cell r="F97">
            <v>2363000</v>
          </cell>
        </row>
        <row r="98">
          <cell r="F98">
            <v>389500</v>
          </cell>
        </row>
        <row r="99">
          <cell r="F99">
            <v>203000</v>
          </cell>
        </row>
        <row r="100">
          <cell r="F100">
            <v>800000</v>
          </cell>
        </row>
        <row r="103">
          <cell r="F103">
            <v>0</v>
          </cell>
        </row>
        <row r="104">
          <cell r="F104">
            <v>0</v>
          </cell>
        </row>
        <row r="109">
          <cell r="F109">
            <v>0</v>
          </cell>
        </row>
        <row r="111">
          <cell r="F111">
            <v>0</v>
          </cell>
        </row>
        <row r="114">
          <cell r="F114">
            <v>0</v>
          </cell>
        </row>
        <row r="116">
          <cell r="F116">
            <v>566929</v>
          </cell>
        </row>
        <row r="117">
          <cell r="F117">
            <v>153071</v>
          </cell>
        </row>
        <row r="120">
          <cell r="F120">
            <v>0</v>
          </cell>
        </row>
        <row r="121">
          <cell r="F121">
            <v>0</v>
          </cell>
        </row>
        <row r="126">
          <cell r="F126">
            <v>0</v>
          </cell>
        </row>
        <row r="127">
          <cell r="F127">
            <v>300000</v>
          </cell>
        </row>
        <row r="128">
          <cell r="F128">
            <v>950000</v>
          </cell>
        </row>
        <row r="129">
          <cell r="F129">
            <v>150000</v>
          </cell>
        </row>
        <row r="130">
          <cell r="F130">
            <v>450000</v>
          </cell>
        </row>
        <row r="131">
          <cell r="F131">
            <v>150000</v>
          </cell>
        </row>
        <row r="132">
          <cell r="F132">
            <v>540000</v>
          </cell>
        </row>
        <row r="137">
          <cell r="F137">
            <v>0</v>
          </cell>
        </row>
        <row r="141">
          <cell r="F141">
            <v>590000</v>
          </cell>
        </row>
        <row r="143">
          <cell r="F143">
            <v>574000</v>
          </cell>
        </row>
        <row r="144">
          <cell r="F144">
            <v>506000</v>
          </cell>
        </row>
        <row r="145">
          <cell r="F145">
            <v>430000</v>
          </cell>
        </row>
        <row r="150">
          <cell r="F150">
            <v>0</v>
          </cell>
        </row>
        <row r="152">
          <cell r="F152">
            <v>6042266</v>
          </cell>
        </row>
        <row r="164">
          <cell r="F164">
            <v>149377101</v>
          </cell>
        </row>
        <row r="168">
          <cell r="F168">
            <v>2670000</v>
          </cell>
        </row>
        <row r="169">
          <cell r="F169">
            <v>261000</v>
          </cell>
        </row>
        <row r="171">
          <cell r="F171">
            <v>165000</v>
          </cell>
        </row>
        <row r="172">
          <cell r="F172">
            <v>44633</v>
          </cell>
        </row>
        <row r="173">
          <cell r="F173">
            <v>133000</v>
          </cell>
        </row>
        <row r="174">
          <cell r="F174">
            <v>36000</v>
          </cell>
        </row>
        <row r="179">
          <cell r="F179">
            <v>3218000</v>
          </cell>
        </row>
        <row r="180">
          <cell r="F180">
            <v>40000</v>
          </cell>
        </row>
        <row r="181">
          <cell r="F181">
            <v>321000</v>
          </cell>
        </row>
        <row r="183">
          <cell r="F183">
            <v>60604</v>
          </cell>
        </row>
        <row r="184">
          <cell r="F184">
            <v>10963</v>
          </cell>
        </row>
        <row r="189">
          <cell r="F189">
            <v>420000</v>
          </cell>
        </row>
        <row r="192">
          <cell r="F192">
            <v>131150</v>
          </cell>
        </row>
        <row r="193">
          <cell r="F193">
            <v>1700000</v>
          </cell>
        </row>
        <row r="195">
          <cell r="F195">
            <v>1033850</v>
          </cell>
        </row>
        <row r="199">
          <cell r="F199">
            <v>45000000</v>
          </cell>
        </row>
        <row r="200">
          <cell r="F200">
            <v>1900000</v>
          </cell>
        </row>
        <row r="207">
          <cell r="F207">
            <v>10819007</v>
          </cell>
        </row>
        <row r="208">
          <cell r="F208">
            <v>2921132</v>
          </cell>
        </row>
        <row r="213">
          <cell r="F213">
            <v>348080</v>
          </cell>
        </row>
        <row r="214">
          <cell r="F214">
            <v>3100668</v>
          </cell>
        </row>
        <row r="215">
          <cell r="F215">
            <v>564445</v>
          </cell>
        </row>
        <row r="216">
          <cell r="F216">
            <v>1052954</v>
          </cell>
        </row>
        <row r="226">
          <cell r="F226">
            <v>4517500</v>
          </cell>
        </row>
        <row r="227">
          <cell r="F227">
            <v>0</v>
          </cell>
        </row>
        <row r="229">
          <cell r="F229">
            <v>24000</v>
          </cell>
        </row>
        <row r="230">
          <cell r="F230">
            <v>146000</v>
          </cell>
        </row>
        <row r="231">
          <cell r="F231">
            <v>938000</v>
          </cell>
        </row>
        <row r="232">
          <cell r="F232">
            <v>0</v>
          </cell>
        </row>
        <row r="238">
          <cell r="F238">
            <v>2565396</v>
          </cell>
        </row>
        <row r="243">
          <cell r="F243">
            <v>750000</v>
          </cell>
        </row>
        <row r="244">
          <cell r="F244">
            <v>0</v>
          </cell>
        </row>
        <row r="249">
          <cell r="F249">
            <v>300000</v>
          </cell>
        </row>
        <row r="257">
          <cell r="F257">
            <v>1300000</v>
          </cell>
        </row>
        <row r="261">
          <cell r="F261">
            <v>1074437</v>
          </cell>
        </row>
        <row r="262">
          <cell r="F262">
            <v>58000</v>
          </cell>
        </row>
        <row r="265">
          <cell r="F265">
            <v>98000</v>
          </cell>
        </row>
        <row r="266">
          <cell r="F266">
            <v>27000</v>
          </cell>
        </row>
        <row r="267">
          <cell r="F267">
            <v>77000000</v>
          </cell>
        </row>
        <row r="268">
          <cell r="F268">
            <v>20790000</v>
          </cell>
        </row>
        <row r="269">
          <cell r="F269">
            <v>1263000</v>
          </cell>
        </row>
        <row r="278">
          <cell r="F278">
            <v>4465760</v>
          </cell>
        </row>
        <row r="279">
          <cell r="F279">
            <v>100000</v>
          </cell>
        </row>
        <row r="280">
          <cell r="F280">
            <v>24000</v>
          </cell>
        </row>
        <row r="281">
          <cell r="F281">
            <v>50000</v>
          </cell>
        </row>
        <row r="282">
          <cell r="F282">
            <v>12000</v>
          </cell>
        </row>
        <row r="283">
          <cell r="F283">
            <v>136000</v>
          </cell>
        </row>
        <row r="284">
          <cell r="F284">
            <v>687000</v>
          </cell>
        </row>
        <row r="287">
          <cell r="F287">
            <v>1020000</v>
          </cell>
        </row>
        <row r="288">
          <cell r="F288">
            <v>0</v>
          </cell>
        </row>
        <row r="289">
          <cell r="F289">
            <v>60000</v>
          </cell>
        </row>
        <row r="290">
          <cell r="F290">
            <v>150000</v>
          </cell>
        </row>
        <row r="291">
          <cell r="F291">
            <v>100000</v>
          </cell>
        </row>
        <row r="292">
          <cell r="F292">
            <v>110000</v>
          </cell>
        </row>
        <row r="293">
          <cell r="F293">
            <v>50000</v>
          </cell>
        </row>
        <row r="296">
          <cell r="F296">
            <v>10000</v>
          </cell>
        </row>
        <row r="298">
          <cell r="F298">
            <v>50000</v>
          </cell>
        </row>
        <row r="300">
          <cell r="F300">
            <v>10000</v>
          </cell>
        </row>
        <row r="301">
          <cell r="F301">
            <v>120000</v>
          </cell>
        </row>
        <row r="304">
          <cell r="F304">
            <v>0</v>
          </cell>
        </row>
        <row r="310">
          <cell r="F310">
            <v>90000</v>
          </cell>
        </row>
        <row r="316">
          <cell r="F316">
            <v>1000000</v>
          </cell>
        </row>
        <row r="317">
          <cell r="F317">
            <v>195000</v>
          </cell>
        </row>
        <row r="318">
          <cell r="F318">
            <v>1000000</v>
          </cell>
        </row>
        <row r="319">
          <cell r="F319">
            <v>800000</v>
          </cell>
        </row>
        <row r="320">
          <cell r="F320">
            <v>384997</v>
          </cell>
        </row>
        <row r="321">
          <cell r="F321">
            <v>2000000</v>
          </cell>
        </row>
        <row r="322">
          <cell r="F322">
            <v>800000</v>
          </cell>
        </row>
        <row r="346">
          <cell r="F346">
            <v>6207000</v>
          </cell>
        </row>
        <row r="353">
          <cell r="F353">
            <v>2531420</v>
          </cell>
        </row>
        <row r="354">
          <cell r="F354">
            <v>24000</v>
          </cell>
        </row>
        <row r="355">
          <cell r="F355">
            <v>12000</v>
          </cell>
        </row>
        <row r="357">
          <cell r="F357">
            <v>513484</v>
          </cell>
        </row>
        <row r="361">
          <cell r="F361">
            <v>50000</v>
          </cell>
        </row>
        <row r="362">
          <cell r="F362">
            <v>11161854</v>
          </cell>
        </row>
        <row r="363">
          <cell r="F363">
            <v>23000</v>
          </cell>
        </row>
        <row r="364">
          <cell r="F364">
            <v>50000</v>
          </cell>
        </row>
        <row r="365">
          <cell r="F365">
            <v>3035301</v>
          </cell>
        </row>
        <row r="367">
          <cell r="F367">
            <v>0</v>
          </cell>
        </row>
        <row r="368">
          <cell r="F368">
            <v>0</v>
          </cell>
        </row>
        <row r="369">
          <cell r="F369">
            <v>0</v>
          </cell>
        </row>
        <row r="370">
          <cell r="F370">
            <v>0</v>
          </cell>
        </row>
        <row r="375">
          <cell r="F375">
            <v>6756000</v>
          </cell>
        </row>
        <row r="376">
          <cell r="F376">
            <v>0</v>
          </cell>
        </row>
        <row r="381">
          <cell r="F381">
            <v>1200000</v>
          </cell>
        </row>
        <row r="382">
          <cell r="F382">
            <v>324000</v>
          </cell>
        </row>
        <row r="387">
          <cell r="F387">
            <v>103500</v>
          </cell>
        </row>
        <row r="392">
          <cell r="F392">
            <v>27559</v>
          </cell>
        </row>
        <row r="393">
          <cell r="F393">
            <v>7440.93</v>
          </cell>
        </row>
        <row r="398">
          <cell r="F398">
            <v>25500</v>
          </cell>
        </row>
        <row r="399">
          <cell r="F399">
            <v>400000</v>
          </cell>
        </row>
        <row r="404">
          <cell r="F404">
            <v>1246000</v>
          </cell>
        </row>
        <row r="405">
          <cell r="F405">
            <v>1512000</v>
          </cell>
        </row>
        <row r="406">
          <cell r="F406">
            <v>500000</v>
          </cell>
        </row>
        <row r="407">
          <cell r="F407">
            <v>900000</v>
          </cell>
        </row>
        <row r="408">
          <cell r="F408">
            <v>500000</v>
          </cell>
        </row>
        <row r="409">
          <cell r="F409">
            <v>5017000</v>
          </cell>
        </row>
        <row r="411">
          <cell r="F411">
            <v>5190000</v>
          </cell>
        </row>
        <row r="424">
          <cell r="F424">
            <v>492363343.93000001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Óvoda 2019.)"/>
      <sheetName val="Bevételek(Óvoda 2019)"/>
      <sheetName val="Bevételek COFOG"/>
      <sheetName val="Kiadások(Óvoda 2019)"/>
      <sheetName val="Kiadások COFOG szerint"/>
    </sheetNames>
    <sheetDataSet>
      <sheetData sheetId="0"/>
      <sheetData sheetId="1"/>
      <sheetData sheetId="2"/>
      <sheetData sheetId="3"/>
      <sheetData sheetId="4">
        <row r="83">
          <cell r="F83">
            <v>65109000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6653-BE5C-4C51-ACD9-8C7D53F38AE2}">
  <dimension ref="A1:K155"/>
  <sheetViews>
    <sheetView view="pageBreakPreview" topLeftCell="A11" zoomScaleNormal="100" zoomScaleSheetLayoutView="100" workbookViewId="0">
      <selection activeCell="M126" sqref="M126"/>
    </sheetView>
  </sheetViews>
  <sheetFormatPr defaultRowHeight="12.75" x14ac:dyDescent="0.2"/>
  <cols>
    <col min="1" max="1" width="9.7109375" customWidth="1"/>
    <col min="2" max="2" width="42.28515625" customWidth="1"/>
    <col min="3" max="4" width="16.7109375" customWidth="1"/>
    <col min="5" max="5" width="13" customWidth="1"/>
    <col min="6" max="6" width="16.7109375" style="292" customWidth="1"/>
    <col min="7" max="7" width="8.42578125" customWidth="1"/>
    <col min="8" max="8" width="8.42578125" style="178" customWidth="1"/>
    <col min="9" max="9" width="13.85546875" style="178" customWidth="1"/>
    <col min="10" max="10" width="12.140625" customWidth="1"/>
    <col min="11" max="1024" width="8.42578125" customWidth="1"/>
  </cols>
  <sheetData>
    <row r="1" spans="1:10" x14ac:dyDescent="0.2">
      <c r="F1" s="177" t="s">
        <v>394</v>
      </c>
    </row>
    <row r="2" spans="1:10" ht="15.75" x14ac:dyDescent="0.25">
      <c r="A2" s="863" t="s">
        <v>395</v>
      </c>
      <c r="B2" s="863"/>
      <c r="C2" s="863"/>
      <c r="D2" s="863"/>
      <c r="E2" s="863"/>
      <c r="F2" s="863"/>
    </row>
    <row r="3" spans="1:10" ht="15.75" x14ac:dyDescent="0.25">
      <c r="A3" s="863" t="s">
        <v>243</v>
      </c>
      <c r="B3" s="863"/>
      <c r="C3" s="863"/>
      <c r="D3" s="863"/>
      <c r="E3" s="863"/>
      <c r="F3" s="863"/>
    </row>
    <row r="4" spans="1:10" ht="20.25" customHeight="1" thickBot="1" x14ac:dyDescent="0.25">
      <c r="F4" s="179" t="s">
        <v>396</v>
      </c>
    </row>
    <row r="5" spans="1:10" ht="19.5" customHeight="1" thickBot="1" x14ac:dyDescent="0.25">
      <c r="A5" s="864" t="s">
        <v>397</v>
      </c>
      <c r="B5" s="864"/>
      <c r="C5" s="864"/>
      <c r="D5" s="864"/>
      <c r="E5" s="864"/>
      <c r="F5" s="864"/>
    </row>
    <row r="6" spans="1:10" s="181" customFormat="1" ht="19.5" customHeight="1" thickBot="1" x14ac:dyDescent="0.25">
      <c r="A6" s="180"/>
      <c r="B6" s="180"/>
      <c r="C6" s="180"/>
      <c r="D6" s="180"/>
      <c r="E6" s="180"/>
      <c r="F6" s="180"/>
      <c r="H6" s="182"/>
      <c r="I6" s="182"/>
    </row>
    <row r="7" spans="1:10" ht="24.75" customHeight="1" thickBot="1" x14ac:dyDescent="0.25">
      <c r="A7" s="865" t="s">
        <v>398</v>
      </c>
      <c r="B7" s="865"/>
      <c r="C7" s="865"/>
      <c r="D7" s="865"/>
      <c r="E7" s="865"/>
      <c r="F7" s="865"/>
    </row>
    <row r="8" spans="1:10" ht="15.75" customHeight="1" thickBot="1" x14ac:dyDescent="0.3">
      <c r="A8" s="848" t="s">
        <v>399</v>
      </c>
      <c r="B8" s="849" t="s">
        <v>400</v>
      </c>
      <c r="C8" s="850">
        <v>2019</v>
      </c>
      <c r="D8" s="850"/>
      <c r="E8" s="850"/>
      <c r="F8" s="851" t="s">
        <v>401</v>
      </c>
    </row>
    <row r="9" spans="1:10" ht="24.75" customHeight="1" thickBot="1" x14ac:dyDescent="0.25">
      <c r="A9" s="848"/>
      <c r="B9" s="849"/>
      <c r="C9" s="183" t="s">
        <v>402</v>
      </c>
      <c r="D9" s="183" t="s">
        <v>403</v>
      </c>
      <c r="E9" s="183" t="s">
        <v>404</v>
      </c>
      <c r="F9" s="851"/>
    </row>
    <row r="10" spans="1:10" ht="24.75" customHeight="1" x14ac:dyDescent="0.2">
      <c r="A10" s="184" t="s">
        <v>405</v>
      </c>
      <c r="B10" s="185" t="s">
        <v>406</v>
      </c>
      <c r="C10" s="186">
        <v>0</v>
      </c>
      <c r="D10" s="187">
        <f>F10-C10</f>
        <v>0</v>
      </c>
      <c r="E10" s="188"/>
      <c r="F10" s="189">
        <v>0</v>
      </c>
    </row>
    <row r="11" spans="1:10" ht="34.5" customHeight="1" x14ac:dyDescent="0.2">
      <c r="A11" s="190" t="s">
        <v>407</v>
      </c>
      <c r="B11" s="191" t="s">
        <v>408</v>
      </c>
      <c r="C11" s="192">
        <v>0</v>
      </c>
      <c r="D11" s="187">
        <f t="shared" ref="D11:D24" si="0">F11-C11</f>
        <v>273099</v>
      </c>
      <c r="E11" s="188"/>
      <c r="F11" s="193">
        <v>273099</v>
      </c>
    </row>
    <row r="12" spans="1:10" ht="22.5" customHeight="1" x14ac:dyDescent="0.2">
      <c r="A12" s="190" t="s">
        <v>409</v>
      </c>
      <c r="B12" s="191" t="s">
        <v>345</v>
      </c>
      <c r="C12" s="192">
        <v>0</v>
      </c>
      <c r="D12" s="187">
        <f t="shared" si="0"/>
        <v>0</v>
      </c>
      <c r="E12" s="188"/>
      <c r="F12" s="193">
        <v>0</v>
      </c>
    </row>
    <row r="13" spans="1:10" ht="33.75" customHeight="1" x14ac:dyDescent="0.2">
      <c r="A13" s="190" t="s">
        <v>410</v>
      </c>
      <c r="B13" s="191" t="s">
        <v>411</v>
      </c>
      <c r="C13" s="192">
        <v>0</v>
      </c>
      <c r="D13" s="187">
        <f t="shared" si="0"/>
        <v>0</v>
      </c>
      <c r="E13" s="188"/>
      <c r="F13" s="193">
        <v>0</v>
      </c>
      <c r="H13" s="182"/>
      <c r="I13" s="182"/>
      <c r="J13" s="194"/>
    </row>
    <row r="14" spans="1:10" ht="12.75" customHeight="1" x14ac:dyDescent="0.2">
      <c r="A14" s="190" t="s">
        <v>412</v>
      </c>
      <c r="B14" s="191" t="s">
        <v>413</v>
      </c>
      <c r="C14" s="192">
        <v>0</v>
      </c>
      <c r="D14" s="187">
        <f t="shared" si="0"/>
        <v>0</v>
      </c>
      <c r="E14" s="188"/>
      <c r="F14" s="193">
        <v>0</v>
      </c>
    </row>
    <row r="15" spans="1:10" ht="12.75" customHeight="1" x14ac:dyDescent="0.2">
      <c r="A15" s="190" t="s">
        <v>414</v>
      </c>
      <c r="B15" s="191" t="s">
        <v>218</v>
      </c>
      <c r="C15" s="192">
        <v>350000</v>
      </c>
      <c r="D15" s="187">
        <f t="shared" si="0"/>
        <v>0</v>
      </c>
      <c r="E15" s="188">
        <f t="shared" ref="E15:E24" si="1">F15/C15*100</f>
        <v>100</v>
      </c>
      <c r="F15" s="193">
        <v>350000</v>
      </c>
    </row>
    <row r="16" spans="1:10" ht="12.75" customHeight="1" x14ac:dyDescent="0.2">
      <c r="A16" s="195" t="s">
        <v>415</v>
      </c>
      <c r="B16" s="191" t="s">
        <v>353</v>
      </c>
      <c r="C16" s="192">
        <v>300000</v>
      </c>
      <c r="D16" s="187">
        <f t="shared" si="0"/>
        <v>0</v>
      </c>
      <c r="E16" s="188"/>
      <c r="F16" s="193">
        <v>300000</v>
      </c>
    </row>
    <row r="17" spans="1:11" ht="12.75" customHeight="1" x14ac:dyDescent="0.2">
      <c r="A17" s="862" t="s">
        <v>416</v>
      </c>
      <c r="B17" s="191" t="s">
        <v>354</v>
      </c>
      <c r="C17" s="192">
        <v>38000000</v>
      </c>
      <c r="D17" s="187">
        <f t="shared" si="0"/>
        <v>0</v>
      </c>
      <c r="E17" s="188">
        <f t="shared" si="1"/>
        <v>100</v>
      </c>
      <c r="F17" s="193">
        <v>38000000</v>
      </c>
    </row>
    <row r="18" spans="1:11" ht="12.75" customHeight="1" x14ac:dyDescent="0.2">
      <c r="A18" s="862"/>
      <c r="B18" s="196" t="s">
        <v>417</v>
      </c>
      <c r="C18" s="192"/>
      <c r="D18" s="187">
        <f t="shared" si="0"/>
        <v>0</v>
      </c>
      <c r="E18" s="188"/>
      <c r="F18" s="193"/>
    </row>
    <row r="19" spans="1:11" ht="12.75" customHeight="1" x14ac:dyDescent="0.2">
      <c r="A19" s="190" t="s">
        <v>418</v>
      </c>
      <c r="B19" s="191" t="s">
        <v>356</v>
      </c>
      <c r="C19" s="192">
        <v>0</v>
      </c>
      <c r="D19" s="187">
        <f t="shared" si="0"/>
        <v>0</v>
      </c>
      <c r="E19" s="188"/>
      <c r="F19" s="193">
        <v>0</v>
      </c>
    </row>
    <row r="20" spans="1:11" ht="12.75" customHeight="1" x14ac:dyDescent="0.2">
      <c r="A20" s="190" t="s">
        <v>419</v>
      </c>
      <c r="B20" s="191" t="s">
        <v>357</v>
      </c>
      <c r="C20" s="192">
        <v>500000</v>
      </c>
      <c r="D20" s="187">
        <f t="shared" si="0"/>
        <v>0</v>
      </c>
      <c r="E20" s="188">
        <f t="shared" si="1"/>
        <v>100</v>
      </c>
      <c r="F20" s="193">
        <v>500000</v>
      </c>
      <c r="G20" s="178"/>
    </row>
    <row r="21" spans="1:11" ht="12.75" customHeight="1" x14ac:dyDescent="0.2">
      <c r="A21" s="190" t="s">
        <v>420</v>
      </c>
      <c r="B21" s="191" t="s">
        <v>358</v>
      </c>
      <c r="C21" s="192">
        <v>200000</v>
      </c>
      <c r="D21" s="187">
        <f t="shared" si="0"/>
        <v>0</v>
      </c>
      <c r="E21" s="188">
        <f t="shared" si="1"/>
        <v>100</v>
      </c>
      <c r="F21" s="193">
        <v>200000</v>
      </c>
    </row>
    <row r="22" spans="1:11" ht="12.75" customHeight="1" x14ac:dyDescent="0.2">
      <c r="A22" s="190" t="s">
        <v>421</v>
      </c>
      <c r="B22" s="191" t="s">
        <v>422</v>
      </c>
      <c r="C22" s="192">
        <v>0</v>
      </c>
      <c r="D22" s="187">
        <f t="shared" si="0"/>
        <v>3000</v>
      </c>
      <c r="E22" s="188"/>
      <c r="F22" s="193">
        <v>3000</v>
      </c>
    </row>
    <row r="23" spans="1:11" ht="12.75" customHeight="1" x14ac:dyDescent="0.2">
      <c r="A23" s="197" t="s">
        <v>421</v>
      </c>
      <c r="B23" s="191" t="s">
        <v>423</v>
      </c>
      <c r="C23" s="192">
        <v>0</v>
      </c>
      <c r="D23" s="187">
        <f t="shared" si="0"/>
        <v>0</v>
      </c>
      <c r="E23" s="188"/>
      <c r="F23" s="193">
        <v>0</v>
      </c>
    </row>
    <row r="24" spans="1:11" ht="12.75" customHeight="1" x14ac:dyDescent="0.2">
      <c r="A24" s="198" t="s">
        <v>424</v>
      </c>
      <c r="B24" s="199" t="s">
        <v>425</v>
      </c>
      <c r="C24" s="200">
        <v>26000000</v>
      </c>
      <c r="D24" s="187">
        <f t="shared" si="0"/>
        <v>27827200</v>
      </c>
      <c r="E24" s="188">
        <f t="shared" si="1"/>
        <v>207.02769230769232</v>
      </c>
      <c r="F24" s="201">
        <f>F25+F27+F26+F28+F29</f>
        <v>53827200</v>
      </c>
      <c r="J24" s="202"/>
      <c r="K24" s="178"/>
    </row>
    <row r="25" spans="1:11" ht="12.75" customHeight="1" x14ac:dyDescent="0.2">
      <c r="A25" s="203"/>
      <c r="B25" s="204" t="s">
        <v>426</v>
      </c>
      <c r="C25" s="192"/>
      <c r="D25" s="187"/>
      <c r="E25" s="188"/>
      <c r="F25" s="205">
        <v>5221200</v>
      </c>
      <c r="J25" s="202"/>
      <c r="K25" s="178"/>
    </row>
    <row r="26" spans="1:11" ht="12.75" customHeight="1" x14ac:dyDescent="0.2">
      <c r="A26" s="203"/>
      <c r="B26" s="204" t="s">
        <v>427</v>
      </c>
      <c r="C26" s="192"/>
      <c r="D26" s="187"/>
      <c r="E26" s="188"/>
      <c r="F26" s="205">
        <v>606000</v>
      </c>
      <c r="J26" s="202"/>
      <c r="K26" s="178"/>
    </row>
    <row r="27" spans="1:11" ht="12.75" customHeight="1" x14ac:dyDescent="0.2">
      <c r="A27" s="203"/>
      <c r="B27" s="204" t="s">
        <v>428</v>
      </c>
      <c r="C27" s="192"/>
      <c r="D27" s="187"/>
      <c r="E27" s="188"/>
      <c r="F27" s="205">
        <v>35000000</v>
      </c>
      <c r="J27" s="202"/>
      <c r="K27" s="178"/>
    </row>
    <row r="28" spans="1:11" ht="12.75" customHeight="1" x14ac:dyDescent="0.2">
      <c r="A28" s="203"/>
      <c r="B28" s="204" t="s">
        <v>429</v>
      </c>
      <c r="C28" s="192"/>
      <c r="D28" s="187"/>
      <c r="E28" s="188"/>
      <c r="F28" s="205">
        <v>11000000</v>
      </c>
      <c r="J28" s="202"/>
      <c r="K28" s="178"/>
    </row>
    <row r="29" spans="1:11" ht="12.75" customHeight="1" x14ac:dyDescent="0.2">
      <c r="A29" s="203"/>
      <c r="B29" s="204" t="s">
        <v>430</v>
      </c>
      <c r="C29" s="192"/>
      <c r="D29" s="187"/>
      <c r="E29" s="188"/>
      <c r="F29" s="205">
        <v>2000000</v>
      </c>
      <c r="J29" s="202"/>
      <c r="K29" s="178"/>
    </row>
    <row r="30" spans="1:11" ht="12.75" customHeight="1" x14ac:dyDescent="0.2">
      <c r="A30" s="206"/>
      <c r="B30" s="204"/>
      <c r="C30" s="192"/>
      <c r="D30" s="187"/>
      <c r="E30" s="188"/>
      <c r="F30" s="205"/>
      <c r="J30" s="202"/>
      <c r="K30" s="178"/>
    </row>
    <row r="31" spans="1:11" ht="26.25" customHeight="1" x14ac:dyDescent="0.2">
      <c r="A31" s="206" t="s">
        <v>431</v>
      </c>
      <c r="B31" s="191" t="s">
        <v>432</v>
      </c>
      <c r="C31" s="192">
        <v>0</v>
      </c>
      <c r="D31" s="187">
        <f>F31-C31</f>
        <v>277000</v>
      </c>
      <c r="E31" s="188"/>
      <c r="F31" s="193">
        <v>277000</v>
      </c>
      <c r="J31" s="202"/>
    </row>
    <row r="32" spans="1:11" ht="20.25" customHeight="1" x14ac:dyDescent="0.2">
      <c r="A32" s="190" t="s">
        <v>433</v>
      </c>
      <c r="B32" s="191" t="s">
        <v>434</v>
      </c>
      <c r="C32" s="192"/>
      <c r="D32" s="187">
        <f t="shared" ref="D32:D33" si="2">F32-C32</f>
        <v>0</v>
      </c>
      <c r="E32" s="188"/>
      <c r="F32" s="193"/>
    </row>
    <row r="33" spans="1:7" ht="23.25" customHeight="1" thickBot="1" x14ac:dyDescent="0.25">
      <c r="A33" s="197" t="s">
        <v>435</v>
      </c>
      <c r="B33" s="207" t="s">
        <v>436</v>
      </c>
      <c r="C33" s="208">
        <v>220000</v>
      </c>
      <c r="D33" s="187">
        <f t="shared" si="2"/>
        <v>0</v>
      </c>
      <c r="E33" s="188"/>
      <c r="F33" s="209">
        <v>220000</v>
      </c>
      <c r="G33" s="181"/>
    </row>
    <row r="34" spans="1:7" ht="19.5" customHeight="1" thickBot="1" x14ac:dyDescent="0.25">
      <c r="A34" s="845" t="s">
        <v>437</v>
      </c>
      <c r="B34" s="845"/>
      <c r="C34" s="210">
        <f>SUM(C10:C33)</f>
        <v>65570000</v>
      </c>
      <c r="D34" s="210">
        <f>SUM(D10:D33)</f>
        <v>28380299</v>
      </c>
      <c r="E34" s="211">
        <f>F34/C34*100</f>
        <v>143.28244471557113</v>
      </c>
      <c r="F34" s="212">
        <f>F11+F15+F16+F17+F19+F20+F21+F22+F24+F31+F33</f>
        <v>93950299</v>
      </c>
    </row>
    <row r="35" spans="1:7" ht="24" customHeight="1" thickBot="1" x14ac:dyDescent="0.25">
      <c r="A35" s="853" t="s">
        <v>438</v>
      </c>
      <c r="B35" s="853"/>
      <c r="C35" s="853"/>
      <c r="D35" s="853"/>
      <c r="E35" s="853"/>
      <c r="F35" s="853"/>
    </row>
    <row r="36" spans="1:7" ht="17.25" customHeight="1" thickBot="1" x14ac:dyDescent="0.3">
      <c r="A36" s="848" t="s">
        <v>399</v>
      </c>
      <c r="B36" s="849" t="s">
        <v>400</v>
      </c>
      <c r="C36" s="850">
        <v>2019</v>
      </c>
      <c r="D36" s="850"/>
      <c r="E36" s="850"/>
      <c r="F36" s="851" t="s">
        <v>401</v>
      </c>
    </row>
    <row r="37" spans="1:7" ht="26.25" customHeight="1" thickBot="1" x14ac:dyDescent="0.25">
      <c r="A37" s="848"/>
      <c r="B37" s="849"/>
      <c r="C37" s="183" t="s">
        <v>402</v>
      </c>
      <c r="D37" s="183" t="s">
        <v>403</v>
      </c>
      <c r="E37" s="183" t="s">
        <v>404</v>
      </c>
      <c r="F37" s="851"/>
    </row>
    <row r="38" spans="1:7" ht="16.5" customHeight="1" x14ac:dyDescent="0.2">
      <c r="A38" s="213" t="s">
        <v>416</v>
      </c>
      <c r="B38" s="214" t="s">
        <v>354</v>
      </c>
      <c r="C38" s="214">
        <v>1880000</v>
      </c>
      <c r="D38" s="214">
        <f>F38-C38</f>
        <v>0</v>
      </c>
      <c r="E38" s="215">
        <f>F38/C38*100</f>
        <v>100</v>
      </c>
      <c r="F38" s="216">
        <v>1880000</v>
      </c>
    </row>
    <row r="39" spans="1:7" ht="16.5" customHeight="1" thickBot="1" x14ac:dyDescent="0.25">
      <c r="A39" s="217" t="s">
        <v>421</v>
      </c>
      <c r="B39" s="218" t="s">
        <v>423</v>
      </c>
      <c r="C39" s="219">
        <v>1440000</v>
      </c>
      <c r="D39" s="219"/>
      <c r="E39" s="220"/>
      <c r="F39" s="221">
        <v>1440000</v>
      </c>
    </row>
    <row r="40" spans="1:7" ht="18" customHeight="1" thickBot="1" x14ac:dyDescent="0.25">
      <c r="A40" s="861" t="s">
        <v>437</v>
      </c>
      <c r="B40" s="861"/>
      <c r="C40" s="210">
        <f>C38+C39</f>
        <v>3320000</v>
      </c>
      <c r="D40" s="210">
        <f>D38</f>
        <v>0</v>
      </c>
      <c r="E40" s="211">
        <f>E38</f>
        <v>100</v>
      </c>
      <c r="F40" s="212">
        <f>SUM(F38:F39)</f>
        <v>3320000</v>
      </c>
    </row>
    <row r="41" spans="1:7" ht="24" customHeight="1" thickBot="1" x14ac:dyDescent="0.25">
      <c r="A41" s="853" t="s">
        <v>439</v>
      </c>
      <c r="B41" s="853"/>
      <c r="C41" s="853"/>
      <c r="D41" s="853"/>
      <c r="E41" s="853"/>
      <c r="F41" s="853"/>
    </row>
    <row r="42" spans="1:7" ht="15.75" customHeight="1" thickBot="1" x14ac:dyDescent="0.3">
      <c r="A42" s="848" t="s">
        <v>399</v>
      </c>
      <c r="B42" s="849" t="s">
        <v>400</v>
      </c>
      <c r="C42" s="850">
        <v>2019</v>
      </c>
      <c r="D42" s="850"/>
      <c r="E42" s="850"/>
      <c r="F42" s="851" t="s">
        <v>401</v>
      </c>
    </row>
    <row r="43" spans="1:7" ht="27.75" customHeight="1" thickBot="1" x14ac:dyDescent="0.25">
      <c r="A43" s="848"/>
      <c r="B43" s="849"/>
      <c r="C43" s="183" t="s">
        <v>402</v>
      </c>
      <c r="D43" s="183" t="s">
        <v>403</v>
      </c>
      <c r="E43" s="183" t="s">
        <v>404</v>
      </c>
      <c r="F43" s="851"/>
    </row>
    <row r="44" spans="1:7" ht="27" customHeight="1" x14ac:dyDescent="0.2">
      <c r="A44" s="222" t="s">
        <v>440</v>
      </c>
      <c r="B44" s="223" t="s">
        <v>341</v>
      </c>
      <c r="C44" s="224">
        <v>68882406</v>
      </c>
      <c r="D44" s="224">
        <f>F44-C44</f>
        <v>2009150</v>
      </c>
      <c r="E44" s="225">
        <f>F44/C44*100</f>
        <v>102.91678255257229</v>
      </c>
      <c r="F44" s="226">
        <f>SUM(F45:F52)</f>
        <v>70891556</v>
      </c>
    </row>
    <row r="45" spans="1:7" ht="27" customHeight="1" x14ac:dyDescent="0.2">
      <c r="A45" s="227" t="s">
        <v>440</v>
      </c>
      <c r="B45" s="196" t="s">
        <v>441</v>
      </c>
      <c r="C45" s="228">
        <v>57295800</v>
      </c>
      <c r="D45" s="229">
        <f>F45-C45</f>
        <v>1893000</v>
      </c>
      <c r="E45" s="225"/>
      <c r="F45" s="230">
        <f>57295800+1893000</f>
        <v>59188800</v>
      </c>
    </row>
    <row r="46" spans="1:7" ht="27" customHeight="1" x14ac:dyDescent="0.2">
      <c r="A46" s="231" t="s">
        <v>440</v>
      </c>
      <c r="B46" s="196" t="s">
        <v>442</v>
      </c>
      <c r="C46" s="229">
        <v>1446835</v>
      </c>
      <c r="D46" s="229">
        <f>F46-C46</f>
        <v>0</v>
      </c>
      <c r="E46" s="232">
        <f>F46/C46*100</f>
        <v>100</v>
      </c>
      <c r="F46" s="233">
        <v>1446835</v>
      </c>
    </row>
    <row r="47" spans="1:7" ht="20.100000000000001" customHeight="1" x14ac:dyDescent="0.2">
      <c r="A47" s="231" t="s">
        <v>440</v>
      </c>
      <c r="B47" s="196" t="s">
        <v>443</v>
      </c>
      <c r="C47" s="234">
        <v>5056000</v>
      </c>
      <c r="D47" s="229">
        <f t="shared" ref="D47:D52" si="3">F47-C47</f>
        <v>0</v>
      </c>
      <c r="E47" s="232">
        <f t="shared" ref="E47:E51" si="4">F47/C47*100</f>
        <v>100</v>
      </c>
      <c r="F47" s="233">
        <v>5056000</v>
      </c>
    </row>
    <row r="48" spans="1:7" ht="20.100000000000001" customHeight="1" x14ac:dyDescent="0.2">
      <c r="A48" s="231" t="s">
        <v>440</v>
      </c>
      <c r="B48" s="196" t="s">
        <v>444</v>
      </c>
      <c r="C48" s="235">
        <v>718911</v>
      </c>
      <c r="D48" s="229">
        <f t="shared" si="3"/>
        <v>0</v>
      </c>
      <c r="E48" s="232">
        <f t="shared" si="4"/>
        <v>100</v>
      </c>
      <c r="F48" s="233">
        <v>718911</v>
      </c>
    </row>
    <row r="49" spans="1:11" ht="20.100000000000001" customHeight="1" x14ac:dyDescent="0.2">
      <c r="A49" s="231" t="s">
        <v>440</v>
      </c>
      <c r="B49" s="196" t="s">
        <v>445</v>
      </c>
      <c r="C49" s="235">
        <v>3252910</v>
      </c>
      <c r="D49" s="229">
        <f t="shared" si="3"/>
        <v>0</v>
      </c>
      <c r="E49" s="232">
        <f t="shared" si="4"/>
        <v>100</v>
      </c>
      <c r="F49" s="233">
        <v>3252910</v>
      </c>
    </row>
    <row r="50" spans="1:11" ht="20.100000000000001" customHeight="1" x14ac:dyDescent="0.2">
      <c r="A50" s="231" t="s">
        <v>440</v>
      </c>
      <c r="B50" s="196" t="s">
        <v>446</v>
      </c>
      <c r="C50" s="236">
        <v>139550</v>
      </c>
      <c r="D50" s="229">
        <f t="shared" si="3"/>
        <v>0</v>
      </c>
      <c r="E50" s="232">
        <f t="shared" si="4"/>
        <v>100</v>
      </c>
      <c r="F50" s="233">
        <v>139550</v>
      </c>
    </row>
    <row r="51" spans="1:11" ht="20.100000000000001" customHeight="1" x14ac:dyDescent="0.2">
      <c r="A51" s="231" t="s">
        <v>440</v>
      </c>
      <c r="B51" s="196" t="s">
        <v>447</v>
      </c>
      <c r="C51" s="236">
        <v>972400</v>
      </c>
      <c r="D51" s="229">
        <f t="shared" si="3"/>
        <v>0</v>
      </c>
      <c r="E51" s="232">
        <f t="shared" si="4"/>
        <v>100</v>
      </c>
      <c r="F51" s="233">
        <v>972400</v>
      </c>
    </row>
    <row r="52" spans="1:11" ht="20.100000000000001" customHeight="1" x14ac:dyDescent="0.2">
      <c r="A52" s="231"/>
      <c r="B52" s="196" t="s">
        <v>448</v>
      </c>
      <c r="C52" s="236">
        <v>0</v>
      </c>
      <c r="D52" s="229">
        <f t="shared" si="3"/>
        <v>116150</v>
      </c>
      <c r="E52" s="237"/>
      <c r="F52" s="233">
        <v>116150</v>
      </c>
    </row>
    <row r="53" spans="1:11" ht="27" customHeight="1" x14ac:dyDescent="0.2">
      <c r="A53" s="238" t="s">
        <v>449</v>
      </c>
      <c r="B53" s="239" t="s">
        <v>450</v>
      </c>
      <c r="C53" s="240">
        <v>41735600</v>
      </c>
      <c r="D53" s="241">
        <f>F53-C53</f>
        <v>1168833</v>
      </c>
      <c r="E53" s="242">
        <f>F53/C53*100</f>
        <v>102.80056594370275</v>
      </c>
      <c r="F53" s="243">
        <f>42124433+780000</f>
        <v>42904433</v>
      </c>
    </row>
    <row r="54" spans="1:11" ht="27" customHeight="1" x14ac:dyDescent="0.2">
      <c r="A54" s="244" t="s">
        <v>449</v>
      </c>
      <c r="B54" s="245" t="s">
        <v>451</v>
      </c>
      <c r="C54" s="241">
        <v>1689000</v>
      </c>
      <c r="D54" s="241">
        <f t="shared" ref="D54:D55" si="5">F54-C54</f>
        <v>0</v>
      </c>
      <c r="E54" s="242">
        <f t="shared" ref="E54:E55" si="6">F54/C54*100</f>
        <v>100</v>
      </c>
      <c r="F54" s="246">
        <v>1689000</v>
      </c>
    </row>
    <row r="55" spans="1:11" ht="34.5" customHeight="1" x14ac:dyDescent="0.2">
      <c r="A55" s="247" t="s">
        <v>452</v>
      </c>
      <c r="B55" s="245" t="s">
        <v>343</v>
      </c>
      <c r="C55" s="241">
        <v>32311987</v>
      </c>
      <c r="D55" s="240">
        <f t="shared" si="5"/>
        <v>1047211</v>
      </c>
      <c r="E55" s="242">
        <f t="shared" si="6"/>
        <v>103.24093656016883</v>
      </c>
      <c r="F55" s="246">
        <f>F56+F57+F58+F59+F60+F61</f>
        <v>33359198</v>
      </c>
    </row>
    <row r="56" spans="1:11" ht="20.100000000000001" customHeight="1" x14ac:dyDescent="0.2">
      <c r="A56" s="231" t="s">
        <v>452</v>
      </c>
      <c r="B56" s="196" t="s">
        <v>453</v>
      </c>
      <c r="C56" s="236">
        <v>8347000</v>
      </c>
      <c r="D56" s="236">
        <f>F56-C56</f>
        <v>0</v>
      </c>
      <c r="E56" s="232">
        <f>F56/C56*100</f>
        <v>100</v>
      </c>
      <c r="F56" s="233">
        <v>8347000</v>
      </c>
    </row>
    <row r="57" spans="1:11" ht="24" customHeight="1" x14ac:dyDescent="0.2">
      <c r="A57" s="248" t="s">
        <v>452</v>
      </c>
      <c r="B57" s="196" t="s">
        <v>454</v>
      </c>
      <c r="C57" s="229">
        <v>9025000</v>
      </c>
      <c r="D57" s="236">
        <f t="shared" ref="D57:D60" si="7">F57-C57</f>
        <v>950000</v>
      </c>
      <c r="E57" s="232">
        <f t="shared" ref="E57:E60" si="8">F57/C57*100</f>
        <v>110.5263157894737</v>
      </c>
      <c r="F57" s="233">
        <f>9025000+950000</f>
        <v>9975000</v>
      </c>
    </row>
    <row r="58" spans="1:11" ht="20.100000000000001" customHeight="1" x14ac:dyDescent="0.2">
      <c r="A58" s="231" t="s">
        <v>452</v>
      </c>
      <c r="B58" s="196" t="s">
        <v>455</v>
      </c>
      <c r="C58" s="234">
        <v>5436841</v>
      </c>
      <c r="D58" s="236">
        <f t="shared" si="7"/>
        <v>-12178</v>
      </c>
      <c r="E58" s="232">
        <f t="shared" si="8"/>
        <v>99.776009635006801</v>
      </c>
      <c r="F58" s="233">
        <v>5424663</v>
      </c>
    </row>
    <row r="59" spans="1:11" ht="20.100000000000001" customHeight="1" x14ac:dyDescent="0.2">
      <c r="A59" s="248" t="s">
        <v>452</v>
      </c>
      <c r="B59" s="196" t="s">
        <v>456</v>
      </c>
      <c r="C59" s="234">
        <v>34146</v>
      </c>
      <c r="D59" s="236">
        <f t="shared" si="7"/>
        <v>-34146</v>
      </c>
      <c r="E59" s="232">
        <f t="shared" si="8"/>
        <v>0</v>
      </c>
      <c r="F59" s="233">
        <v>0</v>
      </c>
    </row>
    <row r="60" spans="1:11" ht="22.5" customHeight="1" x14ac:dyDescent="0.2">
      <c r="A60" s="227" t="s">
        <v>452</v>
      </c>
      <c r="B60" s="249" t="s">
        <v>457</v>
      </c>
      <c r="C60" s="250">
        <v>9469000</v>
      </c>
      <c r="D60" s="228">
        <f t="shared" si="7"/>
        <v>0</v>
      </c>
      <c r="E60" s="232">
        <f t="shared" si="8"/>
        <v>100</v>
      </c>
      <c r="F60" s="230">
        <v>9469000</v>
      </c>
    </row>
    <row r="61" spans="1:11" ht="22.5" customHeight="1" x14ac:dyDescent="0.2">
      <c r="A61" s="227" t="s">
        <v>452</v>
      </c>
      <c r="B61" s="249" t="s">
        <v>458</v>
      </c>
      <c r="C61" s="250">
        <v>0</v>
      </c>
      <c r="D61" s="228"/>
      <c r="E61" s="232"/>
      <c r="F61" s="230">
        <v>143535</v>
      </c>
    </row>
    <row r="62" spans="1:11" ht="27.75" customHeight="1" x14ac:dyDescent="0.2">
      <c r="A62" s="251" t="s">
        <v>459</v>
      </c>
      <c r="B62" s="223" t="s">
        <v>344</v>
      </c>
      <c r="C62" s="224">
        <v>3017740</v>
      </c>
      <c r="D62" s="224">
        <f>F62-C62</f>
        <v>102000</v>
      </c>
      <c r="E62" s="225">
        <f>F62/C62*100</f>
        <v>103.38001285730381</v>
      </c>
      <c r="F62" s="226">
        <f>3017740+102000</f>
        <v>3119740</v>
      </c>
      <c r="K62" s="178"/>
    </row>
    <row r="63" spans="1:11" ht="27.75" customHeight="1" x14ac:dyDescent="0.2">
      <c r="A63" s="195" t="s">
        <v>459</v>
      </c>
      <c r="B63" s="191" t="s">
        <v>460</v>
      </c>
      <c r="C63" s="252">
        <v>0</v>
      </c>
      <c r="D63" s="252">
        <f>F63-C63</f>
        <v>0</v>
      </c>
      <c r="E63" s="252"/>
      <c r="F63" s="253">
        <v>0</v>
      </c>
      <c r="K63" s="178"/>
    </row>
    <row r="64" spans="1:11" ht="27.75" customHeight="1" x14ac:dyDescent="0.2">
      <c r="A64" s="217" t="s">
        <v>461</v>
      </c>
      <c r="B64" s="254" t="s">
        <v>462</v>
      </c>
      <c r="C64" s="255">
        <v>0</v>
      </c>
      <c r="D64" s="252">
        <f t="shared" ref="D64:D70" si="9">F64-C64</f>
        <v>9507600</v>
      </c>
      <c r="E64" s="256"/>
      <c r="F64" s="243">
        <v>9507600</v>
      </c>
    </row>
    <row r="65" spans="1:9" ht="26.25" customHeight="1" x14ac:dyDescent="0.2">
      <c r="A65" s="198" t="s">
        <v>461</v>
      </c>
      <c r="B65" s="207" t="s">
        <v>463</v>
      </c>
      <c r="C65" s="257">
        <v>0</v>
      </c>
      <c r="D65" s="252">
        <f t="shared" si="9"/>
        <v>0</v>
      </c>
      <c r="E65" s="255"/>
      <c r="F65" s="258">
        <v>0</v>
      </c>
    </row>
    <row r="66" spans="1:9" ht="26.25" customHeight="1" x14ac:dyDescent="0.2">
      <c r="A66" s="195" t="s">
        <v>461</v>
      </c>
      <c r="B66" s="207" t="s">
        <v>464</v>
      </c>
      <c r="C66" s="252">
        <v>0</v>
      </c>
      <c r="D66" s="252">
        <f t="shared" si="9"/>
        <v>0</v>
      </c>
      <c r="E66" s="252"/>
      <c r="F66" s="253">
        <v>0</v>
      </c>
    </row>
    <row r="67" spans="1:9" ht="26.25" customHeight="1" x14ac:dyDescent="0.2">
      <c r="A67" s="197" t="s">
        <v>465</v>
      </c>
      <c r="B67" s="207" t="s">
        <v>466</v>
      </c>
      <c r="C67" s="257">
        <v>0</v>
      </c>
      <c r="D67" s="252">
        <f t="shared" si="9"/>
        <v>329091</v>
      </c>
      <c r="E67" s="257"/>
      <c r="F67" s="258">
        <v>329091</v>
      </c>
    </row>
    <row r="68" spans="1:9" ht="26.25" customHeight="1" x14ac:dyDescent="0.2">
      <c r="A68" s="197" t="s">
        <v>409</v>
      </c>
      <c r="B68" s="207" t="s">
        <v>467</v>
      </c>
      <c r="C68" s="257">
        <v>0</v>
      </c>
      <c r="D68" s="252">
        <f t="shared" si="9"/>
        <v>1828592</v>
      </c>
      <c r="E68" s="257"/>
      <c r="F68" s="258">
        <v>1828592</v>
      </c>
      <c r="G68" s="259"/>
    </row>
    <row r="69" spans="1:9" ht="26.25" customHeight="1" x14ac:dyDescent="0.2">
      <c r="A69" s="197" t="s">
        <v>468</v>
      </c>
      <c r="B69" s="207" t="s">
        <v>469</v>
      </c>
      <c r="C69" s="257">
        <v>0</v>
      </c>
      <c r="D69" s="252">
        <f t="shared" si="9"/>
        <v>0</v>
      </c>
      <c r="E69" s="257"/>
      <c r="F69" s="258">
        <v>0</v>
      </c>
    </row>
    <row r="70" spans="1:9" ht="26.25" customHeight="1" thickBot="1" x14ac:dyDescent="0.25">
      <c r="A70" s="260" t="s">
        <v>470</v>
      </c>
      <c r="B70" s="261" t="s">
        <v>471</v>
      </c>
      <c r="C70" s="262">
        <v>0</v>
      </c>
      <c r="D70" s="252">
        <f t="shared" si="9"/>
        <v>684633</v>
      </c>
      <c r="E70" s="263"/>
      <c r="F70" s="264">
        <v>684633</v>
      </c>
    </row>
    <row r="71" spans="1:9" ht="23.25" customHeight="1" thickBot="1" x14ac:dyDescent="0.25">
      <c r="A71" s="845" t="s">
        <v>437</v>
      </c>
      <c r="B71" s="845"/>
      <c r="C71" s="265">
        <f>C44+C53+C54+C55+C62+C63+C64+C65+C66+C68++C69+C70</f>
        <v>147636733</v>
      </c>
      <c r="D71" s="265">
        <f>D44+D53+D54+D55+D62+D63+D64+D65+D66+D68++D69+D70</f>
        <v>16348019</v>
      </c>
      <c r="E71" s="266">
        <f>F71/C71*100</f>
        <v>111.29604378335844</v>
      </c>
      <c r="F71" s="267">
        <f>F44+F53+F55+F62+F65+F54+F64+F68+F69+F63+F66+F70+F67</f>
        <v>164313843</v>
      </c>
    </row>
    <row r="72" spans="1:9" ht="23.25" customHeight="1" thickBot="1" x14ac:dyDescent="0.25">
      <c r="A72" s="853" t="s">
        <v>472</v>
      </c>
      <c r="B72" s="853"/>
      <c r="C72" s="853"/>
      <c r="D72" s="853"/>
      <c r="E72" s="853"/>
      <c r="F72" s="853"/>
    </row>
    <row r="73" spans="1:9" ht="17.25" customHeight="1" thickBot="1" x14ac:dyDescent="0.3">
      <c r="A73" s="848" t="s">
        <v>399</v>
      </c>
      <c r="B73" s="849" t="s">
        <v>400</v>
      </c>
      <c r="C73" s="850">
        <v>2019</v>
      </c>
      <c r="D73" s="850"/>
      <c r="E73" s="850"/>
      <c r="F73" s="851" t="s">
        <v>401</v>
      </c>
    </row>
    <row r="74" spans="1:9" ht="27.75" customHeight="1" thickBot="1" x14ac:dyDescent="0.25">
      <c r="A74" s="848"/>
      <c r="B74" s="849"/>
      <c r="C74" s="183" t="s">
        <v>402</v>
      </c>
      <c r="D74" s="183" t="s">
        <v>403</v>
      </c>
      <c r="E74" s="183" t="s">
        <v>404</v>
      </c>
      <c r="F74" s="851"/>
    </row>
    <row r="75" spans="1:9" ht="23.25" customHeight="1" x14ac:dyDescent="0.2">
      <c r="A75" s="190" t="s">
        <v>461</v>
      </c>
      <c r="B75" s="191" t="s">
        <v>473</v>
      </c>
      <c r="C75" s="268"/>
      <c r="D75" s="268"/>
      <c r="E75" s="268"/>
      <c r="F75" s="269"/>
    </row>
    <row r="76" spans="1:9" ht="24" customHeight="1" thickBot="1" x14ac:dyDescent="0.25">
      <c r="A76" s="198" t="s">
        <v>474</v>
      </c>
      <c r="B76" s="207" t="s">
        <v>475</v>
      </c>
      <c r="C76" s="270">
        <v>111000000</v>
      </c>
      <c r="D76" s="270">
        <f>F76-C76</f>
        <v>1562520</v>
      </c>
      <c r="E76" s="271">
        <f>F76/C76*100</f>
        <v>101.40767567567568</v>
      </c>
      <c r="F76" s="272">
        <v>112562520</v>
      </c>
      <c r="G76" s="181"/>
      <c r="I76" s="273"/>
    </row>
    <row r="77" spans="1:9" ht="18.75" customHeight="1" thickBot="1" x14ac:dyDescent="0.25">
      <c r="A77" s="845" t="s">
        <v>437</v>
      </c>
      <c r="B77" s="845"/>
      <c r="C77" s="210">
        <f>C76</f>
        <v>111000000</v>
      </c>
      <c r="D77" s="210">
        <f>D76</f>
        <v>1562520</v>
      </c>
      <c r="E77" s="211">
        <f>E76</f>
        <v>101.40767567567568</v>
      </c>
      <c r="F77" s="212">
        <f>SUM(F75:F76)</f>
        <v>112562520</v>
      </c>
    </row>
    <row r="78" spans="1:9" ht="21" customHeight="1" thickBot="1" x14ac:dyDescent="0.25">
      <c r="A78" s="853" t="s">
        <v>476</v>
      </c>
      <c r="B78" s="853"/>
      <c r="C78" s="853"/>
      <c r="D78" s="853"/>
      <c r="E78" s="853"/>
      <c r="F78" s="853"/>
    </row>
    <row r="79" spans="1:9" ht="17.25" customHeight="1" thickBot="1" x14ac:dyDescent="0.3">
      <c r="A79" s="848" t="s">
        <v>399</v>
      </c>
      <c r="B79" s="849" t="s">
        <v>400</v>
      </c>
      <c r="C79" s="850">
        <v>2019</v>
      </c>
      <c r="D79" s="850"/>
      <c r="E79" s="850"/>
      <c r="F79" s="851" t="s">
        <v>401</v>
      </c>
    </row>
    <row r="80" spans="1:9" ht="24.75" customHeight="1" thickBot="1" x14ac:dyDescent="0.25">
      <c r="A80" s="848"/>
      <c r="B80" s="849"/>
      <c r="C80" s="183" t="s">
        <v>402</v>
      </c>
      <c r="D80" s="183" t="s">
        <v>403</v>
      </c>
      <c r="E80" s="183" t="s">
        <v>404</v>
      </c>
      <c r="F80" s="851"/>
    </row>
    <row r="81" spans="1:11" ht="25.5" customHeight="1" thickBot="1" x14ac:dyDescent="0.25">
      <c r="A81" s="198" t="s">
        <v>409</v>
      </c>
      <c r="B81" s="207" t="s">
        <v>345</v>
      </c>
      <c r="C81" s="274">
        <v>0</v>
      </c>
      <c r="D81" s="274">
        <f>F81-C81</f>
        <v>1280000</v>
      </c>
      <c r="E81" s="275"/>
      <c r="F81" s="276">
        <v>1280000</v>
      </c>
      <c r="K81" s="3"/>
    </row>
    <row r="82" spans="1:11" ht="18.75" customHeight="1" thickBot="1" x14ac:dyDescent="0.25">
      <c r="A82" s="857" t="s">
        <v>437</v>
      </c>
      <c r="B82" s="857"/>
      <c r="C82" s="277">
        <f>C81</f>
        <v>0</v>
      </c>
      <c r="D82" s="277">
        <f>SUM(D81)</f>
        <v>1280000</v>
      </c>
      <c r="E82" s="278">
        <f>SUM(E81)</f>
        <v>0</v>
      </c>
      <c r="F82" s="279">
        <f>F81</f>
        <v>1280000</v>
      </c>
      <c r="K82" s="3"/>
    </row>
    <row r="83" spans="1:11" ht="18.75" customHeight="1" thickBot="1" x14ac:dyDescent="0.25">
      <c r="A83" s="853" t="s">
        <v>477</v>
      </c>
      <c r="B83" s="853"/>
      <c r="C83" s="853"/>
      <c r="D83" s="853"/>
      <c r="E83" s="853"/>
      <c r="F83" s="853"/>
      <c r="K83" s="3"/>
    </row>
    <row r="84" spans="1:11" ht="18.75" customHeight="1" thickBot="1" x14ac:dyDescent="0.3">
      <c r="A84" s="848" t="s">
        <v>399</v>
      </c>
      <c r="B84" s="849" t="s">
        <v>400</v>
      </c>
      <c r="C84" s="850">
        <v>2019</v>
      </c>
      <c r="D84" s="850"/>
      <c r="E84" s="850"/>
      <c r="F84" s="851" t="s">
        <v>401</v>
      </c>
      <c r="K84" s="3"/>
    </row>
    <row r="85" spans="1:11" ht="18.75" customHeight="1" thickBot="1" x14ac:dyDescent="0.25">
      <c r="A85" s="848"/>
      <c r="B85" s="849"/>
      <c r="C85" s="183" t="s">
        <v>402</v>
      </c>
      <c r="D85" s="183" t="s">
        <v>403</v>
      </c>
      <c r="E85" s="183" t="s">
        <v>404</v>
      </c>
      <c r="F85" s="851"/>
      <c r="K85" s="3"/>
    </row>
    <row r="86" spans="1:11" ht="24.75" customHeight="1" thickBot="1" x14ac:dyDescent="0.25">
      <c r="A86" s="198" t="s">
        <v>409</v>
      </c>
      <c r="B86" s="207" t="s">
        <v>345</v>
      </c>
      <c r="C86" s="274">
        <v>0</v>
      </c>
      <c r="D86" s="274">
        <f>F86-C86</f>
        <v>1220000</v>
      </c>
      <c r="E86" s="275"/>
      <c r="F86" s="276">
        <v>1220000</v>
      </c>
      <c r="K86" s="3"/>
    </row>
    <row r="87" spans="1:11" ht="18.75" customHeight="1" thickBot="1" x14ac:dyDescent="0.25">
      <c r="A87" s="857" t="s">
        <v>437</v>
      </c>
      <c r="B87" s="857"/>
      <c r="C87" s="277">
        <f>C86</f>
        <v>0</v>
      </c>
      <c r="D87" s="277">
        <f>SUM(D86)</f>
        <v>1220000</v>
      </c>
      <c r="E87" s="278">
        <f>SUM(E86)</f>
        <v>0</v>
      </c>
      <c r="F87" s="279">
        <f>F86</f>
        <v>1220000</v>
      </c>
      <c r="K87" s="3"/>
    </row>
    <row r="88" spans="1:11" ht="24" customHeight="1" thickBot="1" x14ac:dyDescent="0.25">
      <c r="A88" s="853" t="s">
        <v>478</v>
      </c>
      <c r="B88" s="853"/>
      <c r="C88" s="853"/>
      <c r="D88" s="853"/>
      <c r="E88" s="853"/>
      <c r="F88" s="853"/>
    </row>
    <row r="89" spans="1:11" ht="17.25" customHeight="1" thickBot="1" x14ac:dyDescent="0.3">
      <c r="A89" s="848" t="s">
        <v>399</v>
      </c>
      <c r="B89" s="849" t="s">
        <v>400</v>
      </c>
      <c r="C89" s="850">
        <v>2019</v>
      </c>
      <c r="D89" s="850"/>
      <c r="E89" s="850"/>
      <c r="F89" s="851" t="s">
        <v>401</v>
      </c>
    </row>
    <row r="90" spans="1:11" ht="26.25" customHeight="1" thickBot="1" x14ac:dyDescent="0.25">
      <c r="A90" s="848"/>
      <c r="B90" s="849"/>
      <c r="C90" s="183" t="s">
        <v>402</v>
      </c>
      <c r="D90" s="183" t="s">
        <v>403</v>
      </c>
      <c r="E90" s="183" t="s">
        <v>404</v>
      </c>
      <c r="F90" s="851"/>
    </row>
    <row r="91" spans="1:11" ht="16.5" customHeight="1" x14ac:dyDescent="0.2">
      <c r="A91" s="190" t="s">
        <v>416</v>
      </c>
      <c r="B91" s="191" t="s">
        <v>354</v>
      </c>
      <c r="C91" s="268">
        <v>7217000</v>
      </c>
      <c r="D91" s="268">
        <f>F91-C91</f>
        <v>7190420</v>
      </c>
      <c r="E91" s="280">
        <f>F91/C91*100</f>
        <v>199.63170292365248</v>
      </c>
      <c r="F91" s="269">
        <v>14407420</v>
      </c>
    </row>
    <row r="92" spans="1:11" ht="18" customHeight="1" thickBot="1" x14ac:dyDescent="0.25">
      <c r="A92" s="198" t="s">
        <v>479</v>
      </c>
      <c r="B92" s="207" t="s">
        <v>356</v>
      </c>
      <c r="C92" s="274">
        <v>0</v>
      </c>
      <c r="D92" s="268">
        <f>F92-C92</f>
        <v>3890004</v>
      </c>
      <c r="E92" s="280"/>
      <c r="F92" s="281">
        <v>3890004</v>
      </c>
    </row>
    <row r="93" spans="1:11" ht="18.75" customHeight="1" thickBot="1" x14ac:dyDescent="0.25">
      <c r="A93" s="857" t="s">
        <v>437</v>
      </c>
      <c r="B93" s="857"/>
      <c r="C93" s="277">
        <f>SUM(C91:C92)</f>
        <v>7217000</v>
      </c>
      <c r="D93" s="277">
        <f>SUM(D91:D92)</f>
        <v>11080424</v>
      </c>
      <c r="E93" s="278">
        <f>F93/C93*100</f>
        <v>253.53227102674242</v>
      </c>
      <c r="F93" s="282">
        <f>SUM(F91:F92)</f>
        <v>18297424</v>
      </c>
    </row>
    <row r="94" spans="1:11" ht="18.75" customHeight="1" thickBot="1" x14ac:dyDescent="0.25">
      <c r="A94" s="858" t="s">
        <v>480</v>
      </c>
      <c r="B94" s="859"/>
      <c r="C94" s="859"/>
      <c r="D94" s="859"/>
      <c r="E94" s="859"/>
      <c r="F94" s="860"/>
    </row>
    <row r="95" spans="1:11" ht="18.75" customHeight="1" thickBot="1" x14ac:dyDescent="0.3">
      <c r="A95" s="848" t="s">
        <v>399</v>
      </c>
      <c r="B95" s="849" t="s">
        <v>400</v>
      </c>
      <c r="C95" s="850">
        <v>2019</v>
      </c>
      <c r="D95" s="850"/>
      <c r="E95" s="850"/>
      <c r="F95" s="851" t="s">
        <v>401</v>
      </c>
    </row>
    <row r="96" spans="1:11" ht="18.75" customHeight="1" thickBot="1" x14ac:dyDescent="0.25">
      <c r="A96" s="848"/>
      <c r="B96" s="849"/>
      <c r="C96" s="183" t="s">
        <v>402</v>
      </c>
      <c r="D96" s="183" t="s">
        <v>403</v>
      </c>
      <c r="E96" s="183" t="s">
        <v>404</v>
      </c>
      <c r="F96" s="851"/>
    </row>
    <row r="97" spans="1:10" ht="24.75" customHeight="1" thickBot="1" x14ac:dyDescent="0.25">
      <c r="A97" s="197" t="s">
        <v>409</v>
      </c>
      <c r="B97" s="207" t="s">
        <v>481</v>
      </c>
      <c r="C97" s="274">
        <v>0</v>
      </c>
      <c r="D97" s="274">
        <f>F97-C97</f>
        <v>466050</v>
      </c>
      <c r="E97" s="275"/>
      <c r="F97" s="281">
        <v>466050</v>
      </c>
    </row>
    <row r="98" spans="1:10" ht="18.75" customHeight="1" thickBot="1" x14ac:dyDescent="0.25">
      <c r="A98" s="845" t="s">
        <v>437</v>
      </c>
      <c r="B98" s="845"/>
      <c r="C98" s="210">
        <f>C97</f>
        <v>0</v>
      </c>
      <c r="D98" s="210">
        <f>SUM(D97)</f>
        <v>466050</v>
      </c>
      <c r="E98" s="211">
        <f>SUM(E97)</f>
        <v>0</v>
      </c>
      <c r="F98" s="212">
        <f>SUM(F97)</f>
        <v>466050</v>
      </c>
    </row>
    <row r="99" spans="1:10" ht="25.5" customHeight="1" thickBot="1" x14ac:dyDescent="0.25">
      <c r="A99" s="854" t="s">
        <v>482</v>
      </c>
      <c r="B99" s="855"/>
      <c r="C99" s="855"/>
      <c r="D99" s="855"/>
      <c r="E99" s="855"/>
      <c r="F99" s="856"/>
    </row>
    <row r="100" spans="1:10" ht="18.75" customHeight="1" thickBot="1" x14ac:dyDescent="0.3">
      <c r="A100" s="848" t="s">
        <v>399</v>
      </c>
      <c r="B100" s="849" t="s">
        <v>400</v>
      </c>
      <c r="C100" s="850">
        <v>2019</v>
      </c>
      <c r="D100" s="850"/>
      <c r="E100" s="850"/>
      <c r="F100" s="851" t="s">
        <v>401</v>
      </c>
    </row>
    <row r="101" spans="1:10" ht="26.25" customHeight="1" thickBot="1" x14ac:dyDescent="0.25">
      <c r="A101" s="848"/>
      <c r="B101" s="849"/>
      <c r="C101" s="183" t="s">
        <v>402</v>
      </c>
      <c r="D101" s="183" t="s">
        <v>403</v>
      </c>
      <c r="E101" s="183" t="s">
        <v>404</v>
      </c>
      <c r="F101" s="851"/>
    </row>
    <row r="102" spans="1:10" ht="27" customHeight="1" thickBot="1" x14ac:dyDescent="0.25">
      <c r="A102" s="198" t="s">
        <v>409</v>
      </c>
      <c r="B102" s="207" t="s">
        <v>483</v>
      </c>
      <c r="C102" s="274">
        <v>5136000</v>
      </c>
      <c r="D102" s="274">
        <f>F102-C102</f>
        <v>0</v>
      </c>
      <c r="E102" s="275">
        <f>F102/C102*100</f>
        <v>100</v>
      </c>
      <c r="F102" s="281">
        <v>5136000</v>
      </c>
      <c r="J102" s="3"/>
    </row>
    <row r="103" spans="1:10" ht="18" customHeight="1" thickBot="1" x14ac:dyDescent="0.25">
      <c r="A103" s="845" t="s">
        <v>437</v>
      </c>
      <c r="B103" s="845"/>
      <c r="C103" s="210">
        <f>C102</f>
        <v>5136000</v>
      </c>
      <c r="D103" s="210">
        <f>SUM(D102)</f>
        <v>0</v>
      </c>
      <c r="E103" s="211">
        <f>SUM(E102)</f>
        <v>100</v>
      </c>
      <c r="F103" s="212">
        <f>SUM(F102)</f>
        <v>5136000</v>
      </c>
    </row>
    <row r="104" spans="1:10" ht="22.5" customHeight="1" thickBot="1" x14ac:dyDescent="0.25">
      <c r="A104" s="853" t="s">
        <v>484</v>
      </c>
      <c r="B104" s="853"/>
      <c r="C104" s="853"/>
      <c r="D104" s="853"/>
      <c r="E104" s="853"/>
      <c r="F104" s="853"/>
    </row>
    <row r="105" spans="1:10" ht="18" customHeight="1" thickBot="1" x14ac:dyDescent="0.3">
      <c r="A105" s="848" t="s">
        <v>399</v>
      </c>
      <c r="B105" s="849" t="s">
        <v>400</v>
      </c>
      <c r="C105" s="850">
        <v>2019</v>
      </c>
      <c r="D105" s="850"/>
      <c r="E105" s="850"/>
      <c r="F105" s="851" t="s">
        <v>401</v>
      </c>
    </row>
    <row r="106" spans="1:10" ht="26.25" customHeight="1" thickBot="1" x14ac:dyDescent="0.25">
      <c r="A106" s="848"/>
      <c r="B106" s="849"/>
      <c r="C106" s="183" t="s">
        <v>402</v>
      </c>
      <c r="D106" s="183" t="s">
        <v>403</v>
      </c>
      <c r="E106" s="183" t="s">
        <v>404</v>
      </c>
      <c r="F106" s="851"/>
    </row>
    <row r="107" spans="1:10" ht="32.25" thickBot="1" x14ac:dyDescent="0.25">
      <c r="A107" s="195" t="s">
        <v>485</v>
      </c>
      <c r="B107" s="191" t="s">
        <v>486</v>
      </c>
      <c r="C107" s="268">
        <v>0</v>
      </c>
      <c r="D107" s="268">
        <f>F107-C107</f>
        <v>6180000</v>
      </c>
      <c r="E107" s="280"/>
      <c r="F107" s="269">
        <v>6180000</v>
      </c>
    </row>
    <row r="108" spans="1:10" ht="18.75" customHeight="1" thickBot="1" x14ac:dyDescent="0.25">
      <c r="A108" s="845" t="s">
        <v>437</v>
      </c>
      <c r="B108" s="845"/>
      <c r="C108" s="210">
        <f>C107</f>
        <v>0</v>
      </c>
      <c r="D108" s="210">
        <f>SUM(D107:D107)</f>
        <v>6180000</v>
      </c>
      <c r="E108" s="211"/>
      <c r="F108" s="212">
        <f>SUM(F107:F107)</f>
        <v>6180000</v>
      </c>
    </row>
    <row r="109" spans="1:10" ht="24" customHeight="1" thickBot="1" x14ac:dyDescent="0.25">
      <c r="A109" s="847" t="s">
        <v>487</v>
      </c>
      <c r="B109" s="847"/>
      <c r="C109" s="847"/>
      <c r="D109" s="847"/>
      <c r="E109" s="847"/>
      <c r="F109" s="847"/>
    </row>
    <row r="110" spans="1:10" ht="19.5" customHeight="1" thickBot="1" x14ac:dyDescent="0.3">
      <c r="A110" s="848" t="s">
        <v>399</v>
      </c>
      <c r="B110" s="849" t="s">
        <v>400</v>
      </c>
      <c r="C110" s="850">
        <v>2019</v>
      </c>
      <c r="D110" s="850"/>
      <c r="E110" s="850"/>
      <c r="F110" s="851" t="s">
        <v>401</v>
      </c>
    </row>
    <row r="111" spans="1:10" ht="24" customHeight="1" thickBot="1" x14ac:dyDescent="0.25">
      <c r="A111" s="848"/>
      <c r="B111" s="849"/>
      <c r="C111" s="183" t="s">
        <v>402</v>
      </c>
      <c r="D111" s="183" t="s">
        <v>403</v>
      </c>
      <c r="E111" s="183" t="s">
        <v>404</v>
      </c>
      <c r="F111" s="851"/>
    </row>
    <row r="112" spans="1:10" ht="12.75" customHeight="1" x14ac:dyDescent="0.2">
      <c r="A112" s="190" t="s">
        <v>488</v>
      </c>
      <c r="B112" s="191" t="s">
        <v>355</v>
      </c>
      <c r="C112" s="268">
        <v>4753311</v>
      </c>
      <c r="D112" s="268">
        <f>F112-C112</f>
        <v>-566928</v>
      </c>
      <c r="E112" s="280">
        <f>F112/C112*100</f>
        <v>88.072987439702558</v>
      </c>
      <c r="F112" s="269">
        <v>4186383</v>
      </c>
    </row>
    <row r="113" spans="1:6" ht="12.75" customHeight="1" thickBot="1" x14ac:dyDescent="0.25">
      <c r="A113" s="198" t="s">
        <v>479</v>
      </c>
      <c r="B113" s="207" t="s">
        <v>356</v>
      </c>
      <c r="C113" s="274">
        <v>1283394</v>
      </c>
      <c r="D113" s="268">
        <f>F113-C113</f>
        <v>-153072</v>
      </c>
      <c r="E113" s="280">
        <f>F113/C113*100</f>
        <v>88.072875516014577</v>
      </c>
      <c r="F113" s="281">
        <v>1130322</v>
      </c>
    </row>
    <row r="114" spans="1:6" ht="18" customHeight="1" thickBot="1" x14ac:dyDescent="0.25">
      <c r="A114" s="845" t="s">
        <v>437</v>
      </c>
      <c r="B114" s="845"/>
      <c r="C114" s="210">
        <f>C112+C113</f>
        <v>6036705</v>
      </c>
      <c r="D114" s="210">
        <f>SUM(D112:D113)</f>
        <v>-720000</v>
      </c>
      <c r="E114" s="211">
        <f>F114/C114*100</f>
        <v>88.072963644902316</v>
      </c>
      <c r="F114" s="212">
        <f>SUM(F112:F113)</f>
        <v>5316705</v>
      </c>
    </row>
    <row r="115" spans="1:6" ht="18" customHeight="1" thickBot="1" x14ac:dyDescent="0.25">
      <c r="A115" s="847" t="s">
        <v>489</v>
      </c>
      <c r="B115" s="847"/>
      <c r="C115" s="847"/>
      <c r="D115" s="847"/>
      <c r="E115" s="847"/>
      <c r="F115" s="847"/>
    </row>
    <row r="116" spans="1:6" ht="18" customHeight="1" thickBot="1" x14ac:dyDescent="0.3">
      <c r="A116" s="848" t="s">
        <v>399</v>
      </c>
      <c r="B116" s="849" t="s">
        <v>400</v>
      </c>
      <c r="C116" s="850">
        <v>2019</v>
      </c>
      <c r="D116" s="850"/>
      <c r="E116" s="850"/>
      <c r="F116" s="851" t="s">
        <v>401</v>
      </c>
    </row>
    <row r="117" spans="1:6" ht="18" customHeight="1" thickBot="1" x14ac:dyDescent="0.25">
      <c r="A117" s="848"/>
      <c r="B117" s="849"/>
      <c r="C117" s="183" t="s">
        <v>402</v>
      </c>
      <c r="D117" s="183" t="s">
        <v>403</v>
      </c>
      <c r="E117" s="183" t="s">
        <v>404</v>
      </c>
      <c r="F117" s="851"/>
    </row>
    <row r="118" spans="1:6" ht="18" customHeight="1" x14ac:dyDescent="0.2">
      <c r="A118" s="190" t="s">
        <v>488</v>
      </c>
      <c r="B118" s="191" t="s">
        <v>355</v>
      </c>
      <c r="C118" s="268">
        <v>0</v>
      </c>
      <c r="D118" s="268">
        <f>F118-C118</f>
        <v>283464</v>
      </c>
      <c r="E118" s="280"/>
      <c r="F118" s="269">
        <v>283464</v>
      </c>
    </row>
    <row r="119" spans="1:6" ht="18" customHeight="1" thickBot="1" x14ac:dyDescent="0.25">
      <c r="A119" s="198" t="s">
        <v>479</v>
      </c>
      <c r="B119" s="207" t="s">
        <v>356</v>
      </c>
      <c r="C119" s="274">
        <v>0</v>
      </c>
      <c r="D119" s="268">
        <f>F119-C119</f>
        <v>76536</v>
      </c>
      <c r="E119" s="280"/>
      <c r="F119" s="281">
        <v>76536</v>
      </c>
    </row>
    <row r="120" spans="1:6" ht="18" customHeight="1" thickBot="1" x14ac:dyDescent="0.25">
      <c r="A120" s="845" t="s">
        <v>437</v>
      </c>
      <c r="B120" s="845"/>
      <c r="C120" s="210">
        <f>C118+C119</f>
        <v>0</v>
      </c>
      <c r="D120" s="210">
        <f>SUM(D118:D119)</f>
        <v>360000</v>
      </c>
      <c r="E120" s="211"/>
      <c r="F120" s="212">
        <f>SUM(F118:F119)</f>
        <v>360000</v>
      </c>
    </row>
    <row r="121" spans="1:6" ht="18" customHeight="1" thickBot="1" x14ac:dyDescent="0.25">
      <c r="A121" s="847" t="s">
        <v>490</v>
      </c>
      <c r="B121" s="847"/>
      <c r="C121" s="847"/>
      <c r="D121" s="847"/>
      <c r="E121" s="847"/>
      <c r="F121" s="847"/>
    </row>
    <row r="122" spans="1:6" ht="18" customHeight="1" thickBot="1" x14ac:dyDescent="0.3">
      <c r="A122" s="848" t="s">
        <v>399</v>
      </c>
      <c r="B122" s="849" t="s">
        <v>400</v>
      </c>
      <c r="C122" s="850">
        <v>2019</v>
      </c>
      <c r="D122" s="850"/>
      <c r="E122" s="850"/>
      <c r="F122" s="851" t="s">
        <v>401</v>
      </c>
    </row>
    <row r="123" spans="1:6" ht="18" customHeight="1" thickBot="1" x14ac:dyDescent="0.25">
      <c r="A123" s="848"/>
      <c r="B123" s="849"/>
      <c r="C123" s="183" t="s">
        <v>402</v>
      </c>
      <c r="D123" s="183" t="s">
        <v>403</v>
      </c>
      <c r="E123" s="183" t="s">
        <v>404</v>
      </c>
      <c r="F123" s="851"/>
    </row>
    <row r="124" spans="1:6" ht="18" customHeight="1" x14ac:dyDescent="0.2">
      <c r="A124" s="190" t="s">
        <v>488</v>
      </c>
      <c r="B124" s="191" t="s">
        <v>355</v>
      </c>
      <c r="C124" s="268">
        <v>0</v>
      </c>
      <c r="D124" s="268">
        <f>F124-C124</f>
        <v>283464</v>
      </c>
      <c r="E124" s="280"/>
      <c r="F124" s="269">
        <v>283464</v>
      </c>
    </row>
    <row r="125" spans="1:6" ht="18" customHeight="1" thickBot="1" x14ac:dyDescent="0.25">
      <c r="A125" s="198" t="s">
        <v>479</v>
      </c>
      <c r="B125" s="207" t="s">
        <v>356</v>
      </c>
      <c r="C125" s="274">
        <v>0</v>
      </c>
      <c r="D125" s="268">
        <f>F125-C125</f>
        <v>73539</v>
      </c>
      <c r="E125" s="280"/>
      <c r="F125" s="281">
        <f>76536-2997</f>
        <v>73539</v>
      </c>
    </row>
    <row r="126" spans="1:6" ht="18" customHeight="1" thickBot="1" x14ac:dyDescent="0.25">
      <c r="A126" s="845" t="s">
        <v>437</v>
      </c>
      <c r="B126" s="845"/>
      <c r="C126" s="210">
        <f>C124+C125</f>
        <v>0</v>
      </c>
      <c r="D126" s="210">
        <f>SUM(D124:D125)</f>
        <v>357003</v>
      </c>
      <c r="E126" s="211"/>
      <c r="F126" s="212">
        <f>SUM(F124:F125)</f>
        <v>357003</v>
      </c>
    </row>
    <row r="127" spans="1:6" ht="25.5" customHeight="1" thickBot="1" x14ac:dyDescent="0.25">
      <c r="A127" s="852" t="s">
        <v>491</v>
      </c>
      <c r="B127" s="852"/>
      <c r="C127" s="852"/>
      <c r="D127" s="852"/>
      <c r="E127" s="852"/>
      <c r="F127" s="852"/>
    </row>
    <row r="128" spans="1:6" ht="15.75" customHeight="1" thickBot="1" x14ac:dyDescent="0.3">
      <c r="A128" s="848" t="s">
        <v>399</v>
      </c>
      <c r="B128" s="849" t="s">
        <v>400</v>
      </c>
      <c r="C128" s="850">
        <v>2019</v>
      </c>
      <c r="D128" s="850"/>
      <c r="E128" s="850"/>
      <c r="F128" s="851" t="s">
        <v>401</v>
      </c>
    </row>
    <row r="129" spans="1:6" ht="26.25" customHeight="1" thickBot="1" x14ac:dyDescent="0.25">
      <c r="A129" s="848"/>
      <c r="B129" s="849"/>
      <c r="C129" s="183" t="s">
        <v>402</v>
      </c>
      <c r="D129" s="183" t="s">
        <v>403</v>
      </c>
      <c r="E129" s="183" t="s">
        <v>404</v>
      </c>
      <c r="F129" s="851"/>
    </row>
    <row r="130" spans="1:6" ht="21" customHeight="1" x14ac:dyDescent="0.2">
      <c r="A130" s="190" t="s">
        <v>492</v>
      </c>
      <c r="B130" s="191" t="s">
        <v>346</v>
      </c>
      <c r="C130" s="268">
        <v>6000000</v>
      </c>
      <c r="D130" s="268">
        <f t="shared" ref="D130:D139" si="10">F130-C130</f>
        <v>0</v>
      </c>
      <c r="E130" s="280">
        <f t="shared" ref="E130:E136" si="11">F130/C130*100</f>
        <v>100</v>
      </c>
      <c r="F130" s="269">
        <v>6000000</v>
      </c>
    </row>
    <row r="131" spans="1:6" ht="22.5" customHeight="1" x14ac:dyDescent="0.2">
      <c r="A131" s="190" t="s">
        <v>493</v>
      </c>
      <c r="B131" s="191" t="s">
        <v>347</v>
      </c>
      <c r="C131" s="283">
        <v>67000000</v>
      </c>
      <c r="D131" s="268">
        <f t="shared" si="10"/>
        <v>0</v>
      </c>
      <c r="E131" s="280">
        <f t="shared" si="11"/>
        <v>100</v>
      </c>
      <c r="F131" s="284">
        <v>67000000</v>
      </c>
    </row>
    <row r="132" spans="1:6" ht="24.75" customHeight="1" x14ac:dyDescent="0.2">
      <c r="A132" s="190" t="s">
        <v>494</v>
      </c>
      <c r="B132" s="191" t="s">
        <v>348</v>
      </c>
      <c r="C132" s="268">
        <v>6000000</v>
      </c>
      <c r="D132" s="268">
        <f t="shared" si="10"/>
        <v>0</v>
      </c>
      <c r="E132" s="280">
        <f t="shared" si="11"/>
        <v>100</v>
      </c>
      <c r="F132" s="269">
        <v>6000000</v>
      </c>
    </row>
    <row r="133" spans="1:6" ht="22.5" customHeight="1" x14ac:dyDescent="0.2">
      <c r="A133" s="195" t="s">
        <v>495</v>
      </c>
      <c r="B133" s="191" t="s">
        <v>496</v>
      </c>
      <c r="C133" s="268">
        <v>300000</v>
      </c>
      <c r="D133" s="268">
        <f t="shared" si="10"/>
        <v>0</v>
      </c>
      <c r="E133" s="280">
        <f t="shared" si="11"/>
        <v>100</v>
      </c>
      <c r="F133" s="269">
        <v>300000</v>
      </c>
    </row>
    <row r="134" spans="1:6" ht="33" customHeight="1" x14ac:dyDescent="0.2">
      <c r="A134" s="190" t="s">
        <v>497</v>
      </c>
      <c r="B134" s="191" t="s">
        <v>351</v>
      </c>
      <c r="C134" s="268"/>
      <c r="D134" s="268">
        <f t="shared" si="10"/>
        <v>0</v>
      </c>
      <c r="E134" s="280"/>
      <c r="F134" s="269"/>
    </row>
    <row r="135" spans="1:6" ht="12.75" customHeight="1" x14ac:dyDescent="0.2">
      <c r="A135" s="190" t="s">
        <v>498</v>
      </c>
      <c r="B135" s="191" t="s">
        <v>499</v>
      </c>
      <c r="C135" s="268"/>
      <c r="D135" s="268">
        <f t="shared" si="10"/>
        <v>0</v>
      </c>
      <c r="E135" s="280"/>
      <c r="F135" s="269"/>
    </row>
    <row r="136" spans="1:6" ht="12.75" customHeight="1" x14ac:dyDescent="0.2">
      <c r="A136" s="190" t="s">
        <v>500</v>
      </c>
      <c r="B136" s="191" t="s">
        <v>501</v>
      </c>
      <c r="C136" s="268">
        <v>200000</v>
      </c>
      <c r="D136" s="268">
        <f t="shared" si="10"/>
        <v>0</v>
      </c>
      <c r="E136" s="280">
        <f t="shared" si="11"/>
        <v>100</v>
      </c>
      <c r="F136" s="269">
        <v>200000</v>
      </c>
    </row>
    <row r="137" spans="1:6" ht="12.75" customHeight="1" x14ac:dyDescent="0.2">
      <c r="A137" s="190" t="s">
        <v>502</v>
      </c>
      <c r="B137" s="191" t="s">
        <v>503</v>
      </c>
      <c r="C137" s="268"/>
      <c r="D137" s="268">
        <f t="shared" si="10"/>
        <v>0</v>
      </c>
      <c r="E137" s="280"/>
      <c r="F137" s="269"/>
    </row>
    <row r="138" spans="1:6" ht="12.75" customHeight="1" x14ac:dyDescent="0.2">
      <c r="A138" s="190" t="s">
        <v>420</v>
      </c>
      <c r="B138" s="191" t="s">
        <v>358</v>
      </c>
      <c r="C138" s="268"/>
      <c r="D138" s="268">
        <f t="shared" si="10"/>
        <v>0</v>
      </c>
      <c r="E138" s="280"/>
      <c r="F138" s="269"/>
    </row>
    <row r="139" spans="1:6" ht="21.75" thickBot="1" x14ac:dyDescent="0.25">
      <c r="A139" s="198" t="s">
        <v>504</v>
      </c>
      <c r="B139" s="207" t="s">
        <v>505</v>
      </c>
      <c r="C139" s="274"/>
      <c r="D139" s="268">
        <f t="shared" si="10"/>
        <v>0</v>
      </c>
      <c r="E139" s="280"/>
      <c r="F139" s="281"/>
    </row>
    <row r="140" spans="1:6" ht="17.25" customHeight="1" thickBot="1" x14ac:dyDescent="0.25">
      <c r="A140" s="845" t="s">
        <v>437</v>
      </c>
      <c r="B140" s="845"/>
      <c r="C140" s="210">
        <f>SUM(C130:C139)</f>
        <v>79500000</v>
      </c>
      <c r="D140" s="210">
        <f>SUM(D130:D139)</f>
        <v>0</v>
      </c>
      <c r="E140" s="211">
        <f>F140/C140*100</f>
        <v>100</v>
      </c>
      <c r="F140" s="212">
        <f>SUM(F130:F139)</f>
        <v>79500000</v>
      </c>
    </row>
    <row r="141" spans="1:6" ht="17.25" customHeight="1" thickBot="1" x14ac:dyDescent="0.25">
      <c r="A141" s="847" t="s">
        <v>506</v>
      </c>
      <c r="B141" s="847"/>
      <c r="C141" s="847"/>
      <c r="D141" s="847"/>
      <c r="E141" s="847"/>
      <c r="F141" s="847"/>
    </row>
    <row r="142" spans="1:6" ht="16.5" customHeight="1" thickBot="1" x14ac:dyDescent="0.3">
      <c r="A142" s="848" t="s">
        <v>399</v>
      </c>
      <c r="B142" s="849" t="s">
        <v>400</v>
      </c>
      <c r="C142" s="850">
        <v>2019</v>
      </c>
      <c r="D142" s="850"/>
      <c r="E142" s="850"/>
      <c r="F142" s="851" t="s">
        <v>401</v>
      </c>
    </row>
    <row r="143" spans="1:6" ht="18" customHeight="1" thickBot="1" x14ac:dyDescent="0.25">
      <c r="A143" s="848"/>
      <c r="B143" s="849"/>
      <c r="C143" s="183" t="s">
        <v>402</v>
      </c>
      <c r="D143" s="183" t="s">
        <v>403</v>
      </c>
      <c r="E143" s="183" t="s">
        <v>404</v>
      </c>
      <c r="F143" s="851"/>
    </row>
    <row r="144" spans="1:6" ht="28.5" customHeight="1" thickBot="1" x14ac:dyDescent="0.25">
      <c r="A144" s="197" t="s">
        <v>409</v>
      </c>
      <c r="B144" s="207" t="s">
        <v>507</v>
      </c>
      <c r="C144" s="274">
        <v>0</v>
      </c>
      <c r="D144" s="268">
        <f>F144-C144</f>
        <v>103500</v>
      </c>
      <c r="E144" s="280"/>
      <c r="F144" s="281">
        <v>103500</v>
      </c>
    </row>
    <row r="145" spans="1:6" ht="17.25" customHeight="1" thickBot="1" x14ac:dyDescent="0.25">
      <c r="A145" s="845" t="s">
        <v>437</v>
      </c>
      <c r="B145" s="845"/>
      <c r="C145" s="210">
        <f>C144</f>
        <v>0</v>
      </c>
      <c r="D145" s="210">
        <f>SUM(D144:D144)</f>
        <v>103500</v>
      </c>
      <c r="E145" s="211"/>
      <c r="F145" s="212">
        <f>SUM(F144:F144)</f>
        <v>103500</v>
      </c>
    </row>
    <row r="146" spans="1:6" ht="21.75" customHeight="1" thickBot="1" x14ac:dyDescent="0.25">
      <c r="C146" s="3"/>
      <c r="D146" s="3"/>
      <c r="E146" s="3"/>
      <c r="F146" s="285"/>
    </row>
    <row r="147" spans="1:6" ht="20.25" customHeight="1" thickBot="1" x14ac:dyDescent="0.25">
      <c r="A147" s="846" t="s">
        <v>508</v>
      </c>
      <c r="B147" s="846"/>
      <c r="C147" s="286">
        <f>C34+C40+C71+C77+C82+C93+C103+C108+C114+C140+C145+C126+C120+C98+C87</f>
        <v>425416438</v>
      </c>
      <c r="D147" s="286">
        <f>D34+D40+D71+D77+D82+D93+D103+D108+D114+D140+D145+D126+D120+D98+D87+D67</f>
        <v>66946906</v>
      </c>
      <c r="E147" s="287">
        <f>F147/C147*100</f>
        <v>115.73679341464469</v>
      </c>
      <c r="F147" s="288">
        <f>F34+F40+F71+F77+F82+F93+F103+F108+F114+F140+F145+F126+F120+F98+F87</f>
        <v>492363344</v>
      </c>
    </row>
    <row r="150" spans="1:6" x14ac:dyDescent="0.2">
      <c r="F150" s="289">
        <f>F147-'[1]Kiadások részletes COFOG'!F424</f>
        <v>6.9999992847442627E-2</v>
      </c>
    </row>
    <row r="151" spans="1:6" x14ac:dyDescent="0.2">
      <c r="B151" s="290"/>
      <c r="C151" s="290"/>
      <c r="D151" s="291"/>
    </row>
    <row r="152" spans="1:6" x14ac:dyDescent="0.2">
      <c r="D152" s="3"/>
    </row>
    <row r="153" spans="1:6" x14ac:dyDescent="0.2">
      <c r="D153" s="3"/>
    </row>
    <row r="154" spans="1:6" x14ac:dyDescent="0.2">
      <c r="D154" s="3"/>
      <c r="E154" s="293"/>
    </row>
    <row r="155" spans="1:6" x14ac:dyDescent="0.2">
      <c r="D155" s="3"/>
    </row>
  </sheetData>
  <mergeCells count="95">
    <mergeCell ref="A2:F2"/>
    <mergeCell ref="A3:F3"/>
    <mergeCell ref="A5:F5"/>
    <mergeCell ref="A7:F7"/>
    <mergeCell ref="A8:A9"/>
    <mergeCell ref="B8:B9"/>
    <mergeCell ref="C8:E8"/>
    <mergeCell ref="F8:F9"/>
    <mergeCell ref="A17:A18"/>
    <mergeCell ref="A34:B34"/>
    <mergeCell ref="A35:F35"/>
    <mergeCell ref="A36:A37"/>
    <mergeCell ref="B36:B37"/>
    <mergeCell ref="C36:E36"/>
    <mergeCell ref="F36:F37"/>
    <mergeCell ref="A40:B40"/>
    <mergeCell ref="A41:F41"/>
    <mergeCell ref="A42:A43"/>
    <mergeCell ref="B42:B43"/>
    <mergeCell ref="C42:E42"/>
    <mergeCell ref="F42:F43"/>
    <mergeCell ref="A71:B71"/>
    <mergeCell ref="A72:F72"/>
    <mergeCell ref="A73:A74"/>
    <mergeCell ref="B73:B74"/>
    <mergeCell ref="C73:E73"/>
    <mergeCell ref="F73:F74"/>
    <mergeCell ref="A77:B77"/>
    <mergeCell ref="A78:F78"/>
    <mergeCell ref="A79:A80"/>
    <mergeCell ref="B79:B80"/>
    <mergeCell ref="C79:E79"/>
    <mergeCell ref="F79:F80"/>
    <mergeCell ref="A82:B82"/>
    <mergeCell ref="A83:F83"/>
    <mergeCell ref="A84:A85"/>
    <mergeCell ref="B84:B85"/>
    <mergeCell ref="C84:E84"/>
    <mergeCell ref="F84:F85"/>
    <mergeCell ref="A87:B87"/>
    <mergeCell ref="A88:F88"/>
    <mergeCell ref="A89:A90"/>
    <mergeCell ref="B89:B90"/>
    <mergeCell ref="C89:E89"/>
    <mergeCell ref="F89:F90"/>
    <mergeCell ref="A93:B93"/>
    <mergeCell ref="A94:F94"/>
    <mergeCell ref="A95:A96"/>
    <mergeCell ref="B95:B96"/>
    <mergeCell ref="C95:E95"/>
    <mergeCell ref="F95:F96"/>
    <mergeCell ref="A98:B98"/>
    <mergeCell ref="A99:F99"/>
    <mergeCell ref="A100:A101"/>
    <mergeCell ref="B100:B101"/>
    <mergeCell ref="C100:E100"/>
    <mergeCell ref="F100:F101"/>
    <mergeCell ref="A103:B103"/>
    <mergeCell ref="A104:F104"/>
    <mergeCell ref="A105:A106"/>
    <mergeCell ref="B105:B106"/>
    <mergeCell ref="C105:E105"/>
    <mergeCell ref="F105:F106"/>
    <mergeCell ref="A108:B108"/>
    <mergeCell ref="A109:F109"/>
    <mergeCell ref="A110:A111"/>
    <mergeCell ref="B110:B111"/>
    <mergeCell ref="C110:E110"/>
    <mergeCell ref="F110:F111"/>
    <mergeCell ref="A114:B114"/>
    <mergeCell ref="A115:F115"/>
    <mergeCell ref="A116:A117"/>
    <mergeCell ref="B116:B117"/>
    <mergeCell ref="C116:E116"/>
    <mergeCell ref="F116:F117"/>
    <mergeCell ref="A120:B120"/>
    <mergeCell ref="A121:F121"/>
    <mergeCell ref="A122:A123"/>
    <mergeCell ref="B122:B123"/>
    <mergeCell ref="C122:E122"/>
    <mergeCell ref="F122:F123"/>
    <mergeCell ref="A126:B126"/>
    <mergeCell ref="A127:F127"/>
    <mergeCell ref="A128:A129"/>
    <mergeCell ref="B128:B129"/>
    <mergeCell ref="C128:E128"/>
    <mergeCell ref="F128:F129"/>
    <mergeCell ref="A145:B145"/>
    <mergeCell ref="A147:B147"/>
    <mergeCell ref="A140:B140"/>
    <mergeCell ref="A141:F141"/>
    <mergeCell ref="A142:A143"/>
    <mergeCell ref="B142:B143"/>
    <mergeCell ref="C142:E142"/>
    <mergeCell ref="F142:F143"/>
  </mergeCells>
  <pageMargins left="0.7" right="0.7" top="0.75" bottom="0.75" header="0.3" footer="0.3"/>
  <pageSetup paperSize="9" scale="76" orientation="portrait" r:id="rId1"/>
  <rowBreaks count="3" manualBreakCount="3">
    <brk id="40" max="5" man="1"/>
    <brk id="82" max="5" man="1"/>
    <brk id="126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26"/>
  <sheetViews>
    <sheetView view="pageBreakPreview" zoomScaleNormal="100" zoomScaleSheetLayoutView="100" workbookViewId="0">
      <selection activeCell="G14" sqref="G14"/>
    </sheetView>
  </sheetViews>
  <sheetFormatPr defaultRowHeight="12.75" x14ac:dyDescent="0.2"/>
  <cols>
    <col min="1" max="1" width="43.28515625" customWidth="1"/>
    <col min="2" max="4" width="12.7109375" customWidth="1"/>
    <col min="5" max="5" width="46.42578125" customWidth="1"/>
    <col min="6" max="8" width="12.7109375" customWidth="1"/>
    <col min="9" max="9" width="12.5703125" bestFit="1" customWidth="1"/>
    <col min="10" max="10" width="13.7109375" bestFit="1" customWidth="1"/>
  </cols>
  <sheetData>
    <row r="1" spans="1:9" ht="15" customHeight="1" x14ac:dyDescent="0.2">
      <c r="A1" s="943" t="s">
        <v>377</v>
      </c>
      <c r="B1" s="943"/>
      <c r="C1" s="943"/>
      <c r="D1" s="943"/>
      <c r="E1" s="943"/>
      <c r="F1" s="943"/>
      <c r="G1" s="943"/>
      <c r="H1" s="943"/>
    </row>
    <row r="2" spans="1:9" ht="15.75" customHeight="1" x14ac:dyDescent="0.2">
      <c r="B2" s="952"/>
      <c r="C2" s="867"/>
      <c r="D2" s="867"/>
      <c r="E2" s="867"/>
      <c r="F2" s="867"/>
      <c r="G2" s="6"/>
      <c r="H2" s="6"/>
      <c r="I2" s="6"/>
    </row>
    <row r="3" spans="1:9" s="1" customFormat="1" ht="16.5" customHeight="1" x14ac:dyDescent="0.25">
      <c r="A3" s="950" t="s">
        <v>243</v>
      </c>
      <c r="B3" s="950"/>
      <c r="C3" s="950"/>
      <c r="D3" s="950"/>
      <c r="E3" s="950"/>
      <c r="F3" s="950"/>
      <c r="G3" s="950"/>
      <c r="H3" s="950"/>
    </row>
    <row r="4" spans="1:9" ht="24" customHeight="1" x14ac:dyDescent="0.2">
      <c r="A4" s="951" t="s">
        <v>371</v>
      </c>
      <c r="B4" s="951"/>
      <c r="C4" s="951"/>
      <c r="D4" s="951"/>
      <c r="E4" s="951"/>
      <c r="F4" s="951"/>
      <c r="G4" s="951"/>
      <c r="H4" s="951"/>
    </row>
    <row r="5" spans="1:9" ht="23.25" customHeight="1" thickBot="1" x14ac:dyDescent="0.3">
      <c r="A5" s="125"/>
      <c r="B5" s="125"/>
      <c r="C5" s="125"/>
      <c r="D5" s="125"/>
      <c r="E5" s="125"/>
      <c r="G5" s="4"/>
      <c r="H5" s="1" t="s">
        <v>11</v>
      </c>
    </row>
    <row r="6" spans="1:9" ht="27" customHeight="1" thickBot="1" x14ac:dyDescent="0.25">
      <c r="A6" s="946" t="s">
        <v>1</v>
      </c>
      <c r="B6" s="947"/>
      <c r="C6" s="947"/>
      <c r="D6" s="948"/>
      <c r="E6" s="949" t="s">
        <v>2</v>
      </c>
      <c r="F6" s="947"/>
      <c r="G6" s="947"/>
      <c r="H6" s="948"/>
    </row>
    <row r="7" spans="1:9" ht="27" customHeight="1" thickBot="1" x14ac:dyDescent="0.3">
      <c r="A7" s="534"/>
      <c r="B7" s="535" t="s">
        <v>299</v>
      </c>
      <c r="C7" s="536" t="s">
        <v>300</v>
      </c>
      <c r="D7" s="537" t="s">
        <v>301</v>
      </c>
      <c r="E7" s="540"/>
      <c r="F7" s="538" t="s">
        <v>299</v>
      </c>
      <c r="G7" s="539" t="s">
        <v>300</v>
      </c>
      <c r="H7" s="537" t="s">
        <v>301</v>
      </c>
    </row>
    <row r="8" spans="1:9" ht="20.100000000000001" customHeight="1" x14ac:dyDescent="0.25">
      <c r="A8" s="126" t="s">
        <v>302</v>
      </c>
      <c r="B8" s="163">
        <f>C8+D8</f>
        <v>161800.61799999999</v>
      </c>
      <c r="C8" s="163">
        <f>161800618/1000</f>
        <v>161800.61799999999</v>
      </c>
      <c r="D8" s="169">
        <v>0</v>
      </c>
      <c r="E8" s="164" t="s">
        <v>196</v>
      </c>
      <c r="F8" s="127">
        <f>G8+H8</f>
        <v>155877.859</v>
      </c>
      <c r="G8" s="128">
        <f>(39200130+'Hiv.kiad.'!F20+'Hiv.kiad.'!F42+'Művh.kiad.'!F17+'Művh.kiad.'!F36+Ovikiad.!F15+Ovikiad.!F30+Ovikiad.!F64+Ovikiad.!F77)/1000</f>
        <v>155877.859</v>
      </c>
      <c r="H8" s="60">
        <v>0</v>
      </c>
    </row>
    <row r="9" spans="1:9" ht="20.100000000000001" customHeight="1" x14ac:dyDescent="0.25">
      <c r="A9" s="546" t="s">
        <v>205</v>
      </c>
      <c r="B9" s="163">
        <f t="shared" ref="B9:B14" si="0">C9+D9</f>
        <v>14976.314</v>
      </c>
      <c r="C9" s="547">
        <f>(10307241+'Hiv.bev.'!F17+'Hiv.bev.'!F24)/1000</f>
        <v>14976.314</v>
      </c>
      <c r="D9" s="548">
        <v>0</v>
      </c>
      <c r="E9" s="541" t="s">
        <v>197</v>
      </c>
      <c r="F9" s="127">
        <f t="shared" ref="F9:F16" si="1">G9+H9</f>
        <v>29450.732</v>
      </c>
      <c r="G9" s="129">
        <f>(6998484+'Hiv.kiad.'!F23+'Hiv.kiad.'!F45+'Művh.kiad.'!F39+'Művh.kiad.'!F20+Ovikiad.!F18+Ovikiad.!F33+Ovikiad.!F67+Ovikiad.!F80)/1000</f>
        <v>29450.732</v>
      </c>
      <c r="H9" s="61">
        <v>0</v>
      </c>
    </row>
    <row r="10" spans="1:9" ht="20.100000000000001" customHeight="1" x14ac:dyDescent="0.25">
      <c r="A10" s="546" t="s">
        <v>206</v>
      </c>
      <c r="B10" s="163">
        <f t="shared" si="0"/>
        <v>79500</v>
      </c>
      <c r="C10" s="547">
        <f>79500000/1000</f>
        <v>79500</v>
      </c>
      <c r="D10" s="548">
        <v>0</v>
      </c>
      <c r="E10" s="541" t="s">
        <v>198</v>
      </c>
      <c r="F10" s="127">
        <f t="shared" si="1"/>
        <v>86142.087</v>
      </c>
      <c r="G10" s="129">
        <f>(70840664+'Hiv.kiad.'!F33+'Hiv.kiad.'!F48+'Művh.kiad.'!F12+'Művh.kiad.'!F52+Ovikiad.!F51-2000000)/1000</f>
        <v>84142.087</v>
      </c>
      <c r="H10" s="61">
        <f>2000000/1000</f>
        <v>2000</v>
      </c>
    </row>
    <row r="11" spans="1:9" ht="20.100000000000001" customHeight="1" x14ac:dyDescent="0.25">
      <c r="A11" s="546" t="s">
        <v>207</v>
      </c>
      <c r="B11" s="163">
        <f t="shared" si="0"/>
        <v>68556.714000000007</v>
      </c>
      <c r="C11" s="547">
        <f>(67004132+'Hiv.bev.'!F19+'Hiv.bev.'!F18+'Művh.bev.'!F17+'Művh.bev.'!F18+Ovibev.!F18+Ovibev.!F19)/1000</f>
        <v>68556.714000000007</v>
      </c>
      <c r="D11" s="548">
        <v>0</v>
      </c>
      <c r="E11" s="541" t="s">
        <v>199</v>
      </c>
      <c r="F11" s="127">
        <f t="shared" si="1"/>
        <v>10810.5</v>
      </c>
      <c r="G11" s="129">
        <f>(8347000+103500)/1000</f>
        <v>8450.5</v>
      </c>
      <c r="H11" s="61">
        <f>2360000/1000</f>
        <v>2360</v>
      </c>
    </row>
    <row r="12" spans="1:9" ht="20.100000000000001" customHeight="1" x14ac:dyDescent="0.25">
      <c r="A12" s="546" t="s">
        <v>208</v>
      </c>
      <c r="B12" s="163">
        <f t="shared" si="0"/>
        <v>53827.199999999997</v>
      </c>
      <c r="C12" s="547">
        <v>0</v>
      </c>
      <c r="D12" s="548">
        <f>53827200/1000</f>
        <v>53827.199999999997</v>
      </c>
      <c r="E12" s="541" t="s">
        <v>200</v>
      </c>
      <c r="F12" s="127">
        <f t="shared" si="1"/>
        <v>7156</v>
      </c>
      <c r="G12" s="129">
        <f>7156000/1000</f>
        <v>7156</v>
      </c>
      <c r="H12" s="61">
        <v>0</v>
      </c>
    </row>
    <row r="13" spans="1:9" ht="20.100000000000001" customHeight="1" x14ac:dyDescent="0.25">
      <c r="A13" s="546" t="s">
        <v>209</v>
      </c>
      <c r="B13" s="163">
        <f t="shared" si="0"/>
        <v>220</v>
      </c>
      <c r="C13" s="549">
        <f>220000/1000</f>
        <v>220</v>
      </c>
      <c r="D13" s="548">
        <v>0</v>
      </c>
      <c r="E13" s="541" t="s">
        <v>201</v>
      </c>
      <c r="F13" s="127">
        <f t="shared" si="1"/>
        <v>6207</v>
      </c>
      <c r="G13" s="129">
        <v>0</v>
      </c>
      <c r="H13" s="61">
        <f>6207000/1000</f>
        <v>6207</v>
      </c>
    </row>
    <row r="14" spans="1:9" ht="20.100000000000001" customHeight="1" x14ac:dyDescent="0.25">
      <c r="A14" s="133" t="s">
        <v>304</v>
      </c>
      <c r="B14" s="163">
        <f t="shared" si="0"/>
        <v>277</v>
      </c>
      <c r="C14" s="549">
        <f>277000/1000</f>
        <v>277</v>
      </c>
      <c r="D14" s="548">
        <v>0</v>
      </c>
      <c r="E14" s="541" t="s">
        <v>260</v>
      </c>
      <c r="F14" s="127">
        <f t="shared" si="1"/>
        <v>6042.2659999999996</v>
      </c>
      <c r="G14" s="129">
        <f>'Önk.kiad.'!F92/1000</f>
        <v>6042.2659999999996</v>
      </c>
      <c r="H14" s="61">
        <v>0</v>
      </c>
    </row>
    <row r="15" spans="1:9" ht="20.100000000000001" customHeight="1" x14ac:dyDescent="0.25">
      <c r="A15" s="554" t="s">
        <v>212</v>
      </c>
      <c r="B15" s="555">
        <f>C15+D15</f>
        <v>149377.101</v>
      </c>
      <c r="C15" s="556">
        <f>('Hiv.bev.'!F9+'Művh.bev.'!F10+Ovibev.!F10)/1000</f>
        <v>149377.101</v>
      </c>
      <c r="D15" s="557">
        <v>0</v>
      </c>
      <c r="E15" s="542" t="s">
        <v>204</v>
      </c>
      <c r="F15" s="136">
        <f t="shared" si="1"/>
        <v>149377.101</v>
      </c>
      <c r="G15" s="558">
        <f>'Önk.kiad.'!F97/1000</f>
        <v>149377.101</v>
      </c>
      <c r="H15" s="559">
        <v>0</v>
      </c>
    </row>
    <row r="16" spans="1:9" ht="20.100000000000001" customHeight="1" thickBot="1" x14ac:dyDescent="0.3">
      <c r="A16" s="564" t="s">
        <v>728</v>
      </c>
      <c r="B16" s="570">
        <f>C16+D16</f>
        <v>6180</v>
      </c>
      <c r="C16" s="550">
        <f>6180000/1000</f>
        <v>6180</v>
      </c>
      <c r="D16" s="565"/>
      <c r="E16" s="566"/>
      <c r="F16" s="567">
        <f t="shared" si="1"/>
        <v>0</v>
      </c>
      <c r="G16" s="569">
        <v>0</v>
      </c>
      <c r="H16" s="568">
        <v>0</v>
      </c>
    </row>
    <row r="17" spans="1:9" ht="20.100000000000001" customHeight="1" thickBot="1" x14ac:dyDescent="0.25">
      <c r="A17" s="551" t="s">
        <v>9</v>
      </c>
      <c r="B17" s="561">
        <f>SUM(B8:B16)</f>
        <v>534714.94700000004</v>
      </c>
      <c r="C17" s="561">
        <f t="shared" ref="C17:D17" si="2">SUM(C8:C16)</f>
        <v>480887.74699999997</v>
      </c>
      <c r="D17" s="562">
        <f t="shared" si="2"/>
        <v>53827.199999999997</v>
      </c>
      <c r="E17" s="543" t="s">
        <v>10</v>
      </c>
      <c r="F17" s="563">
        <f>SUM(F8:F16)</f>
        <v>451063.54499999993</v>
      </c>
      <c r="G17" s="563">
        <f t="shared" ref="G17:H17" si="3">SUM(G8:G16)</f>
        <v>440496.54499999993</v>
      </c>
      <c r="H17" s="563">
        <f t="shared" si="3"/>
        <v>10567</v>
      </c>
    </row>
    <row r="18" spans="1:9" ht="20.100000000000001" customHeight="1" x14ac:dyDescent="0.25">
      <c r="A18" s="126" t="s">
        <v>210</v>
      </c>
      <c r="B18" s="163">
        <f>C18+D18</f>
        <v>112562.52</v>
      </c>
      <c r="C18" s="560">
        <f>'Önk.bev.'!F77/1000</f>
        <v>112562.52</v>
      </c>
      <c r="D18" s="169">
        <v>0</v>
      </c>
      <c r="E18" s="164" t="s">
        <v>203</v>
      </c>
      <c r="F18" s="127">
        <f>G18+H18</f>
        <v>9235.5</v>
      </c>
      <c r="G18" s="128">
        <f>(6849500+'Művh.kiad.'!F55+Ovikiad.!F54)/1000</f>
        <v>9235.5</v>
      </c>
      <c r="H18" s="60">
        <v>0</v>
      </c>
    </row>
    <row r="19" spans="1:9" ht="20.100000000000001" customHeight="1" x14ac:dyDescent="0.25">
      <c r="A19" s="546" t="s">
        <v>211</v>
      </c>
      <c r="B19" s="163">
        <f t="shared" ref="B19:B22" si="4">C19+D19</f>
        <v>298.68700000000001</v>
      </c>
      <c r="C19" s="549">
        <f>Ovibev.!F9/1000</f>
        <v>298.68700000000001</v>
      </c>
      <c r="D19" s="548">
        <v>0</v>
      </c>
      <c r="E19" s="541" t="s">
        <v>303</v>
      </c>
      <c r="F19" s="127">
        <f t="shared" ref="F19:F22" si="5">G19+H19</f>
        <v>158430.139</v>
      </c>
      <c r="G19" s="156">
        <f>(122000000+10819007+25611132)/1000</f>
        <v>158430.139</v>
      </c>
      <c r="H19" s="157">
        <v>0</v>
      </c>
      <c r="I19" s="158"/>
    </row>
    <row r="20" spans="1:9" ht="20.100000000000001" customHeight="1" x14ac:dyDescent="0.25">
      <c r="A20" s="546" t="s">
        <v>305</v>
      </c>
      <c r="B20" s="163">
        <f t="shared" si="4"/>
        <v>103.089</v>
      </c>
      <c r="C20" s="549">
        <f>'Művh.bev.'!F9/1000</f>
        <v>103.089</v>
      </c>
      <c r="D20" s="548">
        <v>0</v>
      </c>
      <c r="E20" s="542" t="s">
        <v>727</v>
      </c>
      <c r="F20" s="127">
        <f t="shared" si="5"/>
        <v>1263</v>
      </c>
      <c r="G20" s="130">
        <f>1263000/1000</f>
        <v>1263</v>
      </c>
      <c r="H20" s="131">
        <v>0</v>
      </c>
    </row>
    <row r="21" spans="1:9" ht="20.100000000000001" customHeight="1" x14ac:dyDescent="0.25">
      <c r="A21" s="554" t="s">
        <v>259</v>
      </c>
      <c r="B21" s="555">
        <f t="shared" si="4"/>
        <v>816.86800000000005</v>
      </c>
      <c r="C21" s="556">
        <f>'Hiv.bev.'!F8/1000</f>
        <v>816.86800000000005</v>
      </c>
      <c r="D21" s="557">
        <v>0</v>
      </c>
      <c r="E21" s="542" t="s">
        <v>202</v>
      </c>
      <c r="F21" s="136">
        <f t="shared" si="5"/>
        <v>29188.560000000001</v>
      </c>
      <c r="G21" s="558">
        <f>(20110007+9078553)/1000</f>
        <v>29188.560000000001</v>
      </c>
      <c r="H21" s="559">
        <v>0</v>
      </c>
    </row>
    <row r="22" spans="1:9" ht="20.100000000000001" customHeight="1" thickBot="1" x14ac:dyDescent="0.3">
      <c r="A22" s="564" t="s">
        <v>729</v>
      </c>
      <c r="B22" s="570">
        <f t="shared" si="4"/>
        <v>684.63300000000004</v>
      </c>
      <c r="C22" s="550">
        <f>684633/1000</f>
        <v>684.63300000000004</v>
      </c>
      <c r="D22" s="565">
        <v>0</v>
      </c>
      <c r="E22" s="566"/>
      <c r="F22" s="567">
        <f t="shared" si="5"/>
        <v>0</v>
      </c>
      <c r="G22" s="569">
        <v>0</v>
      </c>
      <c r="H22" s="568">
        <v>0</v>
      </c>
    </row>
    <row r="23" spans="1:9" ht="20.100000000000001" customHeight="1" thickBot="1" x14ac:dyDescent="0.25">
      <c r="A23" s="551" t="s">
        <v>7</v>
      </c>
      <c r="B23" s="552">
        <f>SUM(B17:B22)</f>
        <v>649180.74400000018</v>
      </c>
      <c r="C23" s="552">
        <f t="shared" ref="C23" si="6">SUM(C17:C21)</f>
        <v>594668.91100000008</v>
      </c>
      <c r="D23" s="552">
        <f>SUM(D17:D22)</f>
        <v>53827.199999999997</v>
      </c>
      <c r="E23" s="543" t="s">
        <v>7</v>
      </c>
      <c r="F23" s="132">
        <f>SUM(F17:F21)</f>
        <v>649180.74399999995</v>
      </c>
      <c r="G23" s="132">
        <f t="shared" ref="G23:H23" si="7">SUM(G17:G21)</f>
        <v>638613.74399999995</v>
      </c>
      <c r="H23" s="132">
        <f t="shared" si="7"/>
        <v>10567</v>
      </c>
      <c r="I23" s="3"/>
    </row>
    <row r="24" spans="1:9" ht="20.100000000000001" customHeight="1" thickBot="1" x14ac:dyDescent="0.3">
      <c r="A24" s="133" t="s">
        <v>189</v>
      </c>
      <c r="B24" s="134">
        <f>C24+D24</f>
        <v>-149377.101</v>
      </c>
      <c r="C24" s="135">
        <f>-C15</f>
        <v>-149377.101</v>
      </c>
      <c r="D24" s="553">
        <v>0</v>
      </c>
      <c r="E24" s="544" t="s">
        <v>189</v>
      </c>
      <c r="F24" s="136">
        <f>G24+H24</f>
        <v>-149377.101</v>
      </c>
      <c r="G24" s="137">
        <f>-G15</f>
        <v>-149377.101</v>
      </c>
      <c r="H24" s="138"/>
    </row>
    <row r="25" spans="1:9" ht="20.100000000000001" customHeight="1" thickBot="1" x14ac:dyDescent="0.25">
      <c r="A25" s="551" t="s">
        <v>190</v>
      </c>
      <c r="B25" s="552">
        <f>SUM(B23:B24)</f>
        <v>499803.64300000016</v>
      </c>
      <c r="C25" s="552">
        <f t="shared" ref="C25:D25" si="8">SUM(C23:C24)</f>
        <v>445291.81000000006</v>
      </c>
      <c r="D25" s="552">
        <f t="shared" si="8"/>
        <v>53827.199999999997</v>
      </c>
      <c r="E25" s="545" t="s">
        <v>190</v>
      </c>
      <c r="F25" s="139">
        <f>SUM(F23:F24)</f>
        <v>499803.64299999992</v>
      </c>
      <c r="G25" s="139">
        <f t="shared" ref="G25:H25" si="9">SUM(G23:G24)</f>
        <v>489236.64299999992</v>
      </c>
      <c r="H25" s="139">
        <f t="shared" si="9"/>
        <v>10567</v>
      </c>
    </row>
    <row r="26" spans="1:9" x14ac:dyDescent="0.2">
      <c r="E26" s="3"/>
    </row>
  </sheetData>
  <mergeCells count="6">
    <mergeCell ref="A6:D6"/>
    <mergeCell ref="E6:H6"/>
    <mergeCell ref="A3:H3"/>
    <mergeCell ref="A4:H4"/>
    <mergeCell ref="A1:H1"/>
    <mergeCell ref="B2:F2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73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AD160"/>
  <sheetViews>
    <sheetView view="pageBreakPreview" zoomScale="80" zoomScaleNormal="100" zoomScaleSheetLayoutView="80" workbookViewId="0">
      <selection sqref="A1:P1"/>
    </sheetView>
  </sheetViews>
  <sheetFormatPr defaultRowHeight="12.75" x14ac:dyDescent="0.2"/>
  <cols>
    <col min="1" max="1" width="4.42578125" customWidth="1"/>
    <col min="2" max="2" width="49.42578125" customWidth="1"/>
    <col min="3" max="3" width="4.5703125" customWidth="1"/>
    <col min="4" max="4" width="10.7109375" customWidth="1"/>
    <col min="5" max="5" width="11.140625" bestFit="1" customWidth="1"/>
    <col min="6" max="16" width="10.7109375" customWidth="1"/>
    <col min="17" max="17" width="9.7109375" bestFit="1" customWidth="1"/>
    <col min="18" max="18" width="8.5703125" bestFit="1" customWidth="1"/>
  </cols>
  <sheetData>
    <row r="1" spans="1:16" ht="15" customHeight="1" x14ac:dyDescent="0.2">
      <c r="A1" s="987" t="s">
        <v>389</v>
      </c>
      <c r="B1" s="987"/>
      <c r="C1" s="987"/>
      <c r="D1" s="987"/>
      <c r="E1" s="987"/>
      <c r="F1" s="987"/>
      <c r="G1" s="987"/>
      <c r="H1" s="987"/>
      <c r="I1" s="987"/>
      <c r="J1" s="987"/>
      <c r="K1" s="987"/>
      <c r="L1" s="987"/>
      <c r="M1" s="987"/>
      <c r="N1" s="987"/>
      <c r="O1" s="987"/>
      <c r="P1" s="987"/>
    </row>
    <row r="2" spans="1:16" ht="15" customHeight="1" x14ac:dyDescent="0.2">
      <c r="A2" s="1000" t="s">
        <v>734</v>
      </c>
      <c r="B2" s="1001"/>
      <c r="C2" s="1001"/>
      <c r="D2" s="1001"/>
      <c r="E2" s="1001"/>
      <c r="F2" s="1001"/>
      <c r="G2" s="1001"/>
      <c r="H2" s="1001"/>
      <c r="I2" s="1001"/>
      <c r="J2" s="1001"/>
      <c r="K2" s="1001"/>
      <c r="L2" s="1001"/>
      <c r="M2" s="1001"/>
      <c r="N2" s="1001"/>
      <c r="O2" s="1001"/>
      <c r="P2" s="1001"/>
    </row>
    <row r="3" spans="1:16" ht="12.95" customHeight="1" thickBot="1" x14ac:dyDescent="0.25">
      <c r="A3" s="988" t="s">
        <v>730</v>
      </c>
      <c r="B3" s="988"/>
      <c r="C3" s="988"/>
      <c r="D3" s="988"/>
      <c r="E3" s="988"/>
      <c r="F3" s="988"/>
      <c r="G3" s="988"/>
      <c r="H3" s="988"/>
      <c r="I3" s="988"/>
      <c r="J3" s="988"/>
      <c r="K3" s="988"/>
      <c r="L3" s="988"/>
      <c r="M3" s="988"/>
      <c r="N3" s="988"/>
      <c r="O3" s="988"/>
      <c r="P3" s="988"/>
    </row>
    <row r="4" spans="1:16" ht="12.95" customHeight="1" x14ac:dyDescent="0.2">
      <c r="A4" s="991" t="s">
        <v>35</v>
      </c>
      <c r="B4" s="993" t="s">
        <v>330</v>
      </c>
      <c r="C4" s="967" t="s">
        <v>186</v>
      </c>
      <c r="D4" s="974" t="s">
        <v>191</v>
      </c>
      <c r="E4" s="995" t="s">
        <v>167</v>
      </c>
      <c r="F4" s="996"/>
      <c r="G4" s="996"/>
      <c r="H4" s="996"/>
      <c r="I4" s="997"/>
      <c r="J4" s="969" t="s">
        <v>4</v>
      </c>
      <c r="K4" s="970"/>
      <c r="L4" s="998"/>
      <c r="M4" s="972" t="s">
        <v>360</v>
      </c>
      <c r="N4" s="999"/>
      <c r="O4" s="999"/>
      <c r="P4" s="973"/>
    </row>
    <row r="5" spans="1:16" ht="24.75" customHeight="1" thickBot="1" x14ac:dyDescent="0.25">
      <c r="A5" s="992"/>
      <c r="B5" s="994"/>
      <c r="C5" s="968"/>
      <c r="D5" s="975"/>
      <c r="E5" s="580" t="s">
        <v>213</v>
      </c>
      <c r="F5" s="581" t="s">
        <v>164</v>
      </c>
      <c r="G5" s="582" t="s">
        <v>165</v>
      </c>
      <c r="H5" s="582" t="s">
        <v>214</v>
      </c>
      <c r="I5" s="583" t="s">
        <v>166</v>
      </c>
      <c r="J5" s="584" t="s">
        <v>215</v>
      </c>
      <c r="K5" s="582" t="s">
        <v>168</v>
      </c>
      <c r="L5" s="583" t="s">
        <v>169</v>
      </c>
      <c r="M5" s="619" t="s">
        <v>170</v>
      </c>
      <c r="N5" s="582" t="s">
        <v>171</v>
      </c>
      <c r="O5" s="582" t="s">
        <v>172</v>
      </c>
      <c r="P5" s="583" t="s">
        <v>173</v>
      </c>
    </row>
    <row r="6" spans="1:16" ht="12.95" customHeight="1" x14ac:dyDescent="0.2">
      <c r="A6" s="1002" t="s">
        <v>731</v>
      </c>
      <c r="B6" s="1003"/>
      <c r="C6" s="614"/>
      <c r="D6" s="615"/>
      <c r="E6" s="616"/>
      <c r="F6" s="616"/>
      <c r="G6" s="617"/>
      <c r="H6" s="617"/>
      <c r="I6" s="618"/>
      <c r="J6" s="620"/>
      <c r="K6" s="617"/>
      <c r="L6" s="618"/>
      <c r="M6" s="620"/>
      <c r="N6" s="617"/>
      <c r="O6" s="617"/>
      <c r="P6" s="621"/>
    </row>
    <row r="7" spans="1:16" ht="12.95" customHeight="1" x14ac:dyDescent="0.2">
      <c r="A7" s="571" t="s">
        <v>15</v>
      </c>
      <c r="B7" s="572" t="s">
        <v>726</v>
      </c>
      <c r="C7" s="573"/>
      <c r="D7" s="604"/>
      <c r="E7" s="611"/>
      <c r="F7" s="611"/>
      <c r="G7" s="605"/>
      <c r="H7" s="605">
        <v>18297424</v>
      </c>
      <c r="I7" s="606"/>
      <c r="J7" s="609"/>
      <c r="K7" s="605"/>
      <c r="L7" s="606"/>
      <c r="M7" s="609"/>
      <c r="N7" s="605"/>
      <c r="O7" s="605"/>
      <c r="P7" s="610"/>
    </row>
    <row r="8" spans="1:16" ht="12.95" customHeight="1" x14ac:dyDescent="0.2">
      <c r="A8" s="571" t="s">
        <v>37</v>
      </c>
      <c r="B8" s="574" t="s">
        <v>16</v>
      </c>
      <c r="C8" s="573"/>
      <c r="D8" s="604"/>
      <c r="E8" s="611"/>
      <c r="F8" s="611"/>
      <c r="G8" s="605"/>
      <c r="H8" s="605"/>
      <c r="I8" s="606"/>
      <c r="J8" s="609"/>
      <c r="K8" s="605"/>
      <c r="L8" s="606"/>
      <c r="M8" s="609"/>
      <c r="N8" s="605"/>
      <c r="O8" s="605"/>
      <c r="P8" s="610"/>
    </row>
    <row r="9" spans="1:16" ht="15.75" customHeight="1" x14ac:dyDescent="0.2">
      <c r="A9" s="571" t="s">
        <v>38</v>
      </c>
      <c r="B9" s="575" t="s">
        <v>329</v>
      </c>
      <c r="C9" s="573"/>
      <c r="D9" s="604"/>
      <c r="E9" s="611"/>
      <c r="F9" s="611"/>
      <c r="G9" s="605"/>
      <c r="H9" s="605">
        <v>3320000</v>
      </c>
      <c r="I9" s="606"/>
      <c r="J9" s="609"/>
      <c r="K9" s="605"/>
      <c r="L9" s="606"/>
      <c r="M9" s="609"/>
      <c r="N9" s="605"/>
      <c r="O9" s="605"/>
      <c r="P9" s="610"/>
    </row>
    <row r="10" spans="1:16" ht="27" customHeight="1" x14ac:dyDescent="0.2">
      <c r="A10" s="571" t="s">
        <v>39</v>
      </c>
      <c r="B10" s="575" t="s">
        <v>307</v>
      </c>
      <c r="C10" s="576">
        <v>1</v>
      </c>
      <c r="D10" s="612"/>
      <c r="E10" s="622">
        <v>273099</v>
      </c>
      <c r="F10" s="611"/>
      <c r="G10" s="605">
        <v>79500000</v>
      </c>
      <c r="H10" s="605">
        <v>39353000</v>
      </c>
      <c r="I10" s="606"/>
      <c r="J10" s="609">
        <f>53827200</f>
        <v>53827200</v>
      </c>
      <c r="K10" s="605"/>
      <c r="L10" s="606">
        <v>497000</v>
      </c>
      <c r="M10" s="609"/>
      <c r="N10" s="605"/>
      <c r="O10" s="605"/>
      <c r="P10" s="610"/>
    </row>
    <row r="11" spans="1:16" ht="12.95" customHeight="1" x14ac:dyDescent="0.2">
      <c r="A11" s="571" t="s">
        <v>40</v>
      </c>
      <c r="B11" s="572" t="s">
        <v>308</v>
      </c>
      <c r="C11" s="576"/>
      <c r="D11" s="612"/>
      <c r="E11" s="611"/>
      <c r="F11" s="611"/>
      <c r="G11" s="605"/>
      <c r="H11" s="605"/>
      <c r="I11" s="606"/>
      <c r="J11" s="609"/>
      <c r="K11" s="605"/>
      <c r="L11" s="606"/>
      <c r="M11" s="609"/>
      <c r="N11" s="605"/>
      <c r="O11" s="605"/>
      <c r="P11" s="610"/>
    </row>
    <row r="12" spans="1:16" ht="12.95" customHeight="1" x14ac:dyDescent="0.2">
      <c r="A12" s="571" t="s">
        <v>41</v>
      </c>
      <c r="B12" s="574" t="s">
        <v>19</v>
      </c>
      <c r="C12" s="576"/>
      <c r="D12" s="612"/>
      <c r="E12" s="611"/>
      <c r="F12" s="611"/>
      <c r="G12" s="605"/>
      <c r="H12" s="605"/>
      <c r="I12" s="606"/>
      <c r="J12" s="609"/>
      <c r="K12" s="605"/>
      <c r="L12" s="606"/>
      <c r="M12" s="609"/>
      <c r="N12" s="605"/>
      <c r="O12" s="605"/>
      <c r="P12" s="610"/>
    </row>
    <row r="13" spans="1:16" ht="12.95" customHeight="1" x14ac:dyDescent="0.2">
      <c r="A13" s="571" t="s">
        <v>42</v>
      </c>
      <c r="B13" s="574" t="s">
        <v>309</v>
      </c>
      <c r="C13" s="576">
        <v>2</v>
      </c>
      <c r="D13" s="612"/>
      <c r="E13" s="611"/>
      <c r="F13" s="611">
        <v>466050</v>
      </c>
      <c r="G13" s="605"/>
      <c r="H13" s="605"/>
      <c r="I13" s="606"/>
      <c r="J13" s="609"/>
      <c r="K13" s="605"/>
      <c r="L13" s="606"/>
      <c r="M13" s="609"/>
      <c r="N13" s="605"/>
      <c r="O13" s="605"/>
      <c r="P13" s="610"/>
    </row>
    <row r="14" spans="1:16" ht="12.95" customHeight="1" x14ac:dyDescent="0.2">
      <c r="A14" s="571" t="s">
        <v>43</v>
      </c>
      <c r="B14" s="574" t="s">
        <v>310</v>
      </c>
      <c r="C14" s="576"/>
      <c r="D14" s="612"/>
      <c r="E14" s="611">
        <v>151963927</v>
      </c>
      <c r="F14" s="611">
        <v>11665283</v>
      </c>
      <c r="G14" s="605"/>
      <c r="H14" s="605"/>
      <c r="I14" s="606"/>
      <c r="J14" s="609"/>
      <c r="K14" s="605"/>
      <c r="L14" s="606"/>
      <c r="M14" s="609"/>
      <c r="N14" s="605"/>
      <c r="O14" s="605"/>
      <c r="P14" s="610">
        <v>684633</v>
      </c>
    </row>
    <row r="15" spans="1:16" ht="12.95" customHeight="1" x14ac:dyDescent="0.2">
      <c r="A15" s="571" t="s">
        <v>44</v>
      </c>
      <c r="B15" s="574" t="s">
        <v>324</v>
      </c>
      <c r="C15" s="576"/>
      <c r="D15" s="612"/>
      <c r="E15" s="611"/>
      <c r="F15" s="611"/>
      <c r="G15" s="605"/>
      <c r="H15" s="605"/>
      <c r="I15" s="606"/>
      <c r="J15" s="609"/>
      <c r="K15" s="605"/>
      <c r="L15" s="606"/>
      <c r="M15" s="609"/>
      <c r="N15" s="605"/>
      <c r="O15" s="605"/>
      <c r="P15" s="610">
        <v>112562520</v>
      </c>
    </row>
    <row r="16" spans="1:16" ht="12.95" customHeight="1" x14ac:dyDescent="0.2">
      <c r="A16" s="571" t="s">
        <v>45</v>
      </c>
      <c r="B16" s="574" t="s">
        <v>732</v>
      </c>
      <c r="C16" s="576"/>
      <c r="D16" s="612"/>
      <c r="E16" s="611"/>
      <c r="F16" s="611"/>
      <c r="G16" s="605"/>
      <c r="H16" s="605"/>
      <c r="I16" s="606">
        <v>6180000</v>
      </c>
      <c r="J16" s="609"/>
      <c r="K16" s="605"/>
      <c r="L16" s="606"/>
      <c r="M16" s="609"/>
      <c r="N16" s="605"/>
      <c r="O16" s="605"/>
      <c r="P16" s="610"/>
    </row>
    <row r="17" spans="1:16" ht="25.5" customHeight="1" x14ac:dyDescent="0.2">
      <c r="A17" s="571" t="s">
        <v>46</v>
      </c>
      <c r="B17" s="574" t="s">
        <v>312</v>
      </c>
      <c r="C17" s="576"/>
      <c r="D17" s="612"/>
      <c r="E17" s="611"/>
      <c r="F17" s="611"/>
      <c r="G17" s="605"/>
      <c r="H17" s="605"/>
      <c r="I17" s="606"/>
      <c r="J17" s="609"/>
      <c r="K17" s="605"/>
      <c r="L17" s="606"/>
      <c r="M17" s="609"/>
      <c r="N17" s="605"/>
      <c r="O17" s="605"/>
      <c r="P17" s="610"/>
    </row>
    <row r="18" spans="1:16" ht="12.95" customHeight="1" x14ac:dyDescent="0.2">
      <c r="A18" s="571" t="s">
        <v>47</v>
      </c>
      <c r="B18" s="574" t="s">
        <v>733</v>
      </c>
      <c r="C18" s="576"/>
      <c r="D18" s="612"/>
      <c r="E18" s="611"/>
      <c r="F18" s="611"/>
      <c r="G18" s="605"/>
      <c r="H18" s="985">
        <f>5316705+360000+357003</f>
        <v>6033708</v>
      </c>
      <c r="I18" s="606"/>
      <c r="J18" s="609"/>
      <c r="K18" s="605"/>
      <c r="L18" s="606"/>
      <c r="M18" s="609"/>
      <c r="N18" s="605"/>
      <c r="O18" s="605"/>
      <c r="P18" s="610"/>
    </row>
    <row r="19" spans="1:16" ht="12.95" customHeight="1" x14ac:dyDescent="0.2">
      <c r="A19" s="571" t="s">
        <v>48</v>
      </c>
      <c r="B19" s="574" t="s">
        <v>18</v>
      </c>
      <c r="C19" s="576">
        <v>1</v>
      </c>
      <c r="D19" s="612"/>
      <c r="E19" s="611"/>
      <c r="F19" s="611"/>
      <c r="G19" s="605"/>
      <c r="H19" s="986"/>
      <c r="I19" s="606"/>
      <c r="J19" s="609"/>
      <c r="K19" s="605"/>
      <c r="L19" s="606"/>
      <c r="M19" s="609"/>
      <c r="N19" s="605"/>
      <c r="O19" s="605"/>
      <c r="P19" s="610"/>
    </row>
    <row r="20" spans="1:16" ht="12.95" customHeight="1" x14ac:dyDescent="0.2">
      <c r="A20" s="571" t="s">
        <v>49</v>
      </c>
      <c r="B20" s="574" t="s">
        <v>244</v>
      </c>
      <c r="C20" s="576"/>
      <c r="D20" s="612"/>
      <c r="E20" s="611"/>
      <c r="F20" s="611"/>
      <c r="G20" s="605"/>
      <c r="H20" s="605"/>
      <c r="I20" s="606"/>
      <c r="J20" s="609"/>
      <c r="K20" s="605"/>
      <c r="L20" s="606"/>
      <c r="M20" s="609"/>
      <c r="N20" s="605"/>
      <c r="O20" s="605"/>
      <c r="P20" s="610"/>
    </row>
    <row r="21" spans="1:16" ht="12.95" customHeight="1" x14ac:dyDescent="0.2">
      <c r="A21" s="571" t="s">
        <v>50</v>
      </c>
      <c r="B21" s="572" t="s">
        <v>20</v>
      </c>
      <c r="C21" s="576">
        <v>1</v>
      </c>
      <c r="D21" s="612"/>
      <c r="E21" s="611">
        <v>5136000</v>
      </c>
      <c r="F21" s="611"/>
      <c r="G21" s="605"/>
      <c r="H21" s="605"/>
      <c r="I21" s="606"/>
      <c r="J21" s="609"/>
      <c r="K21" s="605"/>
      <c r="L21" s="606"/>
      <c r="M21" s="609"/>
      <c r="N21" s="605"/>
      <c r="O21" s="605"/>
      <c r="P21" s="610"/>
    </row>
    <row r="22" spans="1:16" ht="14.25" customHeight="1" x14ac:dyDescent="0.2">
      <c r="A22" s="571" t="s">
        <v>51</v>
      </c>
      <c r="B22" s="572" t="s">
        <v>21</v>
      </c>
      <c r="C22" s="576"/>
      <c r="D22" s="612"/>
      <c r="E22" s="611"/>
      <c r="F22" s="611"/>
      <c r="G22" s="605"/>
      <c r="H22" s="605"/>
      <c r="I22" s="606"/>
      <c r="J22" s="609"/>
      <c r="K22" s="605"/>
      <c r="L22" s="606"/>
      <c r="M22" s="609"/>
      <c r="N22" s="605"/>
      <c r="O22" s="605"/>
      <c r="P22" s="610"/>
    </row>
    <row r="23" spans="1:16" ht="12.95" customHeight="1" x14ac:dyDescent="0.2">
      <c r="A23" s="571" t="s">
        <v>52</v>
      </c>
      <c r="B23" s="574" t="s">
        <v>313</v>
      </c>
      <c r="C23" s="573"/>
      <c r="D23" s="604"/>
      <c r="E23" s="611"/>
      <c r="F23" s="605"/>
      <c r="G23" s="605"/>
      <c r="H23" s="605"/>
      <c r="I23" s="606"/>
      <c r="J23" s="609"/>
      <c r="K23" s="605"/>
      <c r="L23" s="606"/>
      <c r="M23" s="609"/>
      <c r="N23" s="605"/>
      <c r="O23" s="605"/>
      <c r="P23" s="610"/>
    </row>
    <row r="24" spans="1:16" ht="12.95" customHeight="1" x14ac:dyDescent="0.2">
      <c r="A24" s="571" t="s">
        <v>53</v>
      </c>
      <c r="B24" s="572" t="s">
        <v>314</v>
      </c>
      <c r="C24" s="573"/>
      <c r="D24" s="604"/>
      <c r="E24" s="611"/>
      <c r="F24" s="611"/>
      <c r="G24" s="605"/>
      <c r="H24" s="605"/>
      <c r="I24" s="606"/>
      <c r="J24" s="609"/>
      <c r="K24" s="605"/>
      <c r="L24" s="606"/>
      <c r="M24" s="609"/>
      <c r="N24" s="605"/>
      <c r="O24" s="605"/>
      <c r="P24" s="610"/>
    </row>
    <row r="25" spans="1:16" ht="12.95" customHeight="1" x14ac:dyDescent="0.2">
      <c r="A25" s="571" t="s">
        <v>54</v>
      </c>
      <c r="B25" s="572" t="s">
        <v>22</v>
      </c>
      <c r="C25" s="573"/>
      <c r="D25" s="604"/>
      <c r="E25" s="611"/>
      <c r="F25" s="611"/>
      <c r="G25" s="605"/>
      <c r="H25" s="605"/>
      <c r="I25" s="606"/>
      <c r="J25" s="609"/>
      <c r="K25" s="605"/>
      <c r="L25" s="606"/>
      <c r="M25" s="609"/>
      <c r="N25" s="605"/>
      <c r="O25" s="605"/>
      <c r="P25" s="610"/>
    </row>
    <row r="26" spans="1:16" ht="12.95" customHeight="1" x14ac:dyDescent="0.2">
      <c r="A26" s="571" t="s">
        <v>55</v>
      </c>
      <c r="B26" s="572" t="s">
        <v>245</v>
      </c>
      <c r="C26" s="576"/>
      <c r="D26" s="612"/>
      <c r="E26" s="611"/>
      <c r="F26" s="611"/>
      <c r="G26" s="605"/>
      <c r="H26" s="605"/>
      <c r="I26" s="606"/>
      <c r="J26" s="609"/>
      <c r="K26" s="605"/>
      <c r="L26" s="606"/>
      <c r="M26" s="609"/>
      <c r="N26" s="605"/>
      <c r="O26" s="605"/>
      <c r="P26" s="610"/>
    </row>
    <row r="27" spans="1:16" ht="12.95" customHeight="1" x14ac:dyDescent="0.2">
      <c r="A27" s="571" t="s">
        <v>56</v>
      </c>
      <c r="B27" s="572" t="s">
        <v>23</v>
      </c>
      <c r="C27" s="573"/>
      <c r="D27" s="604"/>
      <c r="E27" s="611"/>
      <c r="F27" s="611"/>
      <c r="G27" s="605"/>
      <c r="H27" s="605"/>
      <c r="I27" s="606"/>
      <c r="J27" s="609"/>
      <c r="K27" s="605"/>
      <c r="L27" s="606"/>
      <c r="M27" s="609"/>
      <c r="N27" s="605"/>
      <c r="O27" s="605"/>
      <c r="P27" s="610"/>
    </row>
    <row r="28" spans="1:16" ht="12.95" customHeight="1" x14ac:dyDescent="0.2">
      <c r="A28" s="571" t="s">
        <v>57</v>
      </c>
      <c r="B28" s="572" t="s">
        <v>24</v>
      </c>
      <c r="C28" s="573"/>
      <c r="D28" s="604"/>
      <c r="E28" s="611"/>
      <c r="F28" s="611"/>
      <c r="G28" s="605"/>
      <c r="H28" s="605"/>
      <c r="I28" s="606"/>
      <c r="J28" s="609"/>
      <c r="K28" s="605"/>
      <c r="L28" s="606"/>
      <c r="M28" s="609"/>
      <c r="N28" s="605"/>
      <c r="O28" s="605"/>
      <c r="P28" s="610"/>
    </row>
    <row r="29" spans="1:16" ht="12.95" customHeight="1" x14ac:dyDescent="0.2">
      <c r="A29" s="571" t="s">
        <v>58</v>
      </c>
      <c r="B29" s="572" t="s">
        <v>25</v>
      </c>
      <c r="C29" s="573"/>
      <c r="D29" s="604"/>
      <c r="E29" s="611"/>
      <c r="F29" s="611"/>
      <c r="G29" s="605"/>
      <c r="H29" s="605"/>
      <c r="I29" s="606"/>
      <c r="J29" s="609"/>
      <c r="K29" s="605"/>
      <c r="L29" s="606"/>
      <c r="M29" s="609"/>
      <c r="N29" s="605"/>
      <c r="O29" s="605"/>
      <c r="P29" s="610"/>
    </row>
    <row r="30" spans="1:16" ht="12.95" customHeight="1" x14ac:dyDescent="0.2">
      <c r="A30" s="571" t="s">
        <v>59</v>
      </c>
      <c r="B30" s="572" t="s">
        <v>26</v>
      </c>
      <c r="C30" s="573"/>
      <c r="D30" s="604"/>
      <c r="E30" s="611"/>
      <c r="F30" s="611"/>
      <c r="G30" s="605"/>
      <c r="H30" s="605"/>
      <c r="I30" s="606"/>
      <c r="J30" s="609"/>
      <c r="K30" s="605"/>
      <c r="L30" s="606"/>
      <c r="M30" s="609"/>
      <c r="N30" s="605"/>
      <c r="O30" s="605"/>
      <c r="P30" s="610"/>
    </row>
    <row r="31" spans="1:16" ht="12.95" customHeight="1" x14ac:dyDescent="0.2">
      <c r="A31" s="571" t="s">
        <v>60</v>
      </c>
      <c r="B31" s="572" t="s">
        <v>27</v>
      </c>
      <c r="C31" s="573"/>
      <c r="D31" s="604"/>
      <c r="E31" s="611"/>
      <c r="F31" s="611"/>
      <c r="G31" s="605"/>
      <c r="H31" s="605"/>
      <c r="I31" s="606"/>
      <c r="J31" s="609"/>
      <c r="K31" s="605"/>
      <c r="L31" s="606"/>
      <c r="M31" s="609"/>
      <c r="N31" s="605"/>
      <c r="O31" s="605"/>
      <c r="P31" s="610"/>
    </row>
    <row r="32" spans="1:16" ht="12.95" customHeight="1" x14ac:dyDescent="0.2">
      <c r="A32" s="571" t="s">
        <v>61</v>
      </c>
      <c r="B32" s="572" t="s">
        <v>246</v>
      </c>
      <c r="C32" s="573"/>
      <c r="D32" s="604"/>
      <c r="E32" s="611"/>
      <c r="F32" s="611"/>
      <c r="G32" s="605"/>
      <c r="H32" s="605"/>
      <c r="I32" s="606"/>
      <c r="J32" s="609"/>
      <c r="K32" s="605"/>
      <c r="L32" s="606"/>
      <c r="M32" s="609"/>
      <c r="N32" s="605"/>
      <c r="O32" s="605"/>
      <c r="P32" s="610"/>
    </row>
    <row r="33" spans="1:16" ht="12.95" customHeight="1" x14ac:dyDescent="0.2">
      <c r="A33" s="571" t="s">
        <v>62</v>
      </c>
      <c r="B33" s="577" t="s">
        <v>332</v>
      </c>
      <c r="C33" s="573"/>
      <c r="D33" s="604"/>
      <c r="E33" s="611"/>
      <c r="F33" s="611"/>
      <c r="G33" s="605"/>
      <c r="H33" s="605"/>
      <c r="I33" s="606"/>
      <c r="J33" s="609"/>
      <c r="K33" s="605"/>
      <c r="L33" s="606"/>
      <c r="M33" s="609"/>
      <c r="N33" s="605"/>
      <c r="O33" s="605"/>
      <c r="P33" s="610"/>
    </row>
    <row r="34" spans="1:16" ht="12.95" customHeight="1" x14ac:dyDescent="0.2">
      <c r="A34" s="571" t="s">
        <v>63</v>
      </c>
      <c r="B34" s="572" t="s">
        <v>316</v>
      </c>
      <c r="C34" s="573"/>
      <c r="D34" s="604"/>
      <c r="E34" s="611"/>
      <c r="F34" s="611"/>
      <c r="G34" s="605"/>
      <c r="H34" s="605"/>
      <c r="I34" s="606"/>
      <c r="J34" s="609"/>
      <c r="K34" s="605"/>
      <c r="L34" s="606"/>
      <c r="M34" s="609"/>
      <c r="N34" s="605"/>
      <c r="O34" s="605"/>
      <c r="P34" s="610"/>
    </row>
    <row r="35" spans="1:16" ht="12.95" customHeight="1" x14ac:dyDescent="0.2">
      <c r="A35" s="571" t="s">
        <v>64</v>
      </c>
      <c r="B35" s="572" t="s">
        <v>317</v>
      </c>
      <c r="C35" s="573"/>
      <c r="D35" s="604"/>
      <c r="E35" s="611"/>
      <c r="F35" s="611">
        <v>103500</v>
      </c>
      <c r="G35" s="605"/>
      <c r="H35" s="605"/>
      <c r="I35" s="606"/>
      <c r="J35" s="609"/>
      <c r="K35" s="605"/>
      <c r="L35" s="606"/>
      <c r="M35" s="609"/>
      <c r="N35" s="605"/>
      <c r="O35" s="605"/>
      <c r="P35" s="610"/>
    </row>
    <row r="36" spans="1:16" ht="12.95" customHeight="1" x14ac:dyDescent="0.2">
      <c r="A36" s="571" t="s">
        <v>65</v>
      </c>
      <c r="B36" s="572" t="s">
        <v>28</v>
      </c>
      <c r="C36" s="573"/>
      <c r="D36" s="604"/>
      <c r="E36" s="611"/>
      <c r="F36" s="611"/>
      <c r="G36" s="605"/>
      <c r="H36" s="605"/>
      <c r="I36" s="606"/>
      <c r="J36" s="609"/>
      <c r="K36" s="605"/>
      <c r="L36" s="606"/>
      <c r="M36" s="609"/>
      <c r="N36" s="605"/>
      <c r="O36" s="605"/>
      <c r="P36" s="610"/>
    </row>
    <row r="37" spans="1:16" ht="12.95" customHeight="1" x14ac:dyDescent="0.2">
      <c r="A37" s="571" t="s">
        <v>66</v>
      </c>
      <c r="B37" s="572" t="s">
        <v>29</v>
      </c>
      <c r="C37" s="573"/>
      <c r="D37" s="604"/>
      <c r="E37" s="611"/>
      <c r="F37" s="611"/>
      <c r="G37" s="605"/>
      <c r="H37" s="605"/>
      <c r="I37" s="606"/>
      <c r="J37" s="609"/>
      <c r="K37" s="605"/>
      <c r="L37" s="606"/>
      <c r="M37" s="609"/>
      <c r="N37" s="605"/>
      <c r="O37" s="605"/>
      <c r="P37" s="610"/>
    </row>
    <row r="38" spans="1:16" ht="12.95" customHeight="1" x14ac:dyDescent="0.2">
      <c r="A38" s="571" t="s">
        <v>67</v>
      </c>
      <c r="B38" s="572" t="s">
        <v>30</v>
      </c>
      <c r="C38" s="573"/>
      <c r="D38" s="604"/>
      <c r="E38" s="611"/>
      <c r="F38" s="611"/>
      <c r="G38" s="605"/>
      <c r="H38" s="605"/>
      <c r="I38" s="606"/>
      <c r="J38" s="609"/>
      <c r="K38" s="605"/>
      <c r="L38" s="606"/>
      <c r="M38" s="609"/>
      <c r="N38" s="605"/>
      <c r="O38" s="605"/>
      <c r="P38" s="610"/>
    </row>
    <row r="39" spans="1:16" ht="12.95" customHeight="1" x14ac:dyDescent="0.2">
      <c r="A39" s="571" t="s">
        <v>68</v>
      </c>
      <c r="B39" s="572" t="s">
        <v>31</v>
      </c>
      <c r="C39" s="573"/>
      <c r="D39" s="604"/>
      <c r="E39" s="611"/>
      <c r="F39" s="611"/>
      <c r="G39" s="605"/>
      <c r="H39" s="605"/>
      <c r="I39" s="606"/>
      <c r="J39" s="609"/>
      <c r="K39" s="605"/>
      <c r="L39" s="606"/>
      <c r="M39" s="609"/>
      <c r="N39" s="605"/>
      <c r="O39" s="605"/>
      <c r="P39" s="610"/>
    </row>
    <row r="40" spans="1:16" ht="12.95" customHeight="1" x14ac:dyDescent="0.2">
      <c r="A40" s="571" t="s">
        <v>69</v>
      </c>
      <c r="B40" s="572" t="s">
        <v>32</v>
      </c>
      <c r="C40" s="573"/>
      <c r="D40" s="604"/>
      <c r="E40" s="611"/>
      <c r="F40" s="611"/>
      <c r="G40" s="605"/>
      <c r="H40" s="605"/>
      <c r="I40" s="606"/>
      <c r="J40" s="609"/>
      <c r="K40" s="605"/>
      <c r="L40" s="606"/>
      <c r="M40" s="609"/>
      <c r="N40" s="605"/>
      <c r="O40" s="605"/>
      <c r="P40" s="610"/>
    </row>
    <row r="41" spans="1:16" ht="12.95" customHeight="1" thickBot="1" x14ac:dyDescent="0.25">
      <c r="A41" s="571" t="s">
        <v>70</v>
      </c>
      <c r="B41" s="578" t="s">
        <v>247</v>
      </c>
      <c r="C41" s="579"/>
      <c r="D41" s="623"/>
      <c r="E41" s="624"/>
      <c r="F41" s="624"/>
      <c r="G41" s="625"/>
      <c r="H41" s="625"/>
      <c r="I41" s="626"/>
      <c r="J41" s="627"/>
      <c r="K41" s="625"/>
      <c r="L41" s="626"/>
      <c r="M41" s="627"/>
      <c r="N41" s="625"/>
      <c r="O41" s="625"/>
      <c r="P41" s="628"/>
    </row>
    <row r="42" spans="1:16" ht="12.95" customHeight="1" x14ac:dyDescent="0.2">
      <c r="A42" s="1007" t="s">
        <v>35</v>
      </c>
      <c r="B42" s="1009" t="s">
        <v>330</v>
      </c>
      <c r="C42" s="967" t="s">
        <v>186</v>
      </c>
      <c r="D42" s="976" t="s">
        <v>191</v>
      </c>
      <c r="E42" s="995" t="s">
        <v>167</v>
      </c>
      <c r="F42" s="996"/>
      <c r="G42" s="996"/>
      <c r="H42" s="996"/>
      <c r="I42" s="997"/>
      <c r="J42" s="1004" t="s">
        <v>4</v>
      </c>
      <c r="K42" s="1005"/>
      <c r="L42" s="1006"/>
      <c r="M42" s="972" t="s">
        <v>360</v>
      </c>
      <c r="N42" s="999"/>
      <c r="O42" s="999"/>
      <c r="P42" s="973"/>
    </row>
    <row r="43" spans="1:16" ht="27.75" customHeight="1" thickBot="1" x14ac:dyDescent="0.25">
      <c r="A43" s="1008"/>
      <c r="B43" s="1010"/>
      <c r="C43" s="968"/>
      <c r="D43" s="977"/>
      <c r="E43" s="580" t="s">
        <v>213</v>
      </c>
      <c r="F43" s="581" t="s">
        <v>164</v>
      </c>
      <c r="G43" s="582" t="s">
        <v>165</v>
      </c>
      <c r="H43" s="582" t="s">
        <v>214</v>
      </c>
      <c r="I43" s="583" t="s">
        <v>166</v>
      </c>
      <c r="J43" s="584" t="s">
        <v>215</v>
      </c>
      <c r="K43" s="582" t="s">
        <v>168</v>
      </c>
      <c r="L43" s="583" t="s">
        <v>169</v>
      </c>
      <c r="M43" s="584" t="s">
        <v>170</v>
      </c>
      <c r="N43" s="582" t="s">
        <v>171</v>
      </c>
      <c r="O43" s="582" t="s">
        <v>172</v>
      </c>
      <c r="P43" s="583" t="s">
        <v>173</v>
      </c>
    </row>
    <row r="44" spans="1:16" ht="12.95" customHeight="1" x14ac:dyDescent="0.2">
      <c r="A44" s="585" t="s">
        <v>71</v>
      </c>
      <c r="B44" s="586" t="s">
        <v>248</v>
      </c>
      <c r="C44" s="587"/>
      <c r="D44" s="629"/>
      <c r="E44" s="630"/>
      <c r="F44" s="603"/>
      <c r="G44" s="631"/>
      <c r="H44" s="631"/>
      <c r="I44" s="632"/>
      <c r="J44" s="633"/>
      <c r="K44" s="631"/>
      <c r="L44" s="632"/>
      <c r="M44" s="633"/>
      <c r="N44" s="631"/>
      <c r="O44" s="631"/>
      <c r="P44" s="632"/>
    </row>
    <row r="45" spans="1:16" ht="12.95" customHeight="1" x14ac:dyDescent="0.2">
      <c r="A45" s="571" t="s">
        <v>72</v>
      </c>
      <c r="B45" s="521" t="s">
        <v>249</v>
      </c>
      <c r="C45" s="588"/>
      <c r="D45" s="634"/>
      <c r="E45" s="635"/>
      <c r="F45" s="607"/>
      <c r="G45" s="636"/>
      <c r="H45" s="636"/>
      <c r="I45" s="637"/>
      <c r="J45" s="638"/>
      <c r="K45" s="636"/>
      <c r="L45" s="637"/>
      <c r="M45" s="638"/>
      <c r="N45" s="636"/>
      <c r="O45" s="636"/>
      <c r="P45" s="637"/>
    </row>
    <row r="46" spans="1:16" ht="12.95" customHeight="1" x14ac:dyDescent="0.2">
      <c r="A46" s="571" t="s">
        <v>73</v>
      </c>
      <c r="B46" s="522" t="s">
        <v>318</v>
      </c>
      <c r="C46" s="588"/>
      <c r="D46" s="634"/>
      <c r="E46" s="635"/>
      <c r="F46" s="607"/>
      <c r="G46" s="636"/>
      <c r="H46" s="636"/>
      <c r="I46" s="637"/>
      <c r="J46" s="638"/>
      <c r="K46" s="636"/>
      <c r="L46" s="637"/>
      <c r="M46" s="638"/>
      <c r="N46" s="636"/>
      <c r="O46" s="636"/>
      <c r="P46" s="637"/>
    </row>
    <row r="47" spans="1:16" ht="12.95" customHeight="1" x14ac:dyDescent="0.2">
      <c r="A47" s="571" t="s">
        <v>74</v>
      </c>
      <c r="B47" s="522" t="s">
        <v>319</v>
      </c>
      <c r="C47" s="588">
        <v>4</v>
      </c>
      <c r="D47" s="634"/>
      <c r="E47" s="635">
        <v>1280000</v>
      </c>
      <c r="F47" s="607"/>
      <c r="G47" s="636"/>
      <c r="H47" s="636"/>
      <c r="I47" s="637"/>
      <c r="J47" s="638"/>
      <c r="K47" s="636"/>
      <c r="L47" s="637"/>
      <c r="M47" s="638"/>
      <c r="N47" s="636"/>
      <c r="O47" s="636"/>
      <c r="P47" s="637"/>
    </row>
    <row r="48" spans="1:16" ht="12.95" customHeight="1" x14ac:dyDescent="0.2">
      <c r="A48" s="571" t="s">
        <v>75</v>
      </c>
      <c r="B48" s="522" t="s">
        <v>320</v>
      </c>
      <c r="C48" s="589">
        <v>0</v>
      </c>
      <c r="D48" s="639"/>
      <c r="E48" s="635">
        <v>1220000</v>
      </c>
      <c r="F48" s="607"/>
      <c r="G48" s="636"/>
      <c r="H48" s="636"/>
      <c r="I48" s="637"/>
      <c r="J48" s="638"/>
      <c r="K48" s="636"/>
      <c r="L48" s="637"/>
      <c r="M48" s="638"/>
      <c r="N48" s="636"/>
      <c r="O48" s="636"/>
      <c r="P48" s="637"/>
    </row>
    <row r="49" spans="1:16" ht="12.95" customHeight="1" x14ac:dyDescent="0.2">
      <c r="A49" s="571" t="s">
        <v>76</v>
      </c>
      <c r="B49" s="522" t="s">
        <v>250</v>
      </c>
      <c r="C49" s="588"/>
      <c r="D49" s="634"/>
      <c r="E49" s="635"/>
      <c r="F49" s="607"/>
      <c r="G49" s="636"/>
      <c r="H49" s="636"/>
      <c r="I49" s="637"/>
      <c r="J49" s="638"/>
      <c r="K49" s="636"/>
      <c r="L49" s="637"/>
      <c r="M49" s="638"/>
      <c r="N49" s="636"/>
      <c r="O49" s="636"/>
      <c r="P49" s="637"/>
    </row>
    <row r="50" spans="1:16" ht="12.95" customHeight="1" x14ac:dyDescent="0.2">
      <c r="A50" s="571" t="s">
        <v>77</v>
      </c>
      <c r="B50" s="522" t="s">
        <v>251</v>
      </c>
      <c r="C50" s="588"/>
      <c r="D50" s="634"/>
      <c r="E50" s="635"/>
      <c r="F50" s="607"/>
      <c r="G50" s="636"/>
      <c r="H50" s="636"/>
      <c r="I50" s="637"/>
      <c r="J50" s="638"/>
      <c r="K50" s="636"/>
      <c r="L50" s="637"/>
      <c r="M50" s="638"/>
      <c r="N50" s="636"/>
      <c r="O50" s="636"/>
      <c r="P50" s="637"/>
    </row>
    <row r="51" spans="1:16" ht="12.95" customHeight="1" x14ac:dyDescent="0.2">
      <c r="A51" s="571" t="s">
        <v>78</v>
      </c>
      <c r="B51" s="522" t="s">
        <v>252</v>
      </c>
      <c r="C51" s="589"/>
      <c r="D51" s="639"/>
      <c r="E51" s="640"/>
      <c r="F51" s="607"/>
      <c r="G51" s="636"/>
      <c r="H51" s="636"/>
      <c r="I51" s="637"/>
      <c r="J51" s="638"/>
      <c r="K51" s="636"/>
      <c r="L51" s="637"/>
      <c r="M51" s="638"/>
      <c r="N51" s="636"/>
      <c r="O51" s="636"/>
      <c r="P51" s="637"/>
    </row>
    <row r="52" spans="1:16" ht="12.95" customHeight="1" x14ac:dyDescent="0.2">
      <c r="A52" s="571" t="s">
        <v>79</v>
      </c>
      <c r="B52" s="522" t="s">
        <v>253</v>
      </c>
      <c r="C52" s="589"/>
      <c r="D52" s="639"/>
      <c r="E52" s="641"/>
      <c r="F52" s="639"/>
      <c r="G52" s="636"/>
      <c r="H52" s="636"/>
      <c r="I52" s="637"/>
      <c r="J52" s="638"/>
      <c r="K52" s="636"/>
      <c r="L52" s="637"/>
      <c r="M52" s="638"/>
      <c r="N52" s="636"/>
      <c r="O52" s="636"/>
      <c r="P52" s="637"/>
    </row>
    <row r="53" spans="1:16" ht="12.95" customHeight="1" x14ac:dyDescent="0.2">
      <c r="A53" s="571" t="s">
        <v>80</v>
      </c>
      <c r="B53" s="521" t="s">
        <v>34</v>
      </c>
      <c r="C53" s="588"/>
      <c r="D53" s="634"/>
      <c r="E53" s="635"/>
      <c r="F53" s="607"/>
      <c r="G53" s="636"/>
      <c r="H53" s="636"/>
      <c r="I53" s="637"/>
      <c r="J53" s="638"/>
      <c r="K53" s="636"/>
      <c r="L53" s="637"/>
      <c r="M53" s="638"/>
      <c r="N53" s="636"/>
      <c r="O53" s="636"/>
      <c r="P53" s="637"/>
    </row>
    <row r="54" spans="1:16" ht="12.95" customHeight="1" x14ac:dyDescent="0.2">
      <c r="A54" s="571"/>
      <c r="B54" s="590" t="s">
        <v>254</v>
      </c>
      <c r="C54" s="589"/>
      <c r="D54" s="639"/>
      <c r="E54" s="635"/>
      <c r="F54" s="607"/>
      <c r="G54" s="636"/>
      <c r="H54" s="636"/>
      <c r="I54" s="637"/>
      <c r="J54" s="638"/>
      <c r="K54" s="636"/>
      <c r="L54" s="637"/>
      <c r="M54" s="638"/>
      <c r="N54" s="636"/>
      <c r="O54" s="636"/>
      <c r="P54" s="637"/>
    </row>
    <row r="55" spans="1:16" ht="12.95" customHeight="1" x14ac:dyDescent="0.2">
      <c r="A55" s="571" t="s">
        <v>15</v>
      </c>
      <c r="B55" s="523" t="s">
        <v>321</v>
      </c>
      <c r="C55" s="589"/>
      <c r="D55" s="639"/>
      <c r="E55" s="641"/>
      <c r="F55" s="607"/>
      <c r="G55" s="636"/>
      <c r="H55" s="636"/>
      <c r="I55" s="637"/>
      <c r="J55" s="638"/>
      <c r="K55" s="636"/>
      <c r="L55" s="637"/>
      <c r="M55" s="638"/>
      <c r="N55" s="636"/>
      <c r="O55" s="636"/>
      <c r="P55" s="637"/>
    </row>
    <row r="56" spans="1:16" ht="12.95" customHeight="1" x14ac:dyDescent="0.2">
      <c r="A56" s="571" t="s">
        <v>37</v>
      </c>
      <c r="B56" s="521" t="s">
        <v>314</v>
      </c>
      <c r="C56" s="589"/>
      <c r="D56" s="639"/>
      <c r="E56" s="642"/>
      <c r="F56" s="636"/>
      <c r="G56" s="636"/>
      <c r="H56" s="636"/>
      <c r="I56" s="637"/>
      <c r="J56" s="638"/>
      <c r="K56" s="636"/>
      <c r="L56" s="637"/>
      <c r="M56" s="638"/>
      <c r="N56" s="636"/>
      <c r="O56" s="636"/>
      <c r="P56" s="637"/>
    </row>
    <row r="57" spans="1:16" ht="12.95" customHeight="1" x14ac:dyDescent="0.2">
      <c r="A57" s="571" t="s">
        <v>38</v>
      </c>
      <c r="B57" s="521" t="s">
        <v>326</v>
      </c>
      <c r="C57" s="588"/>
      <c r="D57" s="634"/>
      <c r="E57" s="642"/>
      <c r="F57" s="636"/>
      <c r="G57" s="636"/>
      <c r="H57" s="636"/>
      <c r="I57" s="637"/>
      <c r="J57" s="638"/>
      <c r="K57" s="636"/>
      <c r="L57" s="637"/>
      <c r="M57" s="638"/>
      <c r="N57" s="636"/>
      <c r="O57" s="636"/>
      <c r="P57" s="637"/>
    </row>
    <row r="58" spans="1:16" ht="12.95" customHeight="1" x14ac:dyDescent="0.2">
      <c r="A58" s="571" t="s">
        <v>39</v>
      </c>
      <c r="B58" s="523" t="s">
        <v>255</v>
      </c>
      <c r="C58" s="588"/>
      <c r="D58" s="634"/>
      <c r="E58" s="642"/>
      <c r="F58" s="636"/>
      <c r="G58" s="636"/>
      <c r="H58" s="636"/>
      <c r="I58" s="637"/>
      <c r="J58" s="638"/>
      <c r="K58" s="636"/>
      <c r="L58" s="637"/>
      <c r="M58" s="638"/>
      <c r="N58" s="636"/>
      <c r="O58" s="636"/>
      <c r="P58" s="637"/>
    </row>
    <row r="59" spans="1:16" x14ac:dyDescent="0.2">
      <c r="A59" s="571" t="s">
        <v>40</v>
      </c>
      <c r="B59" s="521" t="s">
        <v>322</v>
      </c>
      <c r="C59" s="588"/>
      <c r="D59" s="634"/>
      <c r="E59" s="642"/>
      <c r="F59" s="643"/>
      <c r="G59" s="636"/>
      <c r="H59" s="636"/>
      <c r="I59" s="637"/>
      <c r="J59" s="638"/>
      <c r="K59" s="636"/>
      <c r="L59" s="637"/>
      <c r="M59" s="638"/>
      <c r="N59" s="636"/>
      <c r="O59" s="636"/>
      <c r="P59" s="637"/>
    </row>
    <row r="60" spans="1:16" ht="25.5" x14ac:dyDescent="0.2">
      <c r="A60" s="571" t="s">
        <v>41</v>
      </c>
      <c r="B60" s="523" t="s">
        <v>307</v>
      </c>
      <c r="C60" s="588">
        <v>13</v>
      </c>
      <c r="D60" s="681">
        <f>'Hiv.bev.'!F9</f>
        <v>72398400</v>
      </c>
      <c r="E60" s="644"/>
      <c r="F60" s="683">
        <f>'Hiv.bev.'!F24</f>
        <v>1169073</v>
      </c>
      <c r="G60" s="645"/>
      <c r="H60" s="683">
        <f>'Hiv.bev.'!F18+'Hiv.bev.'!F19</f>
        <v>55659</v>
      </c>
      <c r="I60" s="682">
        <f>'Hiv.bev.'!F17</f>
        <v>3500000</v>
      </c>
      <c r="J60" s="647"/>
      <c r="K60" s="645"/>
      <c r="L60" s="646"/>
      <c r="M60" s="647"/>
      <c r="N60" s="645"/>
      <c r="O60" s="645"/>
      <c r="P60" s="682">
        <f>'Hiv.bev.'!F8</f>
        <v>816868</v>
      </c>
    </row>
    <row r="61" spans="1:16" x14ac:dyDescent="0.2">
      <c r="A61" s="571" t="s">
        <v>42</v>
      </c>
      <c r="B61" s="521" t="s">
        <v>323</v>
      </c>
      <c r="C61" s="588"/>
      <c r="D61" s="634"/>
      <c r="E61" s="642"/>
      <c r="F61" s="636"/>
      <c r="G61" s="636"/>
      <c r="H61" s="636"/>
      <c r="I61" s="637"/>
      <c r="J61" s="638"/>
      <c r="K61" s="636"/>
      <c r="L61" s="637"/>
      <c r="M61" s="638"/>
      <c r="N61" s="636"/>
      <c r="O61" s="636"/>
      <c r="P61" s="637"/>
    </row>
    <row r="62" spans="1:16" x14ac:dyDescent="0.2">
      <c r="A62" s="571"/>
      <c r="B62" s="590" t="s">
        <v>256</v>
      </c>
      <c r="C62" s="588"/>
      <c r="D62" s="634"/>
      <c r="E62" s="642"/>
      <c r="F62" s="636"/>
      <c r="G62" s="636"/>
      <c r="H62" s="636"/>
      <c r="I62" s="637"/>
      <c r="J62" s="638"/>
      <c r="K62" s="636"/>
      <c r="L62" s="637"/>
      <c r="M62" s="638"/>
      <c r="N62" s="636"/>
      <c r="O62" s="636"/>
      <c r="P62" s="637"/>
    </row>
    <row r="63" spans="1:16" x14ac:dyDescent="0.2">
      <c r="A63" s="571" t="s">
        <v>88</v>
      </c>
      <c r="B63" s="521" t="s">
        <v>257</v>
      </c>
      <c r="C63" s="588"/>
      <c r="D63" s="634"/>
      <c r="E63" s="642"/>
      <c r="F63" s="636"/>
      <c r="G63" s="636"/>
      <c r="H63" s="636"/>
      <c r="I63" s="637"/>
      <c r="J63" s="638"/>
      <c r="K63" s="636"/>
      <c r="L63" s="637"/>
      <c r="M63" s="638"/>
      <c r="N63" s="636"/>
      <c r="O63" s="636"/>
      <c r="P63" s="637"/>
    </row>
    <row r="64" spans="1:16" x14ac:dyDescent="0.2">
      <c r="A64" s="571" t="s">
        <v>37</v>
      </c>
      <c r="B64" s="521" t="s">
        <v>258</v>
      </c>
      <c r="C64" s="588"/>
      <c r="D64" s="634"/>
      <c r="E64" s="642"/>
      <c r="F64" s="636"/>
      <c r="G64" s="636"/>
      <c r="H64" s="636"/>
      <c r="I64" s="637"/>
      <c r="J64" s="638"/>
      <c r="K64" s="636"/>
      <c r="L64" s="637"/>
      <c r="M64" s="638"/>
      <c r="N64" s="636"/>
      <c r="O64" s="636"/>
      <c r="P64" s="637"/>
    </row>
    <row r="65" spans="1:16" x14ac:dyDescent="0.2">
      <c r="A65" s="571" t="s">
        <v>333</v>
      </c>
      <c r="B65" s="521" t="s">
        <v>33</v>
      </c>
      <c r="C65" s="588"/>
      <c r="D65" s="634"/>
      <c r="E65" s="642"/>
      <c r="F65" s="636"/>
      <c r="G65" s="636"/>
      <c r="H65" s="636"/>
      <c r="I65" s="637"/>
      <c r="J65" s="638"/>
      <c r="K65" s="636"/>
      <c r="L65" s="637"/>
      <c r="M65" s="638"/>
      <c r="N65" s="636"/>
      <c r="O65" s="636"/>
      <c r="P65" s="637"/>
    </row>
    <row r="66" spans="1:16" x14ac:dyDescent="0.2">
      <c r="A66" s="571" t="s">
        <v>334</v>
      </c>
      <c r="B66" s="521" t="s">
        <v>331</v>
      </c>
      <c r="C66" s="588">
        <v>2</v>
      </c>
      <c r="D66" s="604">
        <f>'Művh.bev.'!F10</f>
        <v>13566400</v>
      </c>
      <c r="E66" s="642"/>
      <c r="F66" s="636"/>
      <c r="G66" s="636"/>
      <c r="H66" s="643">
        <f>'Művh.bev.'!F19</f>
        <v>98911</v>
      </c>
      <c r="I66" s="637"/>
      <c r="J66" s="638"/>
      <c r="K66" s="636"/>
      <c r="L66" s="637"/>
      <c r="M66" s="638"/>
      <c r="N66" s="636"/>
      <c r="O66" s="636"/>
      <c r="P66" s="669">
        <f>'Művh.bev.'!F9</f>
        <v>103089</v>
      </c>
    </row>
    <row r="67" spans="1:16" x14ac:dyDescent="0.2">
      <c r="A67" s="571"/>
      <c r="B67" s="590" t="s">
        <v>261</v>
      </c>
      <c r="C67" s="588"/>
      <c r="D67" s="634"/>
      <c r="E67" s="642"/>
      <c r="F67" s="636"/>
      <c r="G67" s="636"/>
      <c r="H67" s="636"/>
      <c r="I67" s="637"/>
      <c r="J67" s="638"/>
      <c r="K67" s="636"/>
      <c r="L67" s="637"/>
      <c r="M67" s="638"/>
      <c r="N67" s="636"/>
      <c r="O67" s="636"/>
      <c r="P67" s="637"/>
    </row>
    <row r="68" spans="1:16" x14ac:dyDescent="0.2">
      <c r="A68" s="571" t="s">
        <v>15</v>
      </c>
      <c r="B68" s="521" t="s">
        <v>327</v>
      </c>
      <c r="C68" s="588">
        <v>6</v>
      </c>
      <c r="D68" s="604">
        <f>Ovibev.!F10</f>
        <v>63412301</v>
      </c>
      <c r="E68" s="642"/>
      <c r="F68" s="636"/>
      <c r="G68" s="636"/>
      <c r="H68" s="636"/>
      <c r="I68" s="637"/>
      <c r="J68" s="638"/>
      <c r="K68" s="636"/>
      <c r="L68" s="637"/>
      <c r="M68" s="638"/>
      <c r="N68" s="636"/>
      <c r="O68" s="636"/>
      <c r="P68" s="669">
        <f>Ovibev.!F9</f>
        <v>298687</v>
      </c>
    </row>
    <row r="69" spans="1:16" x14ac:dyDescent="0.2">
      <c r="A69" s="571" t="s">
        <v>37</v>
      </c>
      <c r="B69" s="521" t="s">
        <v>311</v>
      </c>
      <c r="C69" s="588"/>
      <c r="D69" s="634"/>
      <c r="E69" s="642"/>
      <c r="F69" s="636"/>
      <c r="G69" s="636"/>
      <c r="H69" s="643">
        <f>Ovibev.!F20</f>
        <v>1398012</v>
      </c>
      <c r="I69" s="637"/>
      <c r="J69" s="638"/>
      <c r="K69" s="636"/>
      <c r="L69" s="637"/>
      <c r="M69" s="638"/>
      <c r="N69" s="636"/>
      <c r="O69" s="636"/>
      <c r="P69" s="637"/>
    </row>
    <row r="70" spans="1:16" x14ac:dyDescent="0.2">
      <c r="A70" s="571" t="s">
        <v>38</v>
      </c>
      <c r="B70" s="521" t="s">
        <v>262</v>
      </c>
      <c r="C70" s="591"/>
      <c r="D70" s="648"/>
      <c r="E70" s="649"/>
      <c r="F70" s="650"/>
      <c r="G70" s="650"/>
      <c r="H70" s="650"/>
      <c r="I70" s="651"/>
      <c r="J70" s="652"/>
      <c r="K70" s="650"/>
      <c r="L70" s="651"/>
      <c r="M70" s="652"/>
      <c r="N70" s="650"/>
      <c r="O70" s="650"/>
      <c r="P70" s="651"/>
    </row>
    <row r="71" spans="1:16" x14ac:dyDescent="0.2">
      <c r="A71" s="571" t="s">
        <v>39</v>
      </c>
      <c r="B71" s="521" t="s">
        <v>328</v>
      </c>
      <c r="C71" s="591">
        <v>3</v>
      </c>
      <c r="D71" s="648"/>
      <c r="E71" s="649"/>
      <c r="F71" s="650"/>
      <c r="G71" s="650"/>
      <c r="H71" s="650"/>
      <c r="I71" s="651"/>
      <c r="J71" s="652"/>
      <c r="K71" s="650"/>
      <c r="L71" s="651"/>
      <c r="M71" s="652"/>
      <c r="N71" s="650"/>
      <c r="O71" s="650"/>
      <c r="P71" s="651"/>
    </row>
    <row r="72" spans="1:16" x14ac:dyDescent="0.2">
      <c r="A72" s="571" t="s">
        <v>40</v>
      </c>
      <c r="B72" s="521" t="s">
        <v>17</v>
      </c>
      <c r="C72" s="591">
        <v>1</v>
      </c>
      <c r="D72" s="648"/>
      <c r="E72" s="649"/>
      <c r="F72" s="650"/>
      <c r="G72" s="650"/>
      <c r="H72" s="650"/>
      <c r="I72" s="651"/>
      <c r="J72" s="652"/>
      <c r="K72" s="650"/>
      <c r="L72" s="651"/>
      <c r="M72" s="652"/>
      <c r="N72" s="650"/>
      <c r="O72" s="650"/>
      <c r="P72" s="651"/>
    </row>
    <row r="73" spans="1:16" ht="13.5" thickBot="1" x14ac:dyDescent="0.25">
      <c r="A73" s="600" t="s">
        <v>41</v>
      </c>
      <c r="B73" s="601" t="s">
        <v>363</v>
      </c>
      <c r="C73" s="591">
        <v>4</v>
      </c>
      <c r="D73" s="648"/>
      <c r="E73" s="649"/>
      <c r="F73" s="650"/>
      <c r="G73" s="650"/>
      <c r="H73" s="650"/>
      <c r="I73" s="651"/>
      <c r="J73" s="652"/>
      <c r="K73" s="650"/>
      <c r="L73" s="651"/>
      <c r="M73" s="652"/>
      <c r="N73" s="650"/>
      <c r="O73" s="650"/>
      <c r="P73" s="651"/>
    </row>
    <row r="74" spans="1:16" ht="13.5" thickBot="1" x14ac:dyDescent="0.25">
      <c r="A74" s="989" t="s">
        <v>83</v>
      </c>
      <c r="B74" s="990"/>
      <c r="C74" s="602">
        <f>C7+C8+C9+C10+C11+C12+C13+C14+C15+C16+C17+C18+C19+C20+C21+C22+C23+C24+C25+C26+C27+C28+C29+C30+C31+C32+C33+C34+C35+C36+C37+C38+C39+C40+C41+C44+C45+C46+C47+C48+C49+C50+C51+C52+C53+C55+C56+C57+C58+C59+C60+C61+C63+C64+C65+C66+C68+C69+C70+C71+C73+C72</f>
        <v>38</v>
      </c>
      <c r="D74" s="653">
        <f>SUM(D7:D41)+SUM(D44:D73)</f>
        <v>149377101</v>
      </c>
      <c r="E74" s="653">
        <f t="shared" ref="E74:P74" si="0">SUM(E7:E41)+SUM(E44:E73)</f>
        <v>159873026</v>
      </c>
      <c r="F74" s="653">
        <f t="shared" si="0"/>
        <v>13403906</v>
      </c>
      <c r="G74" s="653">
        <f t="shared" si="0"/>
        <v>79500000</v>
      </c>
      <c r="H74" s="653">
        <f t="shared" si="0"/>
        <v>68556714</v>
      </c>
      <c r="I74" s="653">
        <f t="shared" si="0"/>
        <v>9680000</v>
      </c>
      <c r="J74" s="653">
        <f t="shared" si="0"/>
        <v>53827200</v>
      </c>
      <c r="K74" s="653">
        <f t="shared" si="0"/>
        <v>0</v>
      </c>
      <c r="L74" s="653">
        <f t="shared" si="0"/>
        <v>497000</v>
      </c>
      <c r="M74" s="653">
        <f t="shared" si="0"/>
        <v>0</v>
      </c>
      <c r="N74" s="653">
        <f t="shared" si="0"/>
        <v>0</v>
      </c>
      <c r="O74" s="653">
        <f t="shared" si="0"/>
        <v>0</v>
      </c>
      <c r="P74" s="653">
        <f t="shared" si="0"/>
        <v>114465797</v>
      </c>
    </row>
    <row r="75" spans="1:16" ht="18.75" customHeight="1" thickBot="1" x14ac:dyDescent="0.25">
      <c r="A75" s="1011" t="s">
        <v>174</v>
      </c>
      <c r="B75" s="1012"/>
      <c r="C75" s="593"/>
      <c r="D75" s="978">
        <f>E74+F74+G74+H74+I74+J74+K74+L74+M74+N74+O74+P74+D74</f>
        <v>649180744</v>
      </c>
      <c r="E75" s="978"/>
      <c r="F75" s="978"/>
      <c r="G75" s="978"/>
      <c r="H75" s="978"/>
      <c r="I75" s="978"/>
      <c r="J75" s="978"/>
      <c r="K75" s="978"/>
      <c r="L75" s="978"/>
      <c r="M75" s="978"/>
      <c r="N75" s="978"/>
      <c r="O75" s="978"/>
      <c r="P75" s="979"/>
    </row>
    <row r="76" spans="1:16" ht="15" customHeight="1" thickBot="1" x14ac:dyDescent="0.25">
      <c r="A76" s="1026" t="s">
        <v>189</v>
      </c>
      <c r="B76" s="1027"/>
      <c r="C76" s="594"/>
      <c r="D76" s="980">
        <f>-D74</f>
        <v>-149377101</v>
      </c>
      <c r="E76" s="981"/>
      <c r="F76" s="981"/>
      <c r="G76" s="981"/>
      <c r="H76" s="981"/>
      <c r="I76" s="981"/>
      <c r="J76" s="981"/>
      <c r="K76" s="981"/>
      <c r="L76" s="981"/>
      <c r="M76" s="981"/>
      <c r="N76" s="981"/>
      <c r="O76" s="981"/>
      <c r="P76" s="982"/>
    </row>
    <row r="77" spans="1:16" ht="13.5" thickBot="1" x14ac:dyDescent="0.25">
      <c r="A77" s="1028" t="s">
        <v>190</v>
      </c>
      <c r="B77" s="1029"/>
      <c r="C77" s="70"/>
      <c r="D77" s="978">
        <f>SUM(D75:D76)</f>
        <v>499803643</v>
      </c>
      <c r="E77" s="983"/>
      <c r="F77" s="983"/>
      <c r="G77" s="983"/>
      <c r="H77" s="983"/>
      <c r="I77" s="983"/>
      <c r="J77" s="983"/>
      <c r="K77" s="983"/>
      <c r="L77" s="983"/>
      <c r="M77" s="983"/>
      <c r="N77" s="983"/>
      <c r="O77" s="983"/>
      <c r="P77" s="984"/>
    </row>
    <row r="78" spans="1:16" x14ac:dyDescent="0.2">
      <c r="A78" s="71"/>
      <c r="B78" s="71"/>
    </row>
    <row r="79" spans="1:16" x14ac:dyDescent="0.2">
      <c r="A79" s="71"/>
      <c r="B79" s="71"/>
    </row>
    <row r="80" spans="1:16" x14ac:dyDescent="0.2">
      <c r="A80" s="71"/>
      <c r="B80" s="71"/>
    </row>
    <row r="81" spans="1:16" x14ac:dyDescent="0.2">
      <c r="A81" s="71"/>
      <c r="B81" s="71"/>
    </row>
    <row r="82" spans="1:16" x14ac:dyDescent="0.2">
      <c r="A82" s="71"/>
      <c r="B82" s="71"/>
    </row>
    <row r="83" spans="1:16" ht="13.5" thickBot="1" x14ac:dyDescent="0.25">
      <c r="A83" s="71"/>
      <c r="B83" s="71"/>
    </row>
    <row r="84" spans="1:16" ht="12.75" customHeight="1" x14ac:dyDescent="0.2">
      <c r="A84" s="955" t="s">
        <v>35</v>
      </c>
      <c r="B84" s="1032" t="s">
        <v>330</v>
      </c>
      <c r="C84" s="967" t="s">
        <v>186</v>
      </c>
      <c r="D84" s="965" t="s">
        <v>191</v>
      </c>
      <c r="E84" s="1016" t="s">
        <v>184</v>
      </c>
      <c r="F84" s="1016"/>
      <c r="G84" s="1016"/>
      <c r="H84" s="1016"/>
      <c r="I84" s="1016"/>
      <c r="J84" s="1017"/>
      <c r="K84" s="1018" t="s">
        <v>183</v>
      </c>
      <c r="L84" s="1019"/>
      <c r="M84" s="1019"/>
      <c r="N84" s="1020"/>
      <c r="O84" s="1021" t="s">
        <v>360</v>
      </c>
      <c r="P84" s="1022"/>
    </row>
    <row r="85" spans="1:16" ht="23.25" thickBot="1" x14ac:dyDescent="0.25">
      <c r="A85" s="956"/>
      <c r="B85" s="1033"/>
      <c r="C85" s="968"/>
      <c r="D85" s="966"/>
      <c r="E85" s="580" t="s">
        <v>175</v>
      </c>
      <c r="F85" s="581" t="s">
        <v>176</v>
      </c>
      <c r="G85" s="582" t="s">
        <v>177</v>
      </c>
      <c r="H85" s="582" t="s">
        <v>178</v>
      </c>
      <c r="I85" s="582" t="s">
        <v>179</v>
      </c>
      <c r="J85" s="583" t="s">
        <v>217</v>
      </c>
      <c r="K85" s="584" t="s">
        <v>180</v>
      </c>
      <c r="L85" s="582" t="s">
        <v>181</v>
      </c>
      <c r="M85" s="582" t="s">
        <v>182</v>
      </c>
      <c r="N85" s="583" t="s">
        <v>179</v>
      </c>
      <c r="O85" s="584" t="s">
        <v>216</v>
      </c>
      <c r="P85" s="583" t="s">
        <v>185</v>
      </c>
    </row>
    <row r="86" spans="1:16" ht="15.75" customHeight="1" x14ac:dyDescent="0.2">
      <c r="A86" s="1030" t="s">
        <v>36</v>
      </c>
      <c r="B86" s="1031"/>
      <c r="C86" s="68"/>
      <c r="D86" s="678"/>
      <c r="E86" s="679"/>
      <c r="F86" s="616"/>
      <c r="G86" s="617"/>
      <c r="H86" s="617"/>
      <c r="I86" s="617"/>
      <c r="J86" s="621"/>
      <c r="K86" s="620"/>
      <c r="L86" s="617"/>
      <c r="M86" s="617"/>
      <c r="N86" s="621"/>
      <c r="O86" s="620"/>
      <c r="P86" s="621"/>
    </row>
    <row r="87" spans="1:16" x14ac:dyDescent="0.2">
      <c r="A87" s="595" t="s">
        <v>15</v>
      </c>
      <c r="B87" s="572" t="s">
        <v>726</v>
      </c>
      <c r="C87" s="596"/>
      <c r="D87" s="666"/>
      <c r="E87" s="654"/>
      <c r="F87" s="611"/>
      <c r="G87" s="605"/>
      <c r="H87" s="605"/>
      <c r="I87" s="605"/>
      <c r="J87" s="610"/>
      <c r="K87" s="609">
        <f>'Önk.kiad.'!F135</f>
        <v>13740139</v>
      </c>
      <c r="L87" s="605"/>
      <c r="M87" s="605"/>
      <c r="N87" s="610"/>
      <c r="O87" s="609"/>
      <c r="P87" s="610"/>
    </row>
    <row r="88" spans="1:16" x14ac:dyDescent="0.2">
      <c r="A88" s="595" t="s">
        <v>37</v>
      </c>
      <c r="B88" s="574" t="s">
        <v>16</v>
      </c>
      <c r="C88" s="596"/>
      <c r="D88" s="666"/>
      <c r="E88" s="654"/>
      <c r="F88" s="611"/>
      <c r="G88" s="605">
        <f>'Önk.kiad.'!F120+'Önk.kiad.'!F121+'Önk.kiad.'!F122+'Önk.kiad.'!F124</f>
        <v>3285000</v>
      </c>
      <c r="H88" s="605"/>
      <c r="I88" s="605"/>
      <c r="J88" s="610"/>
      <c r="K88" s="609">
        <f>'Önk.kiad.'!F125+'Önk.kiad.'!F126</f>
        <v>46900000</v>
      </c>
      <c r="L88" s="605"/>
      <c r="M88" s="605"/>
      <c r="N88" s="610"/>
      <c r="O88" s="609"/>
      <c r="P88" s="610"/>
    </row>
    <row r="89" spans="1:16" ht="18" customHeight="1" x14ac:dyDescent="0.2">
      <c r="A89" s="595" t="s">
        <v>38</v>
      </c>
      <c r="B89" s="575" t="s">
        <v>329</v>
      </c>
      <c r="C89" s="596"/>
      <c r="D89" s="666"/>
      <c r="E89" s="654"/>
      <c r="F89" s="611"/>
      <c r="G89" s="605">
        <f>'Önk.kiad.'!F76</f>
        <v>2540000</v>
      </c>
      <c r="H89" s="605"/>
      <c r="I89" s="605"/>
      <c r="J89" s="610"/>
      <c r="K89" s="609"/>
      <c r="L89" s="605"/>
      <c r="M89" s="605"/>
      <c r="N89" s="610"/>
      <c r="O89" s="609"/>
      <c r="P89" s="610"/>
    </row>
    <row r="90" spans="1:16" ht="25.5" x14ac:dyDescent="0.2">
      <c r="A90" s="595" t="s">
        <v>39</v>
      </c>
      <c r="B90" s="575" t="s">
        <v>307</v>
      </c>
      <c r="C90" s="597">
        <v>1</v>
      </c>
      <c r="D90" s="670"/>
      <c r="E90" s="654">
        <f>'Önk.kiad.'!F10+'Önk.kiad.'!F14+'Önk.kiad.'!F15+'Önk.kiad.'!F16</f>
        <v>19542450</v>
      </c>
      <c r="F90" s="611">
        <f>'Önk.kiad.'!F17</f>
        <v>3750000</v>
      </c>
      <c r="G90" s="605">
        <f>'Önk.kiad.'!F19+'Önk.kiad.'!F20+'Önk.kiad.'!F21+'Önk.kiad.'!F22+'Önk.kiad.'!F23+'Önk.kiad.'!F24+'Önk.kiad.'!F25+'Önk.kiad.'!F26+'Önk.kiad.'!F27+'Önk.kiad.'!F28+'Önk.kiad.'!F29+'Önk.kiad.'!F30+'Önk.kiad.'!F32+'Önk.kiad.'!F33+'Önk.kiad.'!F34+'Önk.kiad.'!F35</f>
        <v>27802832</v>
      </c>
      <c r="H90" s="605"/>
      <c r="I90" s="605"/>
      <c r="J90" s="610"/>
      <c r="K90" s="609"/>
      <c r="L90" s="605">
        <f>'Önk.kiad.'!F43+'Önk.kiad.'!F44+'Önk.kiad.'!F45+'Önk.kiad.'!F46</f>
        <v>3755500</v>
      </c>
      <c r="M90" s="605"/>
      <c r="N90" s="610"/>
      <c r="O90" s="609"/>
      <c r="P90" s="610">
        <f>'Önk.kiad.'!F40+'Önk.kiad.'!F41</f>
        <v>29188560</v>
      </c>
    </row>
    <row r="91" spans="1:16" x14ac:dyDescent="0.2">
      <c r="A91" s="595" t="s">
        <v>40</v>
      </c>
      <c r="B91" s="572" t="s">
        <v>308</v>
      </c>
      <c r="C91" s="597"/>
      <c r="D91" s="670"/>
      <c r="E91" s="654"/>
      <c r="F91" s="611"/>
      <c r="G91" s="605">
        <f>'Önk.kiad.'!F86</f>
        <v>2100000</v>
      </c>
      <c r="H91" s="605"/>
      <c r="I91" s="605"/>
      <c r="J91" s="610"/>
      <c r="K91" s="609"/>
      <c r="L91" s="605"/>
      <c r="M91" s="605"/>
      <c r="N91" s="610"/>
      <c r="O91" s="609"/>
      <c r="P91" s="610"/>
    </row>
    <row r="92" spans="1:16" x14ac:dyDescent="0.2">
      <c r="A92" s="595" t="s">
        <v>41</v>
      </c>
      <c r="B92" s="574" t="s">
        <v>19</v>
      </c>
      <c r="C92" s="597"/>
      <c r="D92" s="670"/>
      <c r="E92" s="654"/>
      <c r="F92" s="611"/>
      <c r="G92" s="605">
        <f>'Önk.kiad.'!F143</f>
        <v>5066147</v>
      </c>
      <c r="H92" s="605"/>
      <c r="I92" s="605"/>
      <c r="J92" s="610"/>
      <c r="K92" s="609"/>
      <c r="L92" s="605"/>
      <c r="M92" s="605"/>
      <c r="N92" s="610"/>
      <c r="O92" s="609"/>
      <c r="P92" s="610"/>
    </row>
    <row r="93" spans="1:16" x14ac:dyDescent="0.2">
      <c r="A93" s="595" t="s">
        <v>42</v>
      </c>
      <c r="B93" s="574" t="s">
        <v>309</v>
      </c>
      <c r="C93" s="597">
        <v>2</v>
      </c>
      <c r="D93" s="670"/>
      <c r="E93" s="654">
        <f>'Önk.kiad.'!F147+'Önk.kiad.'!F149+'Önk.kiad.'!F150</f>
        <v>4687500</v>
      </c>
      <c r="F93" s="611">
        <f>'Önk.kiad.'!F151</f>
        <v>938000</v>
      </c>
      <c r="G93" s="605">
        <f>'Önk.kiad.'!F153+'Önk.kiad.'!F154+'Önk.kiad.'!F156+'Önk.kiad.'!F158+'Önk.kiad.'!F160+'Önk.kiad.'!F161</f>
        <v>6047833</v>
      </c>
      <c r="H93" s="605"/>
      <c r="I93" s="605"/>
      <c r="J93" s="610"/>
      <c r="K93" s="609">
        <f>'Önk.kiad.'!F164+'Önk.kiad.'!F165</f>
        <v>97790000</v>
      </c>
      <c r="L93" s="605">
        <f>'Önk.kiad.'!F162+'Önk.kiad.'!F163</f>
        <v>125000</v>
      </c>
      <c r="M93" s="605">
        <f>'Önk.kiad.'!F166</f>
        <v>1263000</v>
      </c>
      <c r="N93" s="610"/>
      <c r="O93" s="609"/>
      <c r="P93" s="610"/>
    </row>
    <row r="94" spans="1:16" x14ac:dyDescent="0.2">
      <c r="A94" s="595" t="s">
        <v>43</v>
      </c>
      <c r="B94" s="574" t="s">
        <v>310</v>
      </c>
      <c r="C94" s="597"/>
      <c r="D94" s="670"/>
      <c r="E94" s="654"/>
      <c r="F94" s="611"/>
      <c r="G94" s="605"/>
      <c r="H94" s="605"/>
      <c r="I94" s="605"/>
      <c r="J94" s="610"/>
      <c r="K94" s="609"/>
      <c r="L94" s="605"/>
      <c r="M94" s="605"/>
      <c r="N94" s="610"/>
      <c r="O94" s="609"/>
      <c r="P94" s="610"/>
    </row>
    <row r="95" spans="1:16" x14ac:dyDescent="0.2">
      <c r="A95" s="595" t="s">
        <v>44</v>
      </c>
      <c r="B95" s="574" t="s">
        <v>324</v>
      </c>
      <c r="C95" s="597"/>
      <c r="D95" s="670"/>
      <c r="E95" s="654"/>
      <c r="F95" s="611"/>
      <c r="G95" s="605"/>
      <c r="H95" s="605">
        <f>'Önk.kiad.'!F92</f>
        <v>6042266</v>
      </c>
      <c r="I95" s="605"/>
      <c r="J95" s="610"/>
      <c r="K95" s="609"/>
      <c r="L95" s="605"/>
      <c r="M95" s="605"/>
      <c r="N95" s="610"/>
      <c r="O95" s="609"/>
      <c r="P95" s="610"/>
    </row>
    <row r="96" spans="1:16" ht="25.5" x14ac:dyDescent="0.2">
      <c r="A96" s="595" t="s">
        <v>45</v>
      </c>
      <c r="B96" s="574" t="s">
        <v>380</v>
      </c>
      <c r="C96" s="597"/>
      <c r="D96" s="670"/>
      <c r="E96" s="654">
        <f>'Önk.kiad.'!F199</f>
        <v>1000000</v>
      </c>
      <c r="F96" s="611">
        <f>'Önk.kiad.'!F200</f>
        <v>195000</v>
      </c>
      <c r="G96" s="605">
        <f>'Önk.kiad.'!F202+'Önk.kiad.'!F203+'Önk.kiad.'!F204</f>
        <v>2184997</v>
      </c>
      <c r="H96" s="605"/>
      <c r="I96" s="605"/>
      <c r="J96" s="610"/>
      <c r="K96" s="609"/>
      <c r="L96" s="605">
        <f>'Önk.kiad.'!F205+'Önk.kiad.'!F206</f>
        <v>2800000</v>
      </c>
      <c r="M96" s="605"/>
      <c r="N96" s="610"/>
      <c r="O96" s="609"/>
      <c r="P96" s="610"/>
    </row>
    <row r="97" spans="1:19" ht="25.5" x14ac:dyDescent="0.2">
      <c r="A97" s="595" t="s">
        <v>46</v>
      </c>
      <c r="B97" s="574" t="s">
        <v>312</v>
      </c>
      <c r="C97" s="597"/>
      <c r="D97" s="670"/>
      <c r="E97" s="654"/>
      <c r="F97" s="611"/>
      <c r="G97" s="605"/>
      <c r="H97" s="605"/>
      <c r="I97" s="605"/>
      <c r="J97" s="610"/>
      <c r="K97" s="609"/>
      <c r="L97" s="605"/>
      <c r="M97" s="605"/>
      <c r="N97" s="610"/>
      <c r="O97" s="609"/>
      <c r="P97" s="610"/>
      <c r="R97" s="167"/>
    </row>
    <row r="98" spans="1:19" x14ac:dyDescent="0.2">
      <c r="A98" s="595" t="s">
        <v>47</v>
      </c>
      <c r="B98" s="574" t="s">
        <v>17</v>
      </c>
      <c r="C98" s="597"/>
      <c r="D98" s="670"/>
      <c r="E98" s="655"/>
      <c r="F98" s="656"/>
      <c r="G98" s="680"/>
      <c r="H98" s="605"/>
      <c r="I98" s="605"/>
      <c r="J98" s="610"/>
      <c r="K98" s="609"/>
      <c r="L98" s="605"/>
      <c r="M98" s="605"/>
      <c r="N98" s="610"/>
      <c r="O98" s="609"/>
      <c r="P98" s="610"/>
    </row>
    <row r="99" spans="1:19" x14ac:dyDescent="0.2">
      <c r="A99" s="595" t="s">
        <v>48</v>
      </c>
      <c r="B99" s="574" t="s">
        <v>18</v>
      </c>
      <c r="C99" s="597">
        <v>1</v>
      </c>
      <c r="D99" s="670"/>
      <c r="E99" s="654">
        <f>'Önk.kiad.'!F216+'Önk.kiad.'!F217+'Önk.kiad.'!F218</f>
        <v>2567420</v>
      </c>
      <c r="F99" s="611">
        <f>'Önk.kiad.'!F219</f>
        <v>513484</v>
      </c>
      <c r="G99" s="605">
        <f>'Önk.kiad.'!F220+'Önk.kiad.'!F221+'Önk.kiad.'!F222+'Önk.kiad.'!F223+'Önk.kiad.'!F224</f>
        <v>14320155</v>
      </c>
      <c r="H99" s="605"/>
      <c r="I99" s="605"/>
      <c r="J99" s="610"/>
      <c r="K99" s="609"/>
      <c r="L99" s="605"/>
      <c r="M99" s="605"/>
      <c r="N99" s="610"/>
      <c r="O99" s="609"/>
      <c r="P99" s="610"/>
    </row>
    <row r="100" spans="1:19" x14ac:dyDescent="0.2">
      <c r="A100" s="595" t="s">
        <v>49</v>
      </c>
      <c r="B100" s="574" t="s">
        <v>390</v>
      </c>
      <c r="C100" s="597"/>
      <c r="D100" s="670"/>
      <c r="E100" s="654"/>
      <c r="F100" s="611"/>
      <c r="G100" s="605">
        <f>'Önk.kiad.'!F240</f>
        <v>1524000</v>
      </c>
      <c r="H100" s="605"/>
      <c r="I100" s="605"/>
      <c r="J100" s="610"/>
      <c r="K100" s="609"/>
      <c r="L100" s="605"/>
      <c r="M100" s="605"/>
      <c r="N100" s="610"/>
      <c r="O100" s="609"/>
      <c r="P100" s="610"/>
    </row>
    <row r="101" spans="1:19" x14ac:dyDescent="0.2">
      <c r="A101" s="595" t="s">
        <v>50</v>
      </c>
      <c r="B101" s="574" t="s">
        <v>391</v>
      </c>
      <c r="C101" s="597"/>
      <c r="D101" s="670"/>
      <c r="E101" s="654"/>
      <c r="F101" s="611"/>
      <c r="G101" s="605">
        <f>'Önk.kiad.'!F246</f>
        <v>34999.93</v>
      </c>
      <c r="H101" s="605"/>
      <c r="I101" s="605"/>
      <c r="J101" s="610"/>
      <c r="K101" s="609"/>
      <c r="L101" s="605"/>
      <c r="M101" s="605"/>
      <c r="N101" s="610"/>
      <c r="O101" s="609"/>
      <c r="P101" s="610"/>
    </row>
    <row r="102" spans="1:19" x14ac:dyDescent="0.2">
      <c r="A102" s="595" t="s">
        <v>51</v>
      </c>
      <c r="B102" s="574" t="s">
        <v>244</v>
      </c>
      <c r="C102" s="597"/>
      <c r="D102" s="670"/>
      <c r="E102" s="654"/>
      <c r="F102" s="611"/>
      <c r="G102" s="605"/>
      <c r="H102" s="605"/>
      <c r="I102" s="605"/>
      <c r="J102" s="610"/>
      <c r="K102" s="609"/>
      <c r="L102" s="605"/>
      <c r="M102" s="605"/>
      <c r="N102" s="610"/>
      <c r="O102" s="609"/>
      <c r="P102" s="610"/>
    </row>
    <row r="103" spans="1:19" x14ac:dyDescent="0.2">
      <c r="A103" s="595" t="s">
        <v>52</v>
      </c>
      <c r="B103" s="572" t="s">
        <v>20</v>
      </c>
      <c r="C103" s="597">
        <v>1</v>
      </c>
      <c r="D103" s="670"/>
      <c r="E103" s="654">
        <f>'Önk.kiad.'!F171+'Önk.kiad.'!F172+'Önk.kiad.'!F173+'Önk.kiad.'!F174+'Önk.kiad.'!F175+'Önk.kiad.'!F176+'Önk.kiad.'!F177</f>
        <v>5474760</v>
      </c>
      <c r="F103" s="611">
        <f>'Önk.kiad.'!F178</f>
        <v>1020000</v>
      </c>
      <c r="G103" s="605">
        <f>'Önk.kiad.'!F180+'Önk.kiad.'!F181+'Önk.kiad.'!F182+'Önk.kiad.'!F183+'Önk.kiad.'!F184+'Önk.kiad.'!F185+'Önk.kiad.'!F186+'Önk.kiad.'!F187+'Önk.kiad.'!F188</f>
        <v>660000</v>
      </c>
      <c r="H103" s="605"/>
      <c r="I103" s="605"/>
      <c r="J103" s="610"/>
      <c r="K103" s="609"/>
      <c r="L103" s="605"/>
      <c r="M103" s="605"/>
      <c r="N103" s="610"/>
      <c r="O103" s="609"/>
      <c r="P103" s="610"/>
    </row>
    <row r="104" spans="1:19" x14ac:dyDescent="0.2">
      <c r="A104" s="595" t="s">
        <v>53</v>
      </c>
      <c r="B104" s="572" t="s">
        <v>21</v>
      </c>
      <c r="C104" s="597"/>
      <c r="D104" s="670"/>
      <c r="E104" s="654"/>
      <c r="F104" s="611"/>
      <c r="G104" s="605">
        <f>'Önk.kiad.'!F193</f>
        <v>90000</v>
      </c>
      <c r="H104" s="605"/>
      <c r="I104" s="605"/>
      <c r="J104" s="610"/>
      <c r="K104" s="609"/>
      <c r="L104" s="605"/>
      <c r="M104" s="605"/>
      <c r="N104" s="610"/>
      <c r="O104" s="609"/>
      <c r="P104" s="610"/>
      <c r="S104" s="167"/>
    </row>
    <row r="105" spans="1:19" x14ac:dyDescent="0.2">
      <c r="A105" s="595" t="s">
        <v>54</v>
      </c>
      <c r="B105" s="574" t="s">
        <v>313</v>
      </c>
      <c r="C105" s="596"/>
      <c r="D105" s="666"/>
      <c r="E105" s="654"/>
      <c r="F105" s="605"/>
      <c r="G105" s="605"/>
      <c r="H105" s="605">
        <f>'Önk.kiad.'!F234</f>
        <v>6756000</v>
      </c>
      <c r="I105" s="605"/>
      <c r="J105" s="610"/>
      <c r="K105" s="609"/>
      <c r="L105" s="605"/>
      <c r="M105" s="605"/>
      <c r="N105" s="610"/>
      <c r="O105" s="609"/>
      <c r="P105" s="610"/>
    </row>
    <row r="106" spans="1:19" x14ac:dyDescent="0.2">
      <c r="A106" s="595" t="s">
        <v>55</v>
      </c>
      <c r="B106" s="572" t="s">
        <v>314</v>
      </c>
      <c r="C106" s="596"/>
      <c r="D106" s="666"/>
      <c r="E106" s="654"/>
      <c r="F106" s="611"/>
      <c r="G106" s="605"/>
      <c r="H106" s="605"/>
      <c r="I106" s="605"/>
      <c r="J106" s="610"/>
      <c r="K106" s="609"/>
      <c r="L106" s="605"/>
      <c r="M106" s="605"/>
      <c r="N106" s="610"/>
      <c r="O106" s="609"/>
      <c r="P106" s="610"/>
    </row>
    <row r="107" spans="1:19" x14ac:dyDescent="0.2">
      <c r="A107" s="595" t="s">
        <v>56</v>
      </c>
      <c r="B107" s="572" t="s">
        <v>22</v>
      </c>
      <c r="C107" s="596"/>
      <c r="D107" s="666"/>
      <c r="E107" s="654"/>
      <c r="F107" s="611"/>
      <c r="G107" s="605"/>
      <c r="H107" s="605"/>
      <c r="I107" s="605"/>
      <c r="J107" s="610"/>
      <c r="K107" s="609"/>
      <c r="L107" s="605"/>
      <c r="M107" s="605"/>
      <c r="N107" s="610"/>
      <c r="O107" s="609"/>
      <c r="P107" s="610"/>
    </row>
    <row r="108" spans="1:19" x14ac:dyDescent="0.2">
      <c r="A108" s="595" t="s">
        <v>57</v>
      </c>
      <c r="B108" s="572" t="s">
        <v>245</v>
      </c>
      <c r="C108" s="596"/>
      <c r="D108" s="666"/>
      <c r="E108" s="654"/>
      <c r="F108" s="611"/>
      <c r="G108" s="605"/>
      <c r="H108" s="605"/>
      <c r="I108" s="605"/>
      <c r="J108" s="610"/>
      <c r="K108" s="609"/>
      <c r="L108" s="605"/>
      <c r="M108" s="605"/>
      <c r="N108" s="610"/>
      <c r="O108" s="609"/>
      <c r="P108" s="610"/>
    </row>
    <row r="109" spans="1:19" x14ac:dyDescent="0.2">
      <c r="A109" s="595" t="s">
        <v>58</v>
      </c>
      <c r="B109" s="572" t="s">
        <v>23</v>
      </c>
      <c r="C109" s="596"/>
      <c r="D109" s="666"/>
      <c r="E109" s="654"/>
      <c r="F109" s="611"/>
      <c r="G109" s="605"/>
      <c r="H109" s="605"/>
      <c r="I109" s="605"/>
      <c r="J109" s="610"/>
      <c r="K109" s="609"/>
      <c r="L109" s="605"/>
      <c r="M109" s="605"/>
      <c r="N109" s="610"/>
      <c r="O109" s="609"/>
      <c r="P109" s="610"/>
    </row>
    <row r="110" spans="1:19" x14ac:dyDescent="0.2">
      <c r="A110" s="595" t="s">
        <v>59</v>
      </c>
      <c r="B110" s="572" t="s">
        <v>24</v>
      </c>
      <c r="C110" s="596"/>
      <c r="D110" s="666"/>
      <c r="E110" s="654"/>
      <c r="F110" s="611"/>
      <c r="G110" s="605"/>
      <c r="H110" s="605"/>
      <c r="I110" s="605"/>
      <c r="J110" s="610"/>
      <c r="K110" s="609"/>
      <c r="L110" s="605"/>
      <c r="M110" s="605"/>
      <c r="N110" s="610"/>
      <c r="O110" s="609"/>
      <c r="P110" s="610"/>
    </row>
    <row r="111" spans="1:19" x14ac:dyDescent="0.2">
      <c r="A111" s="595" t="s">
        <v>60</v>
      </c>
      <c r="B111" s="572" t="s">
        <v>25</v>
      </c>
      <c r="C111" s="596"/>
      <c r="D111" s="666"/>
      <c r="E111" s="654"/>
      <c r="F111" s="611"/>
      <c r="G111" s="605"/>
      <c r="H111" s="605"/>
      <c r="I111" s="605"/>
      <c r="J111" s="610"/>
      <c r="K111" s="609"/>
      <c r="L111" s="605"/>
      <c r="M111" s="605"/>
      <c r="N111" s="610"/>
      <c r="O111" s="609"/>
      <c r="P111" s="610"/>
    </row>
    <row r="112" spans="1:19" x14ac:dyDescent="0.2">
      <c r="A112" s="595" t="s">
        <v>61</v>
      </c>
      <c r="B112" s="572" t="s">
        <v>26</v>
      </c>
      <c r="C112" s="596"/>
      <c r="D112" s="666"/>
      <c r="E112" s="654"/>
      <c r="F112" s="611"/>
      <c r="G112" s="605"/>
      <c r="H112" s="605"/>
      <c r="I112" s="605"/>
      <c r="J112" s="610"/>
      <c r="K112" s="609"/>
      <c r="L112" s="605"/>
      <c r="M112" s="605"/>
      <c r="N112" s="610"/>
      <c r="O112" s="609"/>
      <c r="P112" s="610"/>
    </row>
    <row r="113" spans="1:30" x14ac:dyDescent="0.2">
      <c r="A113" s="595" t="s">
        <v>62</v>
      </c>
      <c r="B113" s="572" t="s">
        <v>27</v>
      </c>
      <c r="C113" s="596"/>
      <c r="D113" s="666"/>
      <c r="E113" s="654"/>
      <c r="F113" s="611"/>
      <c r="G113" s="605"/>
      <c r="H113" s="605"/>
      <c r="I113" s="605"/>
      <c r="J113" s="610"/>
      <c r="K113" s="609"/>
      <c r="L113" s="605"/>
      <c r="M113" s="605"/>
      <c r="N113" s="610"/>
      <c r="O113" s="609"/>
      <c r="P113" s="610"/>
    </row>
    <row r="114" spans="1:30" x14ac:dyDescent="0.2">
      <c r="A114" s="595" t="s">
        <v>63</v>
      </c>
      <c r="B114" s="572" t="s">
        <v>246</v>
      </c>
      <c r="C114" s="596"/>
      <c r="D114" s="666"/>
      <c r="E114" s="654"/>
      <c r="F114" s="611"/>
      <c r="G114" s="605"/>
      <c r="H114" s="605"/>
      <c r="I114" s="605"/>
      <c r="J114" s="610"/>
      <c r="K114" s="609"/>
      <c r="L114" s="605"/>
      <c r="M114" s="605"/>
      <c r="N114" s="610"/>
      <c r="O114" s="609"/>
      <c r="P114" s="610"/>
    </row>
    <row r="115" spans="1:30" x14ac:dyDescent="0.2">
      <c r="A115" s="595" t="s">
        <v>64</v>
      </c>
      <c r="B115" s="577" t="s">
        <v>332</v>
      </c>
      <c r="C115" s="596"/>
      <c r="D115" s="666"/>
      <c r="E115" s="654"/>
      <c r="F115" s="611"/>
      <c r="G115" s="605">
        <f>'Önk.kiad.'!F261+'Önk.kiad.'!F263+'Önk.kiad.'!F264</f>
        <v>4158000</v>
      </c>
      <c r="H115" s="605"/>
      <c r="I115" s="605"/>
      <c r="J115" s="610">
        <f>'Önk.kiad.'!F265+'Önk.kiad.'!F266+'Önk.kiad.'!F267</f>
        <v>10707000</v>
      </c>
      <c r="K115" s="609"/>
      <c r="L115" s="605"/>
      <c r="M115" s="605"/>
      <c r="N115" s="610"/>
      <c r="O115" s="609"/>
      <c r="P115" s="610"/>
    </row>
    <row r="116" spans="1:30" x14ac:dyDescent="0.2">
      <c r="A116" s="595" t="s">
        <v>65</v>
      </c>
      <c r="B116" s="572" t="s">
        <v>316</v>
      </c>
      <c r="C116" s="596"/>
      <c r="D116" s="666"/>
      <c r="E116" s="654"/>
      <c r="F116" s="611"/>
      <c r="G116" s="605"/>
      <c r="H116" s="605"/>
      <c r="I116" s="605"/>
      <c r="J116" s="610"/>
      <c r="K116" s="609"/>
      <c r="L116" s="605"/>
      <c r="M116" s="605"/>
      <c r="N116" s="610"/>
      <c r="O116" s="609"/>
      <c r="P116" s="610"/>
    </row>
    <row r="117" spans="1:30" x14ac:dyDescent="0.2">
      <c r="A117" s="595" t="s">
        <v>66</v>
      </c>
      <c r="B117" s="572" t="s">
        <v>317</v>
      </c>
      <c r="C117" s="596"/>
      <c r="D117" s="666"/>
      <c r="E117" s="654"/>
      <c r="F117" s="611"/>
      <c r="G117" s="605"/>
      <c r="H117" s="605"/>
      <c r="I117" s="605"/>
      <c r="J117" s="610">
        <f>'Önk.kiad.'!F251</f>
        <v>103500</v>
      </c>
      <c r="K117" s="609"/>
      <c r="L117" s="605"/>
      <c r="M117" s="605"/>
      <c r="N117" s="610"/>
      <c r="O117" s="609"/>
      <c r="P117" s="610"/>
    </row>
    <row r="118" spans="1:30" x14ac:dyDescent="0.2">
      <c r="A118" s="595" t="s">
        <v>67</v>
      </c>
      <c r="B118" s="572" t="s">
        <v>28</v>
      </c>
      <c r="C118" s="596"/>
      <c r="D118" s="666"/>
      <c r="E118" s="654"/>
      <c r="F118" s="611"/>
      <c r="G118" s="605"/>
      <c r="H118" s="605"/>
      <c r="I118" s="605"/>
      <c r="J118" s="610"/>
      <c r="K118" s="609"/>
      <c r="L118" s="605"/>
      <c r="M118" s="605"/>
      <c r="N118" s="610"/>
      <c r="O118" s="609"/>
      <c r="P118" s="610"/>
      <c r="S118" s="64"/>
      <c r="T118" s="64"/>
      <c r="U118" s="64"/>
      <c r="V118" s="64"/>
      <c r="W118" s="64"/>
      <c r="X118" s="64"/>
      <c r="Y118" s="65"/>
      <c r="Z118" s="65"/>
      <c r="AA118" s="65"/>
      <c r="AB118" s="65"/>
    </row>
    <row r="119" spans="1:30" x14ac:dyDescent="0.2">
      <c r="A119" s="595" t="s">
        <v>68</v>
      </c>
      <c r="B119" s="572" t="s">
        <v>29</v>
      </c>
      <c r="C119" s="597"/>
      <c r="D119" s="670"/>
      <c r="E119" s="654"/>
      <c r="F119" s="611"/>
      <c r="G119" s="605"/>
      <c r="H119" s="605"/>
      <c r="I119" s="605"/>
      <c r="J119" s="610"/>
      <c r="K119" s="609"/>
      <c r="L119" s="605"/>
      <c r="M119" s="605"/>
      <c r="N119" s="610"/>
      <c r="O119" s="609"/>
      <c r="P119" s="610"/>
      <c r="S119" s="62"/>
      <c r="T119" s="62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</row>
    <row r="120" spans="1:30" x14ac:dyDescent="0.2">
      <c r="A120" s="595" t="s">
        <v>69</v>
      </c>
      <c r="B120" s="572" t="s">
        <v>30</v>
      </c>
      <c r="C120" s="596"/>
      <c r="D120" s="666"/>
      <c r="E120" s="654"/>
      <c r="F120" s="611"/>
      <c r="G120" s="605"/>
      <c r="H120" s="605"/>
      <c r="I120" s="605"/>
      <c r="J120" s="610"/>
      <c r="K120" s="609"/>
      <c r="L120" s="605"/>
      <c r="M120" s="605"/>
      <c r="N120" s="610"/>
      <c r="O120" s="609"/>
      <c r="P120" s="610"/>
    </row>
    <row r="121" spans="1:30" x14ac:dyDescent="0.2">
      <c r="A121" s="595" t="s">
        <v>70</v>
      </c>
      <c r="B121" s="572" t="s">
        <v>31</v>
      </c>
      <c r="C121" s="596"/>
      <c r="D121" s="666"/>
      <c r="E121" s="654"/>
      <c r="F121" s="611"/>
      <c r="G121" s="605"/>
      <c r="H121" s="605"/>
      <c r="I121" s="605"/>
      <c r="J121" s="610"/>
      <c r="K121" s="609"/>
      <c r="L121" s="605"/>
      <c r="M121" s="605"/>
      <c r="N121" s="610"/>
      <c r="O121" s="609"/>
      <c r="P121" s="610"/>
    </row>
    <row r="122" spans="1:30" x14ac:dyDescent="0.2">
      <c r="A122" s="595" t="s">
        <v>71</v>
      </c>
      <c r="B122" s="572" t="s">
        <v>32</v>
      </c>
      <c r="C122" s="596"/>
      <c r="D122" s="666"/>
      <c r="E122" s="654"/>
      <c r="F122" s="611"/>
      <c r="G122" s="605">
        <f>'Önk.kiad.'!F255</f>
        <v>25500</v>
      </c>
      <c r="H122" s="605">
        <f>'Önk.kiad.'!F256</f>
        <v>400000</v>
      </c>
      <c r="I122" s="605"/>
      <c r="J122" s="610"/>
      <c r="K122" s="609"/>
      <c r="L122" s="605"/>
      <c r="M122" s="605"/>
      <c r="N122" s="610"/>
      <c r="O122" s="609"/>
      <c r="P122" s="610"/>
    </row>
    <row r="123" spans="1:30" x14ac:dyDescent="0.2">
      <c r="A123" s="595" t="s">
        <v>72</v>
      </c>
      <c r="B123" s="572" t="s">
        <v>339</v>
      </c>
      <c r="C123" s="596"/>
      <c r="D123" s="666"/>
      <c r="E123" s="654"/>
      <c r="F123" s="611"/>
      <c r="G123" s="605"/>
      <c r="H123" s="605"/>
      <c r="I123" s="605"/>
      <c r="J123" s="610"/>
      <c r="K123" s="609"/>
      <c r="L123" s="605"/>
      <c r="M123" s="605"/>
      <c r="N123" s="610"/>
      <c r="O123" s="609"/>
      <c r="P123" s="610"/>
    </row>
    <row r="124" spans="1:30" x14ac:dyDescent="0.2">
      <c r="A124" s="595" t="s">
        <v>73</v>
      </c>
      <c r="B124" s="521" t="s">
        <v>248</v>
      </c>
      <c r="C124" s="596"/>
      <c r="D124" s="666"/>
      <c r="E124" s="654"/>
      <c r="F124" s="611"/>
      <c r="G124" s="605"/>
      <c r="H124" s="605"/>
      <c r="I124" s="605">
        <f>'Önk.kiad.'!F212</f>
        <v>6207000</v>
      </c>
      <c r="J124" s="610"/>
      <c r="K124" s="609"/>
      <c r="L124" s="605"/>
      <c r="M124" s="605"/>
      <c r="N124" s="610"/>
      <c r="O124" s="609"/>
      <c r="P124" s="610"/>
    </row>
    <row r="125" spans="1:30" ht="13.5" thickBot="1" x14ac:dyDescent="0.25">
      <c r="A125" s="684" t="s">
        <v>74</v>
      </c>
      <c r="B125" s="601" t="s">
        <v>249</v>
      </c>
      <c r="C125" s="688"/>
      <c r="D125" s="672"/>
      <c r="E125" s="689"/>
      <c r="F125" s="690"/>
      <c r="G125" s="691"/>
      <c r="H125" s="691"/>
      <c r="I125" s="691"/>
      <c r="J125" s="692"/>
      <c r="K125" s="693"/>
      <c r="L125" s="691"/>
      <c r="M125" s="691"/>
      <c r="N125" s="692"/>
      <c r="O125" s="693"/>
      <c r="P125" s="692"/>
    </row>
    <row r="126" spans="1:30" ht="13.5" thickBot="1" x14ac:dyDescent="0.25">
      <c r="A126" s="598"/>
      <c r="B126" s="699"/>
      <c r="C126" s="700"/>
      <c r="D126" s="701"/>
      <c r="E126" s="702"/>
      <c r="F126" s="703"/>
      <c r="G126" s="704"/>
      <c r="H126" s="704"/>
      <c r="I126" s="704"/>
      <c r="J126" s="705"/>
      <c r="K126" s="706"/>
      <c r="L126" s="704"/>
      <c r="M126" s="704"/>
      <c r="N126" s="705"/>
      <c r="O126" s="706"/>
      <c r="P126" s="707"/>
    </row>
    <row r="127" spans="1:30" ht="12.75" customHeight="1" x14ac:dyDescent="0.2">
      <c r="A127" s="955" t="s">
        <v>35</v>
      </c>
      <c r="B127" s="957" t="s">
        <v>330</v>
      </c>
      <c r="C127" s="967" t="s">
        <v>186</v>
      </c>
      <c r="D127" s="965" t="s">
        <v>191</v>
      </c>
      <c r="E127" s="995" t="s">
        <v>184</v>
      </c>
      <c r="F127" s="996"/>
      <c r="G127" s="996"/>
      <c r="H127" s="996"/>
      <c r="I127" s="996"/>
      <c r="J127" s="1023"/>
      <c r="K127" s="969" t="s">
        <v>183</v>
      </c>
      <c r="L127" s="970"/>
      <c r="M127" s="970"/>
      <c r="N127" s="971"/>
      <c r="O127" s="972" t="s">
        <v>360</v>
      </c>
      <c r="P127" s="973"/>
    </row>
    <row r="128" spans="1:30" ht="23.25" thickBot="1" x14ac:dyDescent="0.25">
      <c r="A128" s="956"/>
      <c r="B128" s="958"/>
      <c r="C128" s="968"/>
      <c r="D128" s="966"/>
      <c r="E128" s="580" t="s">
        <v>175</v>
      </c>
      <c r="F128" s="581" t="s">
        <v>176</v>
      </c>
      <c r="G128" s="582" t="s">
        <v>177</v>
      </c>
      <c r="H128" s="582" t="s">
        <v>178</v>
      </c>
      <c r="I128" s="582" t="s">
        <v>179</v>
      </c>
      <c r="J128" s="583" t="s">
        <v>217</v>
      </c>
      <c r="K128" s="584" t="s">
        <v>180</v>
      </c>
      <c r="L128" s="582" t="s">
        <v>181</v>
      </c>
      <c r="M128" s="582" t="s">
        <v>182</v>
      </c>
      <c r="N128" s="583" t="s">
        <v>179</v>
      </c>
      <c r="O128" s="584" t="s">
        <v>216</v>
      </c>
      <c r="P128" s="583" t="s">
        <v>185</v>
      </c>
    </row>
    <row r="129" spans="1:18" x14ac:dyDescent="0.2">
      <c r="A129" s="694" t="s">
        <v>75</v>
      </c>
      <c r="B129" s="695" t="s">
        <v>318</v>
      </c>
      <c r="C129" s="696"/>
      <c r="D129" s="657"/>
      <c r="E129" s="658"/>
      <c r="F129" s="615"/>
      <c r="G129" s="659"/>
      <c r="H129" s="659"/>
      <c r="I129" s="659"/>
      <c r="J129" s="660"/>
      <c r="K129" s="697"/>
      <c r="L129" s="659"/>
      <c r="M129" s="659"/>
      <c r="N129" s="698"/>
      <c r="O129" s="697"/>
      <c r="P129" s="698"/>
    </row>
    <row r="130" spans="1:18" x14ac:dyDescent="0.2">
      <c r="A130" s="687" t="s">
        <v>76</v>
      </c>
      <c r="B130" s="522" t="s">
        <v>319</v>
      </c>
      <c r="C130" s="588">
        <v>4</v>
      </c>
      <c r="D130" s="666"/>
      <c r="E130" s="661">
        <f>'Önk.kiad.'!F101</f>
        <v>2670000</v>
      </c>
      <c r="F130" s="612">
        <f>'Önk.kiad.'!F102</f>
        <v>261000</v>
      </c>
      <c r="G130" s="643">
        <f>'Önk.kiad.'!F103+'Önk.kiad.'!F104</f>
        <v>209633</v>
      </c>
      <c r="H130" s="643"/>
      <c r="I130" s="643"/>
      <c r="J130" s="667"/>
      <c r="K130" s="668"/>
      <c r="L130" s="643">
        <f>'Önk.kiad.'!F105+'Önk.kiad.'!F106</f>
        <v>169000</v>
      </c>
      <c r="M130" s="643"/>
      <c r="N130" s="669"/>
      <c r="O130" s="668"/>
      <c r="P130" s="669"/>
    </row>
    <row r="131" spans="1:18" x14ac:dyDescent="0.2">
      <c r="A131" s="687" t="s">
        <v>77</v>
      </c>
      <c r="B131" s="522" t="s">
        <v>320</v>
      </c>
      <c r="C131" s="588">
        <v>0</v>
      </c>
      <c r="D131" s="666"/>
      <c r="E131" s="661">
        <f>'Önk.kiad.'!F111+'Önk.kiad.'!F112</f>
        <v>3258000</v>
      </c>
      <c r="F131" s="612">
        <f>'Önk.kiad.'!F113</f>
        <v>321000</v>
      </c>
      <c r="G131" s="643">
        <f>'Önk.kiad.'!F114+'Önk.kiad.'!F115</f>
        <v>71567</v>
      </c>
      <c r="H131" s="643"/>
      <c r="I131" s="643"/>
      <c r="J131" s="667"/>
      <c r="K131" s="668"/>
      <c r="L131" s="643"/>
      <c r="M131" s="643"/>
      <c r="N131" s="669"/>
      <c r="O131" s="668"/>
      <c r="P131" s="669"/>
    </row>
    <row r="132" spans="1:18" ht="25.5" x14ac:dyDescent="0.2">
      <c r="A132" s="687" t="s">
        <v>78</v>
      </c>
      <c r="B132" s="522" t="s">
        <v>250</v>
      </c>
      <c r="C132" s="588"/>
      <c r="D132" s="666"/>
      <c r="E132" s="661"/>
      <c r="F132" s="612"/>
      <c r="G132" s="643"/>
      <c r="H132" s="643"/>
      <c r="I132" s="643"/>
      <c r="J132" s="667"/>
      <c r="K132" s="668"/>
      <c r="L132" s="643"/>
      <c r="M132" s="643"/>
      <c r="N132" s="669"/>
      <c r="O132" s="668"/>
      <c r="P132" s="669"/>
    </row>
    <row r="133" spans="1:18" x14ac:dyDescent="0.2">
      <c r="A133" s="687" t="s">
        <v>79</v>
      </c>
      <c r="B133" s="522" t="s">
        <v>251</v>
      </c>
      <c r="C133" s="589"/>
      <c r="D133" s="670"/>
      <c r="E133" s="661"/>
      <c r="F133" s="612"/>
      <c r="G133" s="643"/>
      <c r="H133" s="643"/>
      <c r="I133" s="643"/>
      <c r="J133" s="667"/>
      <c r="K133" s="668"/>
      <c r="L133" s="643"/>
      <c r="M133" s="643"/>
      <c r="N133" s="669"/>
      <c r="O133" s="668"/>
      <c r="P133" s="669"/>
    </row>
    <row r="134" spans="1:18" x14ac:dyDescent="0.2">
      <c r="A134" s="687" t="s">
        <v>80</v>
      </c>
      <c r="B134" s="522" t="s">
        <v>252</v>
      </c>
      <c r="C134" s="588"/>
      <c r="D134" s="666"/>
      <c r="E134" s="661"/>
      <c r="F134" s="612"/>
      <c r="G134" s="643"/>
      <c r="H134" s="643"/>
      <c r="I134" s="643"/>
      <c r="J134" s="667"/>
      <c r="K134" s="668"/>
      <c r="L134" s="643"/>
      <c r="M134" s="643"/>
      <c r="N134" s="669"/>
      <c r="O134" s="668"/>
      <c r="P134" s="669"/>
    </row>
    <row r="135" spans="1:18" x14ac:dyDescent="0.2">
      <c r="A135" s="687" t="s">
        <v>81</v>
      </c>
      <c r="B135" s="522" t="s">
        <v>253</v>
      </c>
      <c r="C135" s="588"/>
      <c r="D135" s="666"/>
      <c r="E135" s="661"/>
      <c r="F135" s="612"/>
      <c r="G135" s="643"/>
      <c r="H135" s="643"/>
      <c r="I135" s="643"/>
      <c r="J135" s="667"/>
      <c r="K135" s="668"/>
      <c r="L135" s="643"/>
      <c r="M135" s="643"/>
      <c r="N135" s="669"/>
      <c r="O135" s="668"/>
      <c r="P135" s="669"/>
    </row>
    <row r="136" spans="1:18" x14ac:dyDescent="0.2">
      <c r="A136" s="687" t="s">
        <v>82</v>
      </c>
      <c r="B136" s="521" t="s">
        <v>34</v>
      </c>
      <c r="C136" s="589"/>
      <c r="D136" s="670"/>
      <c r="E136" s="662"/>
      <c r="F136" s="612"/>
      <c r="G136" s="643">
        <f>'Önk.kiad.'!F65</f>
        <v>720000</v>
      </c>
      <c r="H136" s="643"/>
      <c r="I136" s="643"/>
      <c r="J136" s="667"/>
      <c r="K136" s="668"/>
      <c r="L136" s="643"/>
      <c r="M136" s="643"/>
      <c r="N136" s="669"/>
      <c r="O136" s="668"/>
      <c r="P136" s="669"/>
      <c r="R136" s="167"/>
    </row>
    <row r="137" spans="1:18" x14ac:dyDescent="0.2">
      <c r="A137" s="687"/>
      <c r="B137" s="590" t="s">
        <v>254</v>
      </c>
      <c r="C137" s="589"/>
      <c r="D137" s="670"/>
      <c r="E137" s="661"/>
      <c r="F137" s="612"/>
      <c r="G137" s="643"/>
      <c r="H137" s="643"/>
      <c r="I137" s="643"/>
      <c r="J137" s="667"/>
      <c r="K137" s="668"/>
      <c r="L137" s="643"/>
      <c r="M137" s="643"/>
      <c r="N137" s="669"/>
      <c r="O137" s="668"/>
      <c r="P137" s="669"/>
    </row>
    <row r="138" spans="1:18" ht="25.5" x14ac:dyDescent="0.2">
      <c r="A138" s="595" t="s">
        <v>15</v>
      </c>
      <c r="B138" s="523" t="s">
        <v>321</v>
      </c>
      <c r="C138" s="588"/>
      <c r="D138" s="666"/>
      <c r="E138" s="661">
        <f>'Hiv.kiad.'!F42</f>
        <v>945380</v>
      </c>
      <c r="F138" s="612">
        <f>'Hiv.kiad.'!F45</f>
        <v>190537</v>
      </c>
      <c r="G138" s="643">
        <f>'Hiv.kiad.'!F48</f>
        <v>33156</v>
      </c>
      <c r="H138" s="643"/>
      <c r="I138" s="643"/>
      <c r="J138" s="667"/>
      <c r="K138" s="668"/>
      <c r="L138" s="643"/>
      <c r="M138" s="643"/>
      <c r="N138" s="669"/>
      <c r="O138" s="668"/>
      <c r="P138" s="669"/>
    </row>
    <row r="139" spans="1:18" x14ac:dyDescent="0.2">
      <c r="A139" s="595" t="s">
        <v>37</v>
      </c>
      <c r="B139" s="521" t="s">
        <v>314</v>
      </c>
      <c r="C139" s="589"/>
      <c r="D139" s="670"/>
      <c r="E139" s="661"/>
      <c r="F139" s="612"/>
      <c r="G139" s="643"/>
      <c r="H139" s="643"/>
      <c r="I139" s="643"/>
      <c r="J139" s="667"/>
      <c r="K139" s="668"/>
      <c r="L139" s="643"/>
      <c r="M139" s="643"/>
      <c r="N139" s="669"/>
      <c r="O139" s="668"/>
      <c r="P139" s="669"/>
    </row>
    <row r="140" spans="1:18" x14ac:dyDescent="0.2">
      <c r="A140" s="595" t="s">
        <v>38</v>
      </c>
      <c r="B140" s="521" t="s">
        <v>326</v>
      </c>
      <c r="C140" s="589"/>
      <c r="D140" s="670"/>
      <c r="E140" s="661"/>
      <c r="F140" s="612"/>
      <c r="G140" s="643"/>
      <c r="H140" s="643"/>
      <c r="I140" s="643"/>
      <c r="J140" s="667"/>
      <c r="K140" s="668"/>
      <c r="L140" s="643"/>
      <c r="M140" s="643"/>
      <c r="N140" s="669"/>
      <c r="O140" s="668"/>
      <c r="P140" s="669"/>
    </row>
    <row r="141" spans="1:18" ht="25.5" x14ac:dyDescent="0.2">
      <c r="A141" s="595" t="s">
        <v>39</v>
      </c>
      <c r="B141" s="523" t="s">
        <v>255</v>
      </c>
      <c r="C141" s="589"/>
      <c r="D141" s="670"/>
      <c r="E141" s="671"/>
      <c r="F141" s="643"/>
      <c r="G141" s="643"/>
      <c r="H141" s="643"/>
      <c r="I141" s="643"/>
      <c r="J141" s="667"/>
      <c r="K141" s="668"/>
      <c r="L141" s="643"/>
      <c r="M141" s="643"/>
      <c r="N141" s="669"/>
      <c r="O141" s="668"/>
      <c r="P141" s="669"/>
    </row>
    <row r="142" spans="1:18" x14ac:dyDescent="0.2">
      <c r="A142" s="595" t="s">
        <v>40</v>
      </c>
      <c r="B142" s="521" t="s">
        <v>322</v>
      </c>
      <c r="C142" s="589"/>
      <c r="D142" s="670"/>
      <c r="E142" s="671"/>
      <c r="F142" s="643"/>
      <c r="G142" s="643"/>
      <c r="H142" s="643"/>
      <c r="I142" s="643"/>
      <c r="J142" s="667"/>
      <c r="K142" s="668"/>
      <c r="L142" s="643"/>
      <c r="M142" s="643"/>
      <c r="N142" s="669"/>
      <c r="O142" s="668"/>
      <c r="P142" s="669"/>
    </row>
    <row r="143" spans="1:18" ht="25.5" x14ac:dyDescent="0.2">
      <c r="A143" s="595" t="s">
        <v>41</v>
      </c>
      <c r="B143" s="523" t="s">
        <v>307</v>
      </c>
      <c r="C143" s="589">
        <v>13</v>
      </c>
      <c r="D143" s="670">
        <f>'Hiv.bev.'!F9</f>
        <v>72398400</v>
      </c>
      <c r="E143" s="671">
        <f>'Hiv.kiad.'!F20</f>
        <v>61452800</v>
      </c>
      <c r="F143" s="643">
        <f>'Hiv.kiad.'!F23</f>
        <v>11767959</v>
      </c>
      <c r="G143" s="643">
        <f>'Hiv.kiad.'!F33</f>
        <v>3550168</v>
      </c>
      <c r="H143" s="643"/>
      <c r="I143" s="643"/>
      <c r="J143" s="667"/>
      <c r="K143" s="668"/>
      <c r="L143" s="643"/>
      <c r="M143" s="643"/>
      <c r="N143" s="669"/>
      <c r="O143" s="668"/>
      <c r="P143" s="669"/>
    </row>
    <row r="144" spans="1:18" x14ac:dyDescent="0.2">
      <c r="A144" s="595" t="s">
        <v>42</v>
      </c>
      <c r="B144" s="521" t="s">
        <v>323</v>
      </c>
      <c r="C144" s="589"/>
      <c r="D144" s="670"/>
      <c r="E144" s="671"/>
      <c r="F144" s="643"/>
      <c r="G144" s="643"/>
      <c r="H144" s="643"/>
      <c r="I144" s="643"/>
      <c r="J144" s="667"/>
      <c r="K144" s="668"/>
      <c r="L144" s="643"/>
      <c r="M144" s="643"/>
      <c r="N144" s="669"/>
      <c r="O144" s="668"/>
      <c r="P144" s="669"/>
    </row>
    <row r="145" spans="1:17" x14ac:dyDescent="0.2">
      <c r="A145" s="595"/>
      <c r="B145" s="590" t="s">
        <v>256</v>
      </c>
      <c r="C145" s="589"/>
      <c r="D145" s="670"/>
      <c r="E145" s="671"/>
      <c r="F145" s="643"/>
      <c r="G145" s="643"/>
      <c r="H145" s="643"/>
      <c r="I145" s="643"/>
      <c r="J145" s="667"/>
      <c r="K145" s="668"/>
      <c r="L145" s="643"/>
      <c r="M145" s="643"/>
      <c r="N145" s="669"/>
      <c r="O145" s="668"/>
      <c r="P145" s="669"/>
    </row>
    <row r="146" spans="1:17" x14ac:dyDescent="0.2">
      <c r="A146" s="595" t="s">
        <v>15</v>
      </c>
      <c r="B146" s="521" t="s">
        <v>257</v>
      </c>
      <c r="C146" s="589"/>
      <c r="D146" s="670"/>
      <c r="E146" s="671"/>
      <c r="F146" s="643"/>
      <c r="G146" s="643">
        <f>'Művh.kiad.'!F12</f>
        <v>175000</v>
      </c>
      <c r="H146" s="643"/>
      <c r="I146" s="643"/>
      <c r="J146" s="667"/>
      <c r="K146" s="668"/>
      <c r="L146" s="643"/>
      <c r="M146" s="643"/>
      <c r="N146" s="669"/>
      <c r="O146" s="668"/>
      <c r="P146" s="669"/>
    </row>
    <row r="147" spans="1:17" x14ac:dyDescent="0.2">
      <c r="A147" s="595" t="s">
        <v>37</v>
      </c>
      <c r="B147" s="521" t="s">
        <v>258</v>
      </c>
      <c r="C147" s="589"/>
      <c r="D147" s="670"/>
      <c r="E147" s="671"/>
      <c r="F147" s="643"/>
      <c r="G147" s="643"/>
      <c r="H147" s="643"/>
      <c r="I147" s="643"/>
      <c r="J147" s="667"/>
      <c r="K147" s="668"/>
      <c r="L147" s="643"/>
      <c r="M147" s="643"/>
      <c r="N147" s="669"/>
      <c r="O147" s="668"/>
      <c r="P147" s="669"/>
    </row>
    <row r="148" spans="1:17" x14ac:dyDescent="0.2">
      <c r="A148" s="595" t="s">
        <v>38</v>
      </c>
      <c r="B148" s="521" t="s">
        <v>33</v>
      </c>
      <c r="C148" s="589"/>
      <c r="D148" s="670"/>
      <c r="E148" s="671">
        <f>'Művh.kiad.'!F17</f>
        <v>720000</v>
      </c>
      <c r="F148" s="643">
        <f>'Művh.kiad.'!F20</f>
        <v>158400</v>
      </c>
      <c r="G148" s="643">
        <f>'Művh.kiad.'!F25</f>
        <v>0</v>
      </c>
      <c r="H148" s="643"/>
      <c r="I148" s="643"/>
      <c r="J148" s="667"/>
      <c r="K148" s="668"/>
      <c r="L148" s="643"/>
      <c r="M148" s="643"/>
      <c r="N148" s="669"/>
      <c r="O148" s="668"/>
      <c r="P148" s="669"/>
    </row>
    <row r="149" spans="1:17" x14ac:dyDescent="0.2">
      <c r="A149" s="595" t="s">
        <v>39</v>
      </c>
      <c r="B149" s="521" t="s">
        <v>331</v>
      </c>
      <c r="C149" s="589">
        <v>2</v>
      </c>
      <c r="D149" s="670">
        <f>'Művh.bev.'!F10</f>
        <v>13566400</v>
      </c>
      <c r="E149" s="671">
        <f>'Művh.kiad.'!F36</f>
        <v>6430000</v>
      </c>
      <c r="F149" s="643">
        <f>'Művh.kiad.'!F39</f>
        <v>1209500</v>
      </c>
      <c r="G149" s="643">
        <f>'Művh.kiad.'!F52</f>
        <v>4059500</v>
      </c>
      <c r="H149" s="643"/>
      <c r="I149" s="643"/>
      <c r="J149" s="667"/>
      <c r="K149" s="668"/>
      <c r="L149" s="643">
        <f>'Művh.kiad.'!F55</f>
        <v>1016000</v>
      </c>
      <c r="M149" s="643"/>
      <c r="N149" s="669"/>
      <c r="O149" s="668"/>
      <c r="P149" s="669"/>
    </row>
    <row r="150" spans="1:17" x14ac:dyDescent="0.2">
      <c r="A150" s="595"/>
      <c r="B150" s="590" t="s">
        <v>261</v>
      </c>
      <c r="C150" s="589"/>
      <c r="D150" s="670"/>
      <c r="E150" s="671"/>
      <c r="F150" s="643"/>
      <c r="G150" s="643"/>
      <c r="H150" s="643"/>
      <c r="I150" s="643"/>
      <c r="J150" s="667"/>
      <c r="K150" s="668"/>
      <c r="L150" s="643"/>
      <c r="M150" s="643"/>
      <c r="N150" s="669"/>
      <c r="O150" s="668"/>
      <c r="P150" s="669"/>
    </row>
    <row r="151" spans="1:17" x14ac:dyDescent="0.2">
      <c r="A151" s="595" t="s">
        <v>15</v>
      </c>
      <c r="B151" s="521" t="s">
        <v>327</v>
      </c>
      <c r="C151" s="588">
        <v>6</v>
      </c>
      <c r="D151" s="670">
        <f>Ovibev.!F10</f>
        <v>63412301</v>
      </c>
      <c r="E151" s="671">
        <f>Ovikiad.!F15</f>
        <v>18632698</v>
      </c>
      <c r="F151" s="643">
        <f>Ovikiad.!F18</f>
        <v>3609001</v>
      </c>
      <c r="G151" s="643"/>
      <c r="H151" s="643"/>
      <c r="I151" s="643"/>
      <c r="J151" s="667"/>
      <c r="K151" s="668"/>
      <c r="L151" s="643"/>
      <c r="M151" s="643"/>
      <c r="N151" s="669"/>
      <c r="O151" s="668"/>
      <c r="P151" s="669"/>
    </row>
    <row r="152" spans="1:17" x14ac:dyDescent="0.2">
      <c r="A152" s="595" t="s">
        <v>37</v>
      </c>
      <c r="B152" s="521" t="s">
        <v>311</v>
      </c>
      <c r="C152" s="588"/>
      <c r="D152" s="666"/>
      <c r="E152" s="671"/>
      <c r="F152" s="643"/>
      <c r="G152" s="643">
        <f>Ovikiad.!F51</f>
        <v>7483599</v>
      </c>
      <c r="H152" s="643"/>
      <c r="I152" s="643"/>
      <c r="J152" s="667"/>
      <c r="K152" s="668"/>
      <c r="L152" s="643">
        <f>Ovikiad.!F54</f>
        <v>1370000</v>
      </c>
      <c r="M152" s="643"/>
      <c r="N152" s="669"/>
      <c r="O152" s="668"/>
      <c r="P152" s="669"/>
    </row>
    <row r="153" spans="1:17" x14ac:dyDescent="0.2">
      <c r="A153" s="595" t="s">
        <v>38</v>
      </c>
      <c r="B153" s="521" t="s">
        <v>262</v>
      </c>
      <c r="C153" s="591"/>
      <c r="D153" s="666"/>
      <c r="E153" s="671"/>
      <c r="F153" s="643"/>
      <c r="G153" s="643"/>
      <c r="H153" s="643"/>
      <c r="I153" s="643"/>
      <c r="J153" s="667"/>
      <c r="K153" s="668"/>
      <c r="L153" s="643"/>
      <c r="M153" s="643"/>
      <c r="N153" s="669"/>
      <c r="O153" s="668"/>
      <c r="P153" s="669"/>
    </row>
    <row r="154" spans="1:17" x14ac:dyDescent="0.2">
      <c r="A154" s="595" t="s">
        <v>39</v>
      </c>
      <c r="B154" s="521" t="s">
        <v>328</v>
      </c>
      <c r="C154" s="591">
        <v>3</v>
      </c>
      <c r="D154" s="666"/>
      <c r="E154" s="671">
        <f>Ovikiad.!F30</f>
        <v>15138080</v>
      </c>
      <c r="F154" s="643">
        <f>Ovikiad.!F33</f>
        <v>2938181</v>
      </c>
      <c r="G154" s="643"/>
      <c r="H154" s="643"/>
      <c r="I154" s="643"/>
      <c r="J154" s="667"/>
      <c r="K154" s="668"/>
      <c r="L154" s="643"/>
      <c r="M154" s="643"/>
      <c r="N154" s="669"/>
      <c r="O154" s="668"/>
      <c r="P154" s="669"/>
    </row>
    <row r="155" spans="1:17" x14ac:dyDescent="0.2">
      <c r="A155" s="595" t="s">
        <v>40</v>
      </c>
      <c r="B155" s="521" t="s">
        <v>17</v>
      </c>
      <c r="C155" s="591">
        <v>1</v>
      </c>
      <c r="D155" s="666"/>
      <c r="E155" s="671">
        <f>Ovikiad.!F64</f>
        <v>2589770</v>
      </c>
      <c r="F155" s="643">
        <f>Ovikiad.!F67</f>
        <v>505005</v>
      </c>
      <c r="G155" s="643"/>
      <c r="H155" s="643"/>
      <c r="I155" s="643"/>
      <c r="J155" s="667"/>
      <c r="K155" s="668"/>
      <c r="L155" s="643"/>
      <c r="M155" s="643"/>
      <c r="N155" s="669"/>
      <c r="O155" s="668"/>
      <c r="P155" s="669"/>
    </row>
    <row r="156" spans="1:17" ht="13.5" thickBot="1" x14ac:dyDescent="0.25">
      <c r="A156" s="684" t="s">
        <v>41</v>
      </c>
      <c r="B156" s="601" t="s">
        <v>364</v>
      </c>
      <c r="C156" s="592">
        <v>4</v>
      </c>
      <c r="D156" s="672"/>
      <c r="E156" s="673">
        <f>Ovikiad.!F77</f>
        <v>10769001</v>
      </c>
      <c r="F156" s="674">
        <f>Ovikiad.!F80</f>
        <v>2073665</v>
      </c>
      <c r="G156" s="674"/>
      <c r="H156" s="674"/>
      <c r="I156" s="674"/>
      <c r="J156" s="675"/>
      <c r="K156" s="676"/>
      <c r="L156" s="674"/>
      <c r="M156" s="674"/>
      <c r="N156" s="677"/>
      <c r="O156" s="676"/>
      <c r="P156" s="677"/>
    </row>
    <row r="157" spans="1:17" ht="16.5" customHeight="1" thickBot="1" x14ac:dyDescent="0.25">
      <c r="A157" s="989" t="s">
        <v>83</v>
      </c>
      <c r="B157" s="1013"/>
      <c r="C157" s="685">
        <f>C87+C88+C89+C90+C91+C92+C93+C94+C95+C96+C97+C98+C99+C102+C103+C104+C105+C106+C107+C108+C109+C110+C111+C112+C113+C114+C115+C116+C117+C118+C119+C120+C121+C122+C123+C124+C125+C129+C130+C131+C132+C133+C134+C135+C136+C138+C139+C140+C141+C142+C143+C146+C147+C148+C149+C151+C152+C153+C154+C156+C155</f>
        <v>38</v>
      </c>
      <c r="D157" s="686">
        <f>SUM(D86:D125)+SUM(D129:D156)</f>
        <v>149377101</v>
      </c>
      <c r="E157" s="686">
        <f t="shared" ref="E157:P157" si="1">SUM(E86:E125)+SUM(E129:E156)</f>
        <v>155877859</v>
      </c>
      <c r="F157" s="686">
        <f t="shared" si="1"/>
        <v>29450732</v>
      </c>
      <c r="G157" s="686">
        <f t="shared" si="1"/>
        <v>86142086.930000007</v>
      </c>
      <c r="H157" s="686">
        <f t="shared" si="1"/>
        <v>13198266</v>
      </c>
      <c r="I157" s="686">
        <f t="shared" si="1"/>
        <v>6207000</v>
      </c>
      <c r="J157" s="686">
        <f t="shared" si="1"/>
        <v>10810500</v>
      </c>
      <c r="K157" s="686">
        <f t="shared" si="1"/>
        <v>158430139</v>
      </c>
      <c r="L157" s="686">
        <f t="shared" si="1"/>
        <v>9235500</v>
      </c>
      <c r="M157" s="686">
        <f t="shared" si="1"/>
        <v>1263000</v>
      </c>
      <c r="N157" s="686">
        <f t="shared" si="1"/>
        <v>0</v>
      </c>
      <c r="O157" s="686">
        <f t="shared" si="1"/>
        <v>0</v>
      </c>
      <c r="P157" s="686">
        <f t="shared" si="1"/>
        <v>29188560</v>
      </c>
    </row>
    <row r="158" spans="1:17" ht="15" customHeight="1" thickBot="1" x14ac:dyDescent="0.25">
      <c r="A158" s="1024" t="s">
        <v>188</v>
      </c>
      <c r="B158" s="1025"/>
      <c r="C158" s="162"/>
      <c r="D158" s="663"/>
      <c r="E158" s="1014">
        <f>E157+F157+G157+H157+I157+J157+K157+L157+M157+N157+O157+P157+D157</f>
        <v>649180743.93000007</v>
      </c>
      <c r="F158" s="1014"/>
      <c r="G158" s="1014"/>
      <c r="H158" s="1014"/>
      <c r="I158" s="1014"/>
      <c r="J158" s="1014"/>
      <c r="K158" s="1014"/>
      <c r="L158" s="1014"/>
      <c r="M158" s="1014"/>
      <c r="N158" s="1014"/>
      <c r="O158" s="1014"/>
      <c r="P158" s="1015"/>
      <c r="Q158" s="3">
        <f>E158-D75</f>
        <v>-6.9999933242797852E-2</v>
      </c>
    </row>
    <row r="159" spans="1:17" ht="13.5" thickBot="1" x14ac:dyDescent="0.25">
      <c r="A159" s="959" t="s">
        <v>189</v>
      </c>
      <c r="B159" s="960"/>
      <c r="C159" s="599"/>
      <c r="D159" s="664"/>
      <c r="E159" s="963">
        <f>-D157</f>
        <v>-149377101</v>
      </c>
      <c r="F159" s="963"/>
      <c r="G159" s="963"/>
      <c r="H159" s="963"/>
      <c r="I159" s="963"/>
      <c r="J159" s="963"/>
      <c r="K159" s="963"/>
      <c r="L159" s="963"/>
      <c r="M159" s="963"/>
      <c r="N159" s="963"/>
      <c r="O159" s="963"/>
      <c r="P159" s="964"/>
      <c r="Q159" s="3">
        <f t="shared" ref="Q159:Q160" si="2">E159-D76</f>
        <v>0</v>
      </c>
    </row>
    <row r="160" spans="1:17" ht="13.5" thickBot="1" x14ac:dyDescent="0.25">
      <c r="A160" s="961" t="s">
        <v>190</v>
      </c>
      <c r="B160" s="962"/>
      <c r="C160" s="77"/>
      <c r="D160" s="665"/>
      <c r="E160" s="953">
        <f>SUM(E158:E159)</f>
        <v>499803642.93000007</v>
      </c>
      <c r="F160" s="953"/>
      <c r="G160" s="953"/>
      <c r="H160" s="953"/>
      <c r="I160" s="953"/>
      <c r="J160" s="953"/>
      <c r="K160" s="953"/>
      <c r="L160" s="953"/>
      <c r="M160" s="953"/>
      <c r="N160" s="953"/>
      <c r="O160" s="953"/>
      <c r="P160" s="954"/>
      <c r="Q160" s="3">
        <f t="shared" si="2"/>
        <v>-6.9999933242797852E-2</v>
      </c>
    </row>
  </sheetData>
  <autoFilter ref="B1:B160" xr:uid="{4F158942-A99A-44E3-A711-AC27772BC478}"/>
  <mergeCells count="48">
    <mergeCell ref="A75:B75"/>
    <mergeCell ref="A157:B157"/>
    <mergeCell ref="E158:P158"/>
    <mergeCell ref="E84:J84"/>
    <mergeCell ref="K84:N84"/>
    <mergeCell ref="O84:P84"/>
    <mergeCell ref="E127:J127"/>
    <mergeCell ref="A158:B158"/>
    <mergeCell ref="A76:B76"/>
    <mergeCell ref="A77:B77"/>
    <mergeCell ref="A86:B86"/>
    <mergeCell ref="B84:B85"/>
    <mergeCell ref="A1:P1"/>
    <mergeCell ref="A3:P3"/>
    <mergeCell ref="A74:B74"/>
    <mergeCell ref="A4:A5"/>
    <mergeCell ref="B4:B5"/>
    <mergeCell ref="E4:I4"/>
    <mergeCell ref="J4:L4"/>
    <mergeCell ref="M4:P4"/>
    <mergeCell ref="A2:P2"/>
    <mergeCell ref="M42:P42"/>
    <mergeCell ref="A6:B6"/>
    <mergeCell ref="J42:L42"/>
    <mergeCell ref="E42:I42"/>
    <mergeCell ref="C42:C43"/>
    <mergeCell ref="A42:A43"/>
    <mergeCell ref="B42:B43"/>
    <mergeCell ref="C4:C5"/>
    <mergeCell ref="D4:D5"/>
    <mergeCell ref="D42:D43"/>
    <mergeCell ref="D84:D85"/>
    <mergeCell ref="C84:C85"/>
    <mergeCell ref="D75:P75"/>
    <mergeCell ref="D76:P76"/>
    <mergeCell ref="D77:P77"/>
    <mergeCell ref="H18:H19"/>
    <mergeCell ref="E160:P160"/>
    <mergeCell ref="A127:A128"/>
    <mergeCell ref="B127:B128"/>
    <mergeCell ref="A84:A85"/>
    <mergeCell ref="A159:B159"/>
    <mergeCell ref="A160:B160"/>
    <mergeCell ref="E159:P159"/>
    <mergeCell ref="D127:D128"/>
    <mergeCell ref="C127:C128"/>
    <mergeCell ref="K127:N127"/>
    <mergeCell ref="O127:P127"/>
  </mergeCells>
  <phoneticPr fontId="13" type="noConversion"/>
  <pageMargins left="0.39370078740157483" right="0.39370078740157483" top="0.59055118110236227" bottom="0.39370078740157483" header="0.51181102362204722" footer="0.51181102362204722"/>
  <pageSetup paperSize="9" scale="68" fitToHeight="4" orientation="landscape" r:id="rId1"/>
  <headerFooter alignWithMargins="0"/>
  <rowBreaks count="3" manualBreakCount="3">
    <brk id="41" max="16383" man="1"/>
    <brk id="83" max="16383" man="1"/>
    <brk id="12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P35"/>
  <sheetViews>
    <sheetView view="pageBreakPreview" zoomScaleNormal="100" zoomScaleSheetLayoutView="100" workbookViewId="0">
      <selection activeCell="B33" sqref="B33"/>
    </sheetView>
  </sheetViews>
  <sheetFormatPr defaultRowHeight="12.75" x14ac:dyDescent="0.2"/>
  <cols>
    <col min="1" max="1" width="64.5703125" customWidth="1"/>
    <col min="2" max="2" width="12.85546875" customWidth="1"/>
  </cols>
  <sheetData>
    <row r="1" spans="1:16" ht="15" customHeight="1" x14ac:dyDescent="0.2">
      <c r="A1" s="987" t="s">
        <v>383</v>
      </c>
      <c r="B1" s="987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2" customFormat="1" ht="18.75" customHeight="1" x14ac:dyDescent="0.25">
      <c r="A2" s="1037"/>
      <c r="B2" s="1037"/>
    </row>
    <row r="3" spans="1:16" ht="22.5" customHeight="1" x14ac:dyDescent="0.25">
      <c r="A3" s="1036" t="s">
        <v>263</v>
      </c>
      <c r="B3" s="1036"/>
    </row>
    <row r="4" spans="1:16" ht="17.25" customHeight="1" x14ac:dyDescent="0.25">
      <c r="A4" s="1036" t="s">
        <v>372</v>
      </c>
      <c r="B4" s="1036"/>
    </row>
    <row r="5" spans="1:16" ht="17.25" customHeight="1" thickBot="1" x14ac:dyDescent="0.35">
      <c r="A5" s="155"/>
      <c r="B5" s="160" t="s">
        <v>360</v>
      </c>
    </row>
    <row r="6" spans="1:16" ht="24.95" customHeight="1" thickBot="1" x14ac:dyDescent="0.25">
      <c r="A6" s="1034" t="s">
        <v>361</v>
      </c>
      <c r="B6" s="1035"/>
    </row>
    <row r="7" spans="1:16" ht="24.95" customHeight="1" thickBot="1" x14ac:dyDescent="0.25">
      <c r="A7" s="708"/>
      <c r="B7" s="708"/>
    </row>
    <row r="8" spans="1:16" ht="24.95" customHeight="1" x14ac:dyDescent="0.2">
      <c r="A8" s="720" t="s">
        <v>345</v>
      </c>
      <c r="B8" s="721">
        <v>10307241</v>
      </c>
    </row>
    <row r="9" spans="1:16" ht="24.95" customHeight="1" thickBot="1" x14ac:dyDescent="0.25">
      <c r="A9" s="713" t="s">
        <v>739</v>
      </c>
      <c r="B9" s="717">
        <f>'Hiv.bev.'!F17+'Hiv.bev.'!F24</f>
        <v>4669073</v>
      </c>
    </row>
    <row r="10" spans="1:16" ht="24.95" customHeight="1" thickBot="1" x14ac:dyDescent="0.25">
      <c r="A10" s="710" t="s">
        <v>738</v>
      </c>
      <c r="B10" s="714">
        <f>SUM(B8:B9)</f>
        <v>14976314</v>
      </c>
    </row>
    <row r="11" spans="1:16" ht="24.95" customHeight="1" x14ac:dyDescent="0.2">
      <c r="A11" s="711" t="s">
        <v>346</v>
      </c>
      <c r="B11" s="715">
        <f>'Önk.bev.'!F130</f>
        <v>6000000</v>
      </c>
    </row>
    <row r="12" spans="1:16" ht="24.95" customHeight="1" x14ac:dyDescent="0.2">
      <c r="A12" s="712" t="s">
        <v>347</v>
      </c>
      <c r="B12" s="716">
        <f>'Önk.bev.'!F131</f>
        <v>67000000</v>
      </c>
    </row>
    <row r="13" spans="1:16" ht="24.95" customHeight="1" x14ac:dyDescent="0.2">
      <c r="A13" s="712" t="s">
        <v>348</v>
      </c>
      <c r="B13" s="716">
        <v>6000000</v>
      </c>
    </row>
    <row r="14" spans="1:16" ht="24.95" customHeight="1" x14ac:dyDescent="0.2">
      <c r="A14" s="712" t="s">
        <v>349</v>
      </c>
      <c r="B14" s="716">
        <v>300000</v>
      </c>
    </row>
    <row r="15" spans="1:16" ht="24.95" customHeight="1" x14ac:dyDescent="0.2">
      <c r="A15" s="712" t="s">
        <v>350</v>
      </c>
      <c r="B15" s="716">
        <v>0</v>
      </c>
    </row>
    <row r="16" spans="1:16" ht="24.95" customHeight="1" thickBot="1" x14ac:dyDescent="0.25">
      <c r="A16" s="712" t="s">
        <v>351</v>
      </c>
      <c r="B16" s="716">
        <v>200000</v>
      </c>
    </row>
    <row r="17" spans="1:2" ht="24.95" customHeight="1" thickBot="1" x14ac:dyDescent="0.25">
      <c r="A17" s="710" t="s">
        <v>219</v>
      </c>
      <c r="B17" s="714">
        <f>SUM(B11:B16)</f>
        <v>79500000</v>
      </c>
    </row>
    <row r="18" spans="1:2" ht="24.95" customHeight="1" x14ac:dyDescent="0.2">
      <c r="A18" s="711" t="s">
        <v>218</v>
      </c>
      <c r="B18" s="715">
        <v>100000</v>
      </c>
    </row>
    <row r="19" spans="1:2" ht="24.95" customHeight="1" x14ac:dyDescent="0.2">
      <c r="A19" s="712" t="s">
        <v>352</v>
      </c>
      <c r="B19" s="716">
        <v>250000</v>
      </c>
    </row>
    <row r="20" spans="1:2" ht="24.95" customHeight="1" x14ac:dyDescent="0.2">
      <c r="A20" s="712" t="s">
        <v>353</v>
      </c>
      <c r="B20" s="716">
        <v>300000</v>
      </c>
    </row>
    <row r="21" spans="1:2" ht="24.95" customHeight="1" x14ac:dyDescent="0.2">
      <c r="A21" s="712" t="s">
        <v>354</v>
      </c>
      <c r="B21" s="716">
        <v>54287420</v>
      </c>
    </row>
    <row r="22" spans="1:2" ht="24.95" customHeight="1" x14ac:dyDescent="0.2">
      <c r="A22" s="712" t="s">
        <v>355</v>
      </c>
      <c r="B22" s="716">
        <v>4753311</v>
      </c>
    </row>
    <row r="23" spans="1:2" ht="24.95" customHeight="1" x14ac:dyDescent="0.2">
      <c r="A23" s="712" t="s">
        <v>356</v>
      </c>
      <c r="B23" s="716">
        <v>5170401</v>
      </c>
    </row>
    <row r="24" spans="1:2" ht="24.95" customHeight="1" x14ac:dyDescent="0.2">
      <c r="A24" s="712" t="s">
        <v>357</v>
      </c>
      <c r="B24" s="716">
        <v>500000</v>
      </c>
    </row>
    <row r="25" spans="1:2" ht="24.95" customHeight="1" x14ac:dyDescent="0.2">
      <c r="A25" s="712" t="s">
        <v>358</v>
      </c>
      <c r="B25" s="716">
        <v>200000</v>
      </c>
    </row>
    <row r="26" spans="1:2" ht="24.95" customHeight="1" x14ac:dyDescent="0.2">
      <c r="A26" s="712" t="s">
        <v>735</v>
      </c>
      <c r="B26" s="716">
        <v>1443000</v>
      </c>
    </row>
    <row r="27" spans="1:2" ht="24.95" customHeight="1" x14ac:dyDescent="0.2">
      <c r="A27" s="712" t="s">
        <v>359</v>
      </c>
      <c r="B27" s="716">
        <f>'Művh.bev.'!F19</f>
        <v>98911</v>
      </c>
    </row>
    <row r="28" spans="1:2" ht="24.95" customHeight="1" x14ac:dyDescent="0.2">
      <c r="A28" s="712" t="s">
        <v>736</v>
      </c>
      <c r="B28" s="716">
        <f>'Hiv.bev.'!F18+'Hiv.bev.'!F19</f>
        <v>55659</v>
      </c>
    </row>
    <row r="29" spans="1:2" ht="24.95" customHeight="1" thickBot="1" x14ac:dyDescent="0.25">
      <c r="A29" s="713" t="s">
        <v>737</v>
      </c>
      <c r="B29" s="717">
        <f>Ovibev.!F18+Ovibev.!F19</f>
        <v>1398012</v>
      </c>
    </row>
    <row r="30" spans="1:2" ht="24.95" customHeight="1" thickBot="1" x14ac:dyDescent="0.25">
      <c r="A30" s="710" t="s">
        <v>167</v>
      </c>
      <c r="B30" s="714">
        <f>SUM(B18:B29)</f>
        <v>68556714</v>
      </c>
    </row>
    <row r="31" spans="1:2" ht="24.95" customHeight="1" x14ac:dyDescent="0.2">
      <c r="A31" s="166" t="s">
        <v>740</v>
      </c>
      <c r="B31" s="715">
        <v>53827200</v>
      </c>
    </row>
    <row r="32" spans="1:2" ht="24.95" customHeight="1" thickBot="1" x14ac:dyDescent="0.25">
      <c r="A32" s="709" t="s">
        <v>741</v>
      </c>
      <c r="B32" s="718">
        <v>497000</v>
      </c>
    </row>
    <row r="33" spans="1:2" ht="24.95" customHeight="1" thickBot="1" x14ac:dyDescent="0.25">
      <c r="A33" s="722" t="s">
        <v>4</v>
      </c>
      <c r="B33" s="714">
        <f>SUM(B31:B32)</f>
        <v>54324200</v>
      </c>
    </row>
    <row r="34" spans="1:2" ht="24.95" customHeight="1" thickBot="1" x14ac:dyDescent="0.3">
      <c r="A34" s="723" t="s">
        <v>83</v>
      </c>
      <c r="B34" s="719">
        <f>+B10+B17+B30+B33</f>
        <v>217357228</v>
      </c>
    </row>
    <row r="35" spans="1:2" ht="24.95" customHeight="1" x14ac:dyDescent="0.2"/>
  </sheetData>
  <mergeCells count="5">
    <mergeCell ref="A6:B6"/>
    <mergeCell ref="A3:B3"/>
    <mergeCell ref="A4:B4"/>
    <mergeCell ref="A1:B1"/>
    <mergeCell ref="A2:B2"/>
  </mergeCells>
  <phoneticPr fontId="0" type="noConversion"/>
  <pageMargins left="0.78740157480314965" right="0.78740157480314965" top="0.98425196850393704" bottom="0.19685039370078741" header="0.51181102362204722" footer="0.51181102362204722"/>
  <pageSetup paperSize="9" scale="95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14"/>
  <sheetViews>
    <sheetView zoomScaleNormal="100" workbookViewId="0">
      <selection activeCell="A18" sqref="A18"/>
    </sheetView>
  </sheetViews>
  <sheetFormatPr defaultRowHeight="12.75" x14ac:dyDescent="0.2"/>
  <cols>
    <col min="1" max="1" width="76" customWidth="1"/>
    <col min="2" max="2" width="14.85546875" customWidth="1"/>
    <col min="4" max="4" width="24.85546875" customWidth="1"/>
  </cols>
  <sheetData>
    <row r="1" spans="1:6" ht="18.75" customHeight="1" x14ac:dyDescent="0.2">
      <c r="A1" s="1039" t="s">
        <v>384</v>
      </c>
      <c r="B1" s="1039"/>
      <c r="C1" s="8"/>
      <c r="D1" s="1039"/>
      <c r="E1" s="1039"/>
      <c r="F1" s="1039"/>
    </row>
    <row r="2" spans="1:6" ht="18.75" customHeight="1" x14ac:dyDescent="0.2">
      <c r="A2" s="79"/>
      <c r="B2" s="80"/>
      <c r="C2" s="80"/>
      <c r="D2" s="944"/>
      <c r="E2" s="945"/>
      <c r="F2" s="945"/>
    </row>
    <row r="3" spans="1:6" ht="34.5" customHeight="1" x14ac:dyDescent="0.25">
      <c r="A3" s="1040" t="s">
        <v>243</v>
      </c>
      <c r="B3" s="1040"/>
      <c r="C3" s="81"/>
      <c r="D3" s="1040"/>
      <c r="E3" s="1040"/>
      <c r="F3" s="1040"/>
    </row>
    <row r="4" spans="1:6" ht="20.25" customHeight="1" x14ac:dyDescent="0.25">
      <c r="A4" s="1041" t="s">
        <v>373</v>
      </c>
      <c r="B4" s="1041"/>
      <c r="C4" s="13"/>
      <c r="D4" s="1041"/>
      <c r="E4" s="1041"/>
      <c r="F4" s="1041"/>
    </row>
    <row r="6" spans="1:6" ht="12.75" customHeight="1" x14ac:dyDescent="0.25">
      <c r="A6" s="1038" t="s">
        <v>362</v>
      </c>
      <c r="B6" s="1038"/>
    </row>
    <row r="7" spans="1:6" x14ac:dyDescent="0.2">
      <c r="A7" s="159"/>
      <c r="B7" s="159"/>
    </row>
    <row r="8" spans="1:6" ht="15" x14ac:dyDescent="0.3">
      <c r="A8" s="7"/>
    </row>
    <row r="9" spans="1:6" ht="13.5" thickBot="1" x14ac:dyDescent="0.25">
      <c r="B9" s="1" t="s">
        <v>360</v>
      </c>
    </row>
    <row r="10" spans="1:6" ht="24.95" customHeight="1" x14ac:dyDescent="0.2">
      <c r="A10" s="724" t="s">
        <v>341</v>
      </c>
      <c r="B10" s="727">
        <f>'Önk.bev.'!F44</f>
        <v>70891556</v>
      </c>
    </row>
    <row r="11" spans="1:6" ht="24.95" customHeight="1" x14ac:dyDescent="0.2">
      <c r="A11" s="725" t="s">
        <v>342</v>
      </c>
      <c r="B11" s="728">
        <f>'Önk.bev.'!F53+'Önk.bev.'!F54</f>
        <v>44593433</v>
      </c>
    </row>
    <row r="12" spans="1:6" ht="31.5" customHeight="1" x14ac:dyDescent="0.2">
      <c r="A12" s="725" t="s">
        <v>343</v>
      </c>
      <c r="B12" s="728">
        <f>'Önk.bev.'!F55</f>
        <v>33359198</v>
      </c>
    </row>
    <row r="13" spans="1:6" ht="24.95" customHeight="1" thickBot="1" x14ac:dyDescent="0.25">
      <c r="A13" s="725" t="s">
        <v>344</v>
      </c>
      <c r="B13" s="728">
        <f>'Önk.bev.'!F62</f>
        <v>3119740</v>
      </c>
    </row>
    <row r="14" spans="1:6" ht="24.95" customHeight="1" thickBot="1" x14ac:dyDescent="0.25">
      <c r="A14" s="726" t="s">
        <v>229</v>
      </c>
      <c r="B14" s="729">
        <f>SUM(B10:B13)</f>
        <v>151963927</v>
      </c>
    </row>
  </sheetData>
  <mergeCells count="8">
    <mergeCell ref="A6:B6"/>
    <mergeCell ref="D1:F1"/>
    <mergeCell ref="D2:F2"/>
    <mergeCell ref="D3:F3"/>
    <mergeCell ref="D4:F4"/>
    <mergeCell ref="A4:B4"/>
    <mergeCell ref="A1:B1"/>
    <mergeCell ref="A3:B3"/>
  </mergeCells>
  <phoneticPr fontId="0" type="noConversion"/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B13"/>
  <sheetViews>
    <sheetView zoomScaleNormal="100" workbookViewId="0">
      <selection activeCell="A18" sqref="A18"/>
    </sheetView>
  </sheetViews>
  <sheetFormatPr defaultRowHeight="12.75" x14ac:dyDescent="0.2"/>
  <cols>
    <col min="1" max="1" width="58" customWidth="1"/>
    <col min="2" max="2" width="13.5703125" customWidth="1"/>
  </cols>
  <sheetData>
    <row r="1" spans="1:2" s="170" customFormat="1" ht="15" customHeight="1" x14ac:dyDescent="0.25">
      <c r="A1" s="1044" t="s">
        <v>385</v>
      </c>
      <c r="B1" s="1044"/>
    </row>
    <row r="2" spans="1:2" ht="14.25" x14ac:dyDescent="0.2">
      <c r="A2" s="945"/>
      <c r="B2" s="945"/>
    </row>
    <row r="3" spans="1:2" ht="17.25" customHeight="1" x14ac:dyDescent="0.2"/>
    <row r="4" spans="1:2" ht="18" customHeight="1" x14ac:dyDescent="0.25">
      <c r="A4" s="1041" t="s">
        <v>243</v>
      </c>
      <c r="B4" s="1041"/>
    </row>
    <row r="5" spans="1:2" ht="15.75" x14ac:dyDescent="0.25">
      <c r="A5" s="1043" t="s">
        <v>373</v>
      </c>
      <c r="B5" s="1043"/>
    </row>
    <row r="6" spans="1:2" ht="15.75" x14ac:dyDescent="0.25">
      <c r="A6" s="78"/>
    </row>
    <row r="7" spans="1:2" ht="15.75" customHeight="1" x14ac:dyDescent="0.25">
      <c r="A7" s="1042" t="s">
        <v>220</v>
      </c>
      <c r="B7" s="1042"/>
    </row>
    <row r="8" spans="1:2" ht="15.75" customHeight="1" x14ac:dyDescent="0.25">
      <c r="A8" s="95"/>
      <c r="B8" s="95"/>
    </row>
    <row r="9" spans="1:2" ht="15.75" customHeight="1" thickBot="1" x14ac:dyDescent="0.25">
      <c r="A9" s="165"/>
      <c r="B9" s="1" t="s">
        <v>360</v>
      </c>
    </row>
    <row r="10" spans="1:2" ht="30" customHeight="1" x14ac:dyDescent="0.2">
      <c r="A10" s="171" t="s">
        <v>368</v>
      </c>
      <c r="B10" s="172">
        <v>500000</v>
      </c>
    </row>
    <row r="11" spans="1:2" ht="30" customHeight="1" thickBot="1" x14ac:dyDescent="0.25">
      <c r="A11" s="173" t="s">
        <v>369</v>
      </c>
      <c r="B11" s="174">
        <v>10207000</v>
      </c>
    </row>
    <row r="12" spans="1:2" ht="30" customHeight="1" thickBot="1" x14ac:dyDescent="0.25">
      <c r="A12" s="175" t="s">
        <v>370</v>
      </c>
      <c r="B12" s="176">
        <f>B10+B11</f>
        <v>10707000</v>
      </c>
    </row>
    <row r="13" spans="1:2" ht="14.25" x14ac:dyDescent="0.2">
      <c r="A13" s="26"/>
      <c r="B13" s="26"/>
    </row>
  </sheetData>
  <mergeCells count="5">
    <mergeCell ref="A7:B7"/>
    <mergeCell ref="A5:B5"/>
    <mergeCell ref="A4:B4"/>
    <mergeCell ref="A1:B1"/>
    <mergeCell ref="A2:B2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5:G36"/>
  <sheetViews>
    <sheetView view="pageBreakPreview" zoomScale="60" zoomScaleNormal="100" workbookViewId="0">
      <selection activeCell="O26" sqref="O26"/>
    </sheetView>
  </sheetViews>
  <sheetFormatPr defaultRowHeight="12.75" x14ac:dyDescent="0.2"/>
  <cols>
    <col min="2" max="2" width="58.42578125" customWidth="1"/>
    <col min="3" max="3" width="18.85546875" customWidth="1"/>
    <col min="7" max="7" width="11.140625" bestFit="1" customWidth="1"/>
  </cols>
  <sheetData>
    <row r="5" spans="1:4" ht="15" customHeight="1" x14ac:dyDescent="0.2">
      <c r="A5" s="987" t="s">
        <v>386</v>
      </c>
      <c r="B5" s="987"/>
      <c r="C5" s="987"/>
      <c r="D5" s="987"/>
    </row>
    <row r="6" spans="1:4" ht="15" customHeight="1" x14ac:dyDescent="0.2">
      <c r="A6" s="944"/>
      <c r="B6" s="944"/>
      <c r="C6" s="944"/>
    </row>
    <row r="7" spans="1:4" ht="15" customHeight="1" x14ac:dyDescent="0.2">
      <c r="A7" s="11"/>
      <c r="B7" s="11"/>
      <c r="C7" s="12"/>
    </row>
    <row r="8" spans="1:4" ht="15.75" x14ac:dyDescent="0.25">
      <c r="A8" s="1041" t="s">
        <v>243</v>
      </c>
      <c r="B8" s="1041"/>
      <c r="C8" s="1041"/>
      <c r="D8" s="1041"/>
    </row>
    <row r="9" spans="1:4" ht="15.75" x14ac:dyDescent="0.25">
      <c r="A9" s="1043" t="s">
        <v>373</v>
      </c>
      <c r="B9" s="1043"/>
      <c r="C9" s="1043"/>
      <c r="D9" s="1043"/>
    </row>
    <row r="10" spans="1:4" ht="15.75" x14ac:dyDescent="0.25">
      <c r="A10" s="78"/>
      <c r="B10" s="78"/>
      <c r="C10" s="78"/>
    </row>
    <row r="11" spans="1:4" ht="15.75" x14ac:dyDescent="0.25">
      <c r="A11" s="1043" t="s">
        <v>187</v>
      </c>
      <c r="B11" s="1043"/>
      <c r="C11" s="1043"/>
      <c r="D11" s="1043"/>
    </row>
    <row r="12" spans="1:4" ht="15.75" x14ac:dyDescent="0.25">
      <c r="A12" s="78"/>
      <c r="B12" s="78"/>
      <c r="C12" s="78"/>
      <c r="D12" s="78"/>
    </row>
    <row r="13" spans="1:4" ht="16.5" customHeight="1" thickBot="1" x14ac:dyDescent="0.25">
      <c r="C13" s="730" t="s">
        <v>734</v>
      </c>
    </row>
    <row r="14" spans="1:4" ht="24.95" customHeight="1" thickBot="1" x14ac:dyDescent="0.3">
      <c r="B14" s="739" t="s">
        <v>221</v>
      </c>
      <c r="C14" s="738" t="s">
        <v>360</v>
      </c>
    </row>
    <row r="15" spans="1:4" ht="24.95" customHeight="1" x14ac:dyDescent="0.25">
      <c r="B15" s="744" t="s">
        <v>742</v>
      </c>
      <c r="C15" s="741">
        <v>2363000</v>
      </c>
    </row>
    <row r="16" spans="1:4" ht="24.95" customHeight="1" x14ac:dyDescent="0.25">
      <c r="B16" s="745" t="s">
        <v>743</v>
      </c>
      <c r="C16" s="734">
        <v>389500</v>
      </c>
    </row>
    <row r="17" spans="2:7" ht="24.95" customHeight="1" x14ac:dyDescent="0.25">
      <c r="B17" s="745" t="s">
        <v>717</v>
      </c>
      <c r="C17" s="734">
        <f>203000+98000</f>
        <v>301000</v>
      </c>
    </row>
    <row r="18" spans="2:7" ht="24.95" customHeight="1" x14ac:dyDescent="0.25">
      <c r="B18" s="745" t="s">
        <v>746</v>
      </c>
      <c r="C18" s="734">
        <v>133000</v>
      </c>
    </row>
    <row r="19" spans="2:7" ht="24.95" customHeight="1" x14ac:dyDescent="0.25">
      <c r="B19" s="745" t="s">
        <v>747</v>
      </c>
      <c r="C19" s="734">
        <v>2000000</v>
      </c>
    </row>
    <row r="20" spans="2:7" ht="24.95" customHeight="1" x14ac:dyDescent="0.25">
      <c r="B20" s="745" t="s">
        <v>374</v>
      </c>
      <c r="C20" s="746">
        <f>'Művh.kiad.'!F53</f>
        <v>800000</v>
      </c>
    </row>
    <row r="21" spans="2:7" ht="24.95" customHeight="1" x14ac:dyDescent="0.25">
      <c r="B21" s="745" t="s">
        <v>745</v>
      </c>
      <c r="C21" s="746">
        <f>Ovikiad.!F52</f>
        <v>1110000</v>
      </c>
    </row>
    <row r="22" spans="2:7" ht="24.95" customHeight="1" thickBot="1" x14ac:dyDescent="0.3">
      <c r="B22" s="732" t="s">
        <v>744</v>
      </c>
      <c r="C22" s="747">
        <f>800000+'Művh.kiad.'!F54+Ovikiad.!F53+36000+27000+800000</f>
        <v>2139000</v>
      </c>
    </row>
    <row r="23" spans="2:7" ht="24.95" customHeight="1" thickBot="1" x14ac:dyDescent="0.3">
      <c r="B23" s="737" t="s">
        <v>222</v>
      </c>
      <c r="C23" s="742">
        <f>SUM(C15:C22)</f>
        <v>9235500</v>
      </c>
    </row>
    <row r="24" spans="2:7" ht="24.95" customHeight="1" thickBot="1" x14ac:dyDescent="0.3">
      <c r="B24" s="1045"/>
      <c r="C24" s="1046"/>
    </row>
    <row r="25" spans="2:7" ht="24.95" customHeight="1" thickBot="1" x14ac:dyDescent="0.3">
      <c r="B25" s="739" t="s">
        <v>223</v>
      </c>
      <c r="C25" s="743" t="s">
        <v>360</v>
      </c>
    </row>
    <row r="26" spans="2:7" ht="24.95" customHeight="1" x14ac:dyDescent="0.25">
      <c r="B26" s="740" t="s">
        <v>751</v>
      </c>
      <c r="C26" s="741">
        <v>77000000</v>
      </c>
    </row>
    <row r="27" spans="2:7" ht="24.95" customHeight="1" x14ac:dyDescent="0.25">
      <c r="B27" s="731" t="s">
        <v>750</v>
      </c>
      <c r="C27" s="734">
        <v>2000000</v>
      </c>
      <c r="G27" s="3"/>
    </row>
    <row r="28" spans="2:7" ht="24.95" customHeight="1" x14ac:dyDescent="0.25">
      <c r="B28" s="731" t="s">
        <v>749</v>
      </c>
      <c r="C28" s="734">
        <v>5000000</v>
      </c>
    </row>
    <row r="29" spans="2:7" ht="24.95" customHeight="1" x14ac:dyDescent="0.25">
      <c r="B29" s="731" t="s">
        <v>376</v>
      </c>
      <c r="C29" s="734">
        <v>10819007</v>
      </c>
    </row>
    <row r="30" spans="2:7" ht="24.95" customHeight="1" x14ac:dyDescent="0.25">
      <c r="B30" s="748" t="s">
        <v>748</v>
      </c>
      <c r="C30" s="735">
        <f>1900000+2921132+20790000</f>
        <v>25611132</v>
      </c>
    </row>
    <row r="31" spans="2:7" ht="24.95" customHeight="1" x14ac:dyDescent="0.25">
      <c r="B31" s="749" t="s">
        <v>752</v>
      </c>
      <c r="C31" s="750">
        <v>1263000</v>
      </c>
    </row>
    <row r="32" spans="2:7" ht="24.95" customHeight="1" thickBot="1" x14ac:dyDescent="0.3">
      <c r="B32" s="732" t="s">
        <v>375</v>
      </c>
      <c r="C32" s="735">
        <v>38000000</v>
      </c>
    </row>
    <row r="33" spans="2:3" ht="24.95" customHeight="1" thickBot="1" x14ac:dyDescent="0.3">
      <c r="B33" s="733" t="s">
        <v>298</v>
      </c>
      <c r="C33" s="736">
        <f>SUM(C26:C32)-C31</f>
        <v>158430139</v>
      </c>
    </row>
    <row r="34" spans="2:3" ht="24.95" customHeight="1" x14ac:dyDescent="0.2"/>
    <row r="35" spans="2:3" ht="24.95" customHeight="1" thickBot="1" x14ac:dyDescent="0.25"/>
    <row r="36" spans="2:3" ht="24.95" customHeight="1" thickBot="1" x14ac:dyDescent="0.3">
      <c r="B36" s="751" t="s">
        <v>335</v>
      </c>
      <c r="C36" s="752">
        <f>C23+C33</f>
        <v>167665639</v>
      </c>
    </row>
  </sheetData>
  <mergeCells count="6">
    <mergeCell ref="A5:D5"/>
    <mergeCell ref="B24:C24"/>
    <mergeCell ref="A6:C6"/>
    <mergeCell ref="A11:D11"/>
    <mergeCell ref="A8:D8"/>
    <mergeCell ref="A9:D9"/>
  </mergeCells>
  <phoneticPr fontId="13" type="noConversion"/>
  <pageMargins left="0.75" right="0.75" top="1" bottom="1" header="0.5" footer="0.5"/>
  <pageSetup paperSize="9" scale="9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3:G20"/>
  <sheetViews>
    <sheetView workbookViewId="0">
      <selection activeCell="B29" sqref="B29"/>
    </sheetView>
  </sheetViews>
  <sheetFormatPr defaultRowHeight="12.75" x14ac:dyDescent="0.2"/>
  <cols>
    <col min="2" max="2" width="45.7109375" customWidth="1"/>
    <col min="3" max="3" width="12.7109375" customWidth="1"/>
  </cols>
  <sheetData>
    <row r="3" spans="1:7" ht="15" customHeight="1" x14ac:dyDescent="0.2">
      <c r="A3" s="987" t="s">
        <v>387</v>
      </c>
      <c r="B3" s="987"/>
      <c r="C3" s="987"/>
      <c r="D3" s="987"/>
      <c r="E3" s="12"/>
      <c r="F3" s="12"/>
      <c r="G3" s="12"/>
    </row>
    <row r="4" spans="1:7" ht="15" customHeight="1" x14ac:dyDescent="0.2">
      <c r="A4" s="944"/>
      <c r="B4" s="945"/>
      <c r="C4" s="945"/>
      <c r="D4" s="945"/>
      <c r="E4" s="12"/>
      <c r="F4" s="12"/>
      <c r="G4" s="12"/>
    </row>
    <row r="5" spans="1:7" ht="15" x14ac:dyDescent="0.2">
      <c r="B5" s="11"/>
      <c r="C5" s="11"/>
      <c r="D5" s="11"/>
      <c r="E5" s="11"/>
    </row>
    <row r="6" spans="1:7" ht="15.75" x14ac:dyDescent="0.25">
      <c r="A6" s="1041" t="s">
        <v>243</v>
      </c>
      <c r="B6" s="1041"/>
      <c r="C6" s="1041"/>
      <c r="D6" s="1041"/>
      <c r="E6" s="13"/>
      <c r="F6" s="13"/>
      <c r="G6" s="13"/>
    </row>
    <row r="7" spans="1:7" ht="15.75" x14ac:dyDescent="0.25">
      <c r="A7" s="1043" t="s">
        <v>373</v>
      </c>
      <c r="B7" s="1043"/>
      <c r="C7" s="1043"/>
      <c r="D7" s="1043"/>
      <c r="E7" s="14"/>
      <c r="F7" s="14"/>
      <c r="G7" s="14"/>
    </row>
    <row r="10" spans="1:7" ht="15.75" x14ac:dyDescent="0.25">
      <c r="A10" s="1047" t="s">
        <v>84</v>
      </c>
      <c r="B10" s="1047"/>
      <c r="C10" s="1047"/>
      <c r="D10" s="1047"/>
      <c r="E10" s="15"/>
      <c r="F10" s="15"/>
      <c r="G10" s="15"/>
    </row>
    <row r="13" spans="1:7" ht="13.5" thickBot="1" x14ac:dyDescent="0.25">
      <c r="C13" s="1" t="s">
        <v>11</v>
      </c>
    </row>
    <row r="14" spans="1:7" ht="15" x14ac:dyDescent="0.25">
      <c r="B14" s="20" t="s">
        <v>6</v>
      </c>
      <c r="C14" s="16">
        <f>20110007/1000</f>
        <v>20110.007000000001</v>
      </c>
    </row>
    <row r="15" spans="1:7" ht="15" x14ac:dyDescent="0.25">
      <c r="B15" s="18"/>
      <c r="C15" s="17"/>
    </row>
    <row r="16" spans="1:7" ht="15" x14ac:dyDescent="0.25">
      <c r="B16" s="18" t="s">
        <v>224</v>
      </c>
      <c r="C16" s="19"/>
    </row>
    <row r="17" spans="2:3" ht="15" x14ac:dyDescent="0.25">
      <c r="B17" s="10" t="s">
        <v>340</v>
      </c>
      <c r="C17" s="150">
        <f>9078553/1000</f>
        <v>9078.5529999999999</v>
      </c>
    </row>
    <row r="18" spans="2:3" ht="15" x14ac:dyDescent="0.25">
      <c r="B18" s="18" t="s">
        <v>264</v>
      </c>
      <c r="C18" s="21">
        <f>SUM(C17:C17)</f>
        <v>9078.5529999999999</v>
      </c>
    </row>
    <row r="19" spans="2:3" ht="15" thickBot="1" x14ac:dyDescent="0.25">
      <c r="B19" s="22"/>
      <c r="C19" s="23"/>
    </row>
    <row r="20" spans="2:3" ht="15.75" thickBot="1" x14ac:dyDescent="0.3">
      <c r="B20" s="9" t="s">
        <v>85</v>
      </c>
      <c r="C20" s="24">
        <f>C14+C18</f>
        <v>29188.560000000001</v>
      </c>
    </row>
  </sheetData>
  <mergeCells count="5">
    <mergeCell ref="A3:D3"/>
    <mergeCell ref="A6:D6"/>
    <mergeCell ref="A7:D7"/>
    <mergeCell ref="A10:D10"/>
    <mergeCell ref="A4:D4"/>
  </mergeCells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80"/>
  <sheetViews>
    <sheetView view="pageBreakPreview" zoomScale="60" zoomScaleNormal="100" workbookViewId="0">
      <selection activeCell="J35" sqref="J35"/>
    </sheetView>
  </sheetViews>
  <sheetFormatPr defaultRowHeight="12.75" x14ac:dyDescent="0.2"/>
  <cols>
    <col min="1" max="1" width="6.7109375" customWidth="1"/>
    <col min="2" max="2" width="45.140625" customWidth="1"/>
    <col min="3" max="5" width="10.7109375" customWidth="1"/>
  </cols>
  <sheetData>
    <row r="1" spans="1:5" ht="15" customHeight="1" x14ac:dyDescent="0.2">
      <c r="A1" s="987" t="s">
        <v>393</v>
      </c>
      <c r="B1" s="987"/>
      <c r="C1" s="987"/>
      <c r="D1" s="987"/>
      <c r="E1" s="987"/>
    </row>
    <row r="2" spans="1:5" ht="15" customHeight="1" x14ac:dyDescent="0.2">
      <c r="A2" s="944"/>
      <c r="B2" s="945"/>
      <c r="C2" s="945"/>
      <c r="D2" s="945"/>
      <c r="E2" s="945"/>
    </row>
    <row r="3" spans="1:5" ht="15" x14ac:dyDescent="0.2">
      <c r="A3" s="11"/>
      <c r="B3" s="11"/>
      <c r="C3" s="11"/>
      <c r="D3" s="11"/>
    </row>
    <row r="4" spans="1:5" ht="15.75" x14ac:dyDescent="0.25">
      <c r="A4" s="1041" t="s">
        <v>243</v>
      </c>
      <c r="B4" s="1041"/>
      <c r="C4" s="1041"/>
      <c r="D4" s="1041"/>
      <c r="E4" s="1041"/>
    </row>
    <row r="5" spans="1:5" ht="15.75" x14ac:dyDescent="0.25">
      <c r="A5" s="1043" t="s">
        <v>373</v>
      </c>
      <c r="B5" s="1043"/>
      <c r="C5" s="1043"/>
      <c r="D5" s="1043"/>
      <c r="E5" s="1043"/>
    </row>
    <row r="6" spans="1:5" ht="15" x14ac:dyDescent="0.25">
      <c r="A6" s="40"/>
      <c r="B6" s="40"/>
      <c r="C6" s="40"/>
      <c r="D6" s="40"/>
      <c r="E6" s="40"/>
    </row>
    <row r="7" spans="1:5" ht="15.75" thickBot="1" x14ac:dyDescent="0.3">
      <c r="A7" s="25"/>
      <c r="B7" s="26"/>
      <c r="C7" s="26"/>
      <c r="D7" s="27"/>
      <c r="E7" s="27"/>
    </row>
    <row r="8" spans="1:5" ht="14.25" x14ac:dyDescent="0.2">
      <c r="A8" s="1051" t="s">
        <v>86</v>
      </c>
      <c r="B8" s="1051"/>
      <c r="C8" s="1051"/>
      <c r="D8" s="1051"/>
      <c r="E8" s="1051"/>
    </row>
    <row r="9" spans="1:5" ht="15.75" thickBot="1" x14ac:dyDescent="0.3">
      <c r="A9" s="774" t="s">
        <v>87</v>
      </c>
      <c r="B9" s="774" t="s">
        <v>8</v>
      </c>
      <c r="C9" s="774">
        <v>2019</v>
      </c>
      <c r="D9" s="775">
        <v>2020</v>
      </c>
      <c r="E9" s="775">
        <v>2021</v>
      </c>
    </row>
    <row r="10" spans="1:5" ht="15" customHeight="1" x14ac:dyDescent="0.25">
      <c r="A10" s="28" t="s">
        <v>88</v>
      </c>
      <c r="B10" s="776" t="s">
        <v>167</v>
      </c>
      <c r="C10" s="30">
        <f>'2. sz.melléklet'!B11</f>
        <v>68556.714000000007</v>
      </c>
      <c r="D10" s="30">
        <v>8000</v>
      </c>
      <c r="E10" s="30">
        <v>10000</v>
      </c>
    </row>
    <row r="11" spans="1:5" ht="15" customHeight="1" x14ac:dyDescent="0.25">
      <c r="A11" s="758" t="s">
        <v>89</v>
      </c>
      <c r="B11" s="776" t="s">
        <v>336</v>
      </c>
      <c r="C11" s="760">
        <f>'2. sz.melléklet'!B10</f>
        <v>79500</v>
      </c>
      <c r="D11" s="760">
        <v>50000</v>
      </c>
      <c r="E11" s="760">
        <v>50000</v>
      </c>
    </row>
    <row r="12" spans="1:5" ht="15" customHeight="1" x14ac:dyDescent="0.25">
      <c r="A12" s="758" t="s">
        <v>38</v>
      </c>
      <c r="B12" s="151" t="s">
        <v>337</v>
      </c>
      <c r="C12" s="760">
        <f>'2. sz.melléklet'!B8</f>
        <v>161800.61799999999</v>
      </c>
      <c r="D12" s="760">
        <v>110000</v>
      </c>
      <c r="E12" s="760">
        <v>120000</v>
      </c>
    </row>
    <row r="13" spans="1:5" ht="15.75" customHeight="1" x14ac:dyDescent="0.25">
      <c r="A13" s="758" t="s">
        <v>39</v>
      </c>
      <c r="B13" s="759" t="s">
        <v>226</v>
      </c>
      <c r="C13" s="760">
        <f>'2. sz.melléklet'!B9</f>
        <v>14976.314</v>
      </c>
      <c r="D13" s="760">
        <v>5000</v>
      </c>
      <c r="E13" s="760">
        <v>5000</v>
      </c>
    </row>
    <row r="14" spans="1:5" ht="15" customHeight="1" x14ac:dyDescent="0.25">
      <c r="A14" s="758" t="s">
        <v>90</v>
      </c>
      <c r="B14" s="759" t="s">
        <v>338</v>
      </c>
      <c r="C14" s="760">
        <f>'2. sz.melléklet'!B15</f>
        <v>149377.101</v>
      </c>
      <c r="D14" s="760">
        <v>108000</v>
      </c>
      <c r="E14" s="760">
        <v>100000</v>
      </c>
    </row>
    <row r="15" spans="1:5" ht="15" customHeight="1" x14ac:dyDescent="0.25">
      <c r="A15" s="758" t="s">
        <v>91</v>
      </c>
      <c r="B15" s="759" t="s">
        <v>92</v>
      </c>
      <c r="C15" s="760"/>
      <c r="D15" s="760"/>
      <c r="E15" s="760"/>
    </row>
    <row r="16" spans="1:5" ht="15" customHeight="1" x14ac:dyDescent="0.25">
      <c r="A16" s="758" t="s">
        <v>42</v>
      </c>
      <c r="B16" s="759" t="s">
        <v>267</v>
      </c>
      <c r="C16" s="760">
        <f>'2. sz.melléklet'!B14</f>
        <v>277</v>
      </c>
      <c r="D16" s="760">
        <v>5000</v>
      </c>
      <c r="E16" s="760">
        <v>5000</v>
      </c>
    </row>
    <row r="17" spans="1:5" ht="15" customHeight="1" x14ac:dyDescent="0.25">
      <c r="A17" s="758" t="s">
        <v>93</v>
      </c>
      <c r="B17" s="759" t="s">
        <v>94</v>
      </c>
      <c r="C17" s="760"/>
      <c r="D17" s="760"/>
      <c r="E17" s="760"/>
    </row>
    <row r="18" spans="1:5" ht="15" customHeight="1" x14ac:dyDescent="0.25">
      <c r="A18" s="758" t="s">
        <v>44</v>
      </c>
      <c r="B18" s="759" t="s">
        <v>95</v>
      </c>
      <c r="C18" s="760"/>
      <c r="D18" s="760"/>
      <c r="E18" s="760"/>
    </row>
    <row r="19" spans="1:5" ht="15" customHeight="1" thickBot="1" x14ac:dyDescent="0.3">
      <c r="A19" s="758" t="s">
        <v>96</v>
      </c>
      <c r="B19" s="777" t="s">
        <v>97</v>
      </c>
      <c r="C19" s="608">
        <f>(7498000)/1000+'2. sz.melléklet'!B19+'2. sz.melléklet'!B20+'2. sz.melléklet'!B21</f>
        <v>8716.6440000000002</v>
      </c>
      <c r="D19" s="778">
        <v>7000</v>
      </c>
      <c r="E19" s="778">
        <v>7000</v>
      </c>
    </row>
    <row r="20" spans="1:5" ht="15" customHeight="1" thickBot="1" x14ac:dyDescent="0.3">
      <c r="A20" s="779" t="s">
        <v>46</v>
      </c>
      <c r="B20" s="765" t="s">
        <v>98</v>
      </c>
      <c r="C20" s="766">
        <f>SUM(C10:C19)</f>
        <v>483204.39099999995</v>
      </c>
      <c r="D20" s="766">
        <f t="shared" ref="D20:E20" si="0">SUM(D10:D19)</f>
        <v>293000</v>
      </c>
      <c r="E20" s="766">
        <f t="shared" si="0"/>
        <v>297000</v>
      </c>
    </row>
    <row r="21" spans="1:5" ht="15" customHeight="1" x14ac:dyDescent="0.25">
      <c r="A21" s="758" t="s">
        <v>99</v>
      </c>
      <c r="B21" s="29" t="s">
        <v>3</v>
      </c>
      <c r="C21" s="30">
        <f>'2. sz.melléklet'!F8</f>
        <v>155877.859</v>
      </c>
      <c r="D21" s="30">
        <v>65000</v>
      </c>
      <c r="E21" s="30">
        <v>65000</v>
      </c>
    </row>
    <row r="22" spans="1:5" ht="15" customHeight="1" x14ac:dyDescent="0.25">
      <c r="A22" s="758" t="s">
        <v>48</v>
      </c>
      <c r="B22" s="759" t="s">
        <v>100</v>
      </c>
      <c r="C22" s="760">
        <f>'2. sz.melléklet'!F9</f>
        <v>29450.732</v>
      </c>
      <c r="D22" s="760">
        <v>18000</v>
      </c>
      <c r="E22" s="760">
        <v>18000</v>
      </c>
    </row>
    <row r="23" spans="1:5" ht="15" customHeight="1" x14ac:dyDescent="0.25">
      <c r="A23" s="758" t="s">
        <v>101</v>
      </c>
      <c r="B23" s="759" t="s">
        <v>102</v>
      </c>
      <c r="C23" s="760">
        <f>'2. sz.melléklet'!F10</f>
        <v>86142.087</v>
      </c>
      <c r="D23" s="760">
        <v>71000</v>
      </c>
      <c r="E23" s="760">
        <v>65000</v>
      </c>
    </row>
    <row r="24" spans="1:5" ht="15" customHeight="1" x14ac:dyDescent="0.25">
      <c r="A24" s="758" t="s">
        <v>50</v>
      </c>
      <c r="B24" s="759" t="s">
        <v>227</v>
      </c>
      <c r="C24" s="760">
        <f>'2. sz.melléklet'!F12</f>
        <v>7156</v>
      </c>
      <c r="D24" s="760">
        <v>1500</v>
      </c>
      <c r="E24" s="760">
        <v>1500</v>
      </c>
    </row>
    <row r="25" spans="1:5" ht="15" customHeight="1" x14ac:dyDescent="0.25">
      <c r="A25" s="758" t="s">
        <v>51</v>
      </c>
      <c r="B25" s="759" t="s">
        <v>228</v>
      </c>
      <c r="C25" s="780">
        <f>'2. sz.melléklet'!F13</f>
        <v>6207</v>
      </c>
      <c r="D25" s="760">
        <v>7000</v>
      </c>
      <c r="E25" s="760">
        <v>5000</v>
      </c>
    </row>
    <row r="26" spans="1:5" ht="15" customHeight="1" x14ac:dyDescent="0.25">
      <c r="A26" s="758" t="s">
        <v>103</v>
      </c>
      <c r="B26" s="759" t="s">
        <v>104</v>
      </c>
      <c r="C26" s="760">
        <f>'2. sz.melléklet'!F14</f>
        <v>6042.2659999999996</v>
      </c>
      <c r="D26" s="760"/>
      <c r="E26" s="760"/>
    </row>
    <row r="27" spans="1:5" ht="15" customHeight="1" x14ac:dyDescent="0.25">
      <c r="A27" s="758" t="s">
        <v>53</v>
      </c>
      <c r="B27" s="759" t="s">
        <v>105</v>
      </c>
      <c r="C27" s="760">
        <f>'2. sz.melléklet'!F11</f>
        <v>10810.5</v>
      </c>
      <c r="D27" s="760">
        <v>9000</v>
      </c>
      <c r="E27" s="760">
        <v>9000</v>
      </c>
    </row>
    <row r="28" spans="1:5" ht="15" customHeight="1" x14ac:dyDescent="0.25">
      <c r="A28" s="758" t="s">
        <v>106</v>
      </c>
      <c r="B28" s="759" t="s">
        <v>107</v>
      </c>
      <c r="C28" s="760"/>
      <c r="D28" s="760"/>
      <c r="E28" s="760"/>
    </row>
    <row r="29" spans="1:5" ht="15" customHeight="1" x14ac:dyDescent="0.25">
      <c r="A29" s="758" t="s">
        <v>55</v>
      </c>
      <c r="B29" s="759" t="s">
        <v>189</v>
      </c>
      <c r="C29" s="760">
        <f>'2. sz.melléklet'!F15</f>
        <v>149377.101</v>
      </c>
      <c r="D29" s="760">
        <v>108000</v>
      </c>
      <c r="E29" s="760">
        <v>100000</v>
      </c>
    </row>
    <row r="30" spans="1:5" ht="15" customHeight="1" x14ac:dyDescent="0.25">
      <c r="A30" s="758" t="s">
        <v>56</v>
      </c>
      <c r="B30" s="759" t="s">
        <v>266</v>
      </c>
      <c r="C30" s="760"/>
      <c r="D30" s="760"/>
      <c r="E30" s="760"/>
    </row>
    <row r="31" spans="1:5" ht="15" customHeight="1" x14ac:dyDescent="0.25">
      <c r="A31" s="758" t="s">
        <v>108</v>
      </c>
      <c r="B31" s="759" t="s">
        <v>109</v>
      </c>
      <c r="C31" s="760"/>
      <c r="D31" s="760"/>
      <c r="E31" s="760"/>
    </row>
    <row r="32" spans="1:5" ht="15" customHeight="1" thickBot="1" x14ac:dyDescent="0.3">
      <c r="A32" s="758" t="s">
        <v>110</v>
      </c>
      <c r="B32" s="777" t="s">
        <v>84</v>
      </c>
      <c r="C32" s="778">
        <f>20110007/1000</f>
        <v>20110.007000000001</v>
      </c>
      <c r="D32" s="778">
        <v>11500</v>
      </c>
      <c r="E32" s="778">
        <v>13500</v>
      </c>
    </row>
    <row r="33" spans="1:5" ht="15" customHeight="1" thickBot="1" x14ac:dyDescent="0.3">
      <c r="A33" s="781" t="s">
        <v>59</v>
      </c>
      <c r="B33" s="782" t="s">
        <v>111</v>
      </c>
      <c r="C33" s="783">
        <f>SUM(C21:C32)</f>
        <v>471173.55199999991</v>
      </c>
      <c r="D33" s="783">
        <f>SUM(D21:D32)</f>
        <v>291000</v>
      </c>
      <c r="E33" s="783">
        <f>SUM(E21:E32)</f>
        <v>277000</v>
      </c>
    </row>
    <row r="34" spans="1:5" ht="15" customHeight="1" x14ac:dyDescent="0.25">
      <c r="A34" s="55"/>
      <c r="B34" s="56"/>
      <c r="C34" s="57"/>
      <c r="D34" s="57"/>
      <c r="E34" s="57"/>
    </row>
    <row r="35" spans="1:5" ht="15" customHeight="1" x14ac:dyDescent="0.25">
      <c r="A35" s="55"/>
      <c r="B35" s="58"/>
      <c r="C35" s="59"/>
      <c r="D35" s="59"/>
      <c r="E35" s="59"/>
    </row>
    <row r="36" spans="1:5" ht="15" customHeight="1" x14ac:dyDescent="0.25">
      <c r="A36" s="55"/>
      <c r="B36" s="58"/>
      <c r="C36" s="59"/>
      <c r="D36" s="59"/>
      <c r="E36" s="59"/>
    </row>
    <row r="37" spans="1:5" ht="15" customHeight="1" x14ac:dyDescent="0.25">
      <c r="A37" s="55"/>
      <c r="B37" s="58"/>
      <c r="C37" s="59"/>
      <c r="D37" s="59"/>
      <c r="E37" s="59"/>
    </row>
    <row r="38" spans="1:5" ht="15" customHeight="1" x14ac:dyDescent="0.25">
      <c r="A38" s="55"/>
      <c r="B38" s="58"/>
      <c r="C38" s="59"/>
      <c r="D38" s="59"/>
      <c r="E38" s="59"/>
    </row>
    <row r="39" spans="1:5" ht="15" customHeight="1" x14ac:dyDescent="0.25">
      <c r="A39" s="55"/>
      <c r="B39" s="58"/>
      <c r="C39" s="59"/>
      <c r="D39" s="59"/>
      <c r="E39" s="59"/>
    </row>
    <row r="40" spans="1:5" ht="15" customHeight="1" x14ac:dyDescent="0.25">
      <c r="A40" s="55"/>
      <c r="B40" s="58"/>
      <c r="C40" s="59"/>
      <c r="D40" s="59"/>
      <c r="E40" s="59"/>
    </row>
    <row r="41" spans="1:5" ht="15" customHeight="1" x14ac:dyDescent="0.25">
      <c r="A41" s="55"/>
      <c r="B41" s="58"/>
      <c r="C41" s="59"/>
      <c r="D41" s="59"/>
      <c r="E41" s="59"/>
    </row>
    <row r="42" spans="1:5" ht="15" customHeight="1" x14ac:dyDescent="0.25">
      <c r="A42" s="55"/>
      <c r="B42" s="58"/>
      <c r="C42" s="59"/>
      <c r="D42" s="59"/>
      <c r="E42" s="59"/>
    </row>
    <row r="43" spans="1:5" ht="15" customHeight="1" x14ac:dyDescent="0.25">
      <c r="A43" s="55"/>
      <c r="B43" s="58"/>
      <c r="C43" s="59"/>
      <c r="D43" s="59"/>
      <c r="E43" s="59"/>
    </row>
    <row r="44" spans="1:5" ht="15" customHeight="1" x14ac:dyDescent="0.25">
      <c r="A44" s="55"/>
      <c r="B44" s="58"/>
      <c r="C44" s="59"/>
      <c r="D44" s="59"/>
      <c r="E44" s="59"/>
    </row>
    <row r="45" spans="1:5" ht="15" customHeight="1" x14ac:dyDescent="0.25">
      <c r="A45" s="55"/>
      <c r="B45" s="58"/>
      <c r="C45" s="59"/>
      <c r="D45" s="59"/>
      <c r="E45" s="59"/>
    </row>
    <row r="46" spans="1:5" ht="15" customHeight="1" x14ac:dyDescent="0.25">
      <c r="A46" s="55"/>
      <c r="B46" s="58"/>
      <c r="C46" s="59"/>
      <c r="D46" s="59"/>
      <c r="E46" s="59"/>
    </row>
    <row r="47" spans="1:5" ht="15" customHeight="1" x14ac:dyDescent="0.25">
      <c r="A47" s="31"/>
      <c r="B47" s="32"/>
      <c r="C47" s="33"/>
      <c r="D47" s="33"/>
      <c r="E47" s="33"/>
    </row>
    <row r="48" spans="1:5" ht="15" customHeight="1" x14ac:dyDescent="0.25">
      <c r="A48" s="31"/>
      <c r="B48" s="32"/>
      <c r="C48" s="33"/>
      <c r="D48" s="33"/>
      <c r="E48" s="33"/>
    </row>
    <row r="49" spans="1:5" ht="15" customHeight="1" thickBot="1" x14ac:dyDescent="0.3">
      <c r="A49" s="34"/>
      <c r="B49" s="35"/>
      <c r="C49" s="1052"/>
      <c r="D49" s="1052"/>
      <c r="E49" s="1052"/>
    </row>
    <row r="50" spans="1:5" ht="15" customHeight="1" thickBot="1" x14ac:dyDescent="0.25">
      <c r="A50" s="1048" t="s">
        <v>112</v>
      </c>
      <c r="B50" s="1049"/>
      <c r="C50" s="1049"/>
      <c r="D50" s="1049"/>
      <c r="E50" s="1050"/>
    </row>
    <row r="51" spans="1:5" ht="15" customHeight="1" thickBot="1" x14ac:dyDescent="0.3">
      <c r="A51" s="753" t="s">
        <v>87</v>
      </c>
      <c r="B51" s="753" t="s">
        <v>8</v>
      </c>
      <c r="C51" s="753">
        <v>2019</v>
      </c>
      <c r="D51" s="754">
        <v>2020</v>
      </c>
      <c r="E51" s="754">
        <v>2021</v>
      </c>
    </row>
    <row r="52" spans="1:5" ht="15" customHeight="1" x14ac:dyDescent="0.25">
      <c r="A52" s="755" t="s">
        <v>60</v>
      </c>
      <c r="B52" s="756" t="s">
        <v>113</v>
      </c>
      <c r="C52" s="757">
        <f>'2. sz.melléklet'!B12</f>
        <v>53827.199999999997</v>
      </c>
      <c r="D52" s="757">
        <v>3000</v>
      </c>
      <c r="E52" s="757">
        <v>3000</v>
      </c>
    </row>
    <row r="53" spans="1:5" ht="15" customHeight="1" x14ac:dyDescent="0.25">
      <c r="A53" s="28" t="s">
        <v>61</v>
      </c>
      <c r="B53" s="29" t="s">
        <v>114</v>
      </c>
      <c r="C53" s="30"/>
      <c r="D53" s="30"/>
      <c r="E53" s="30"/>
    </row>
    <row r="54" spans="1:5" ht="15" customHeight="1" x14ac:dyDescent="0.25">
      <c r="A54" s="36" t="s">
        <v>62</v>
      </c>
      <c r="B54" s="37" t="s">
        <v>225</v>
      </c>
      <c r="C54" s="38">
        <f>'2. sz.melléklet'!B16</f>
        <v>6180</v>
      </c>
      <c r="D54" s="38">
        <v>5000</v>
      </c>
      <c r="E54" s="38">
        <v>5000</v>
      </c>
    </row>
    <row r="55" spans="1:5" ht="15" customHeight="1" x14ac:dyDescent="0.25">
      <c r="A55" s="758" t="s">
        <v>63</v>
      </c>
      <c r="B55" s="759" t="s">
        <v>115</v>
      </c>
      <c r="C55" s="760">
        <f>'2. sz.melléklet'!B13</f>
        <v>220</v>
      </c>
      <c r="D55" s="760"/>
      <c r="E55" s="760"/>
    </row>
    <row r="56" spans="1:5" ht="15" customHeight="1" x14ac:dyDescent="0.25">
      <c r="A56" s="28" t="s">
        <v>64</v>
      </c>
      <c r="B56" s="29" t="s">
        <v>116</v>
      </c>
      <c r="C56" s="30"/>
      <c r="D56" s="39"/>
      <c r="E56" s="39"/>
    </row>
    <row r="57" spans="1:5" ht="15" customHeight="1" x14ac:dyDescent="0.25">
      <c r="A57" s="758" t="s">
        <v>65</v>
      </c>
      <c r="B57" s="759" t="s">
        <v>117</v>
      </c>
      <c r="C57" s="761"/>
      <c r="D57" s="762"/>
      <c r="E57" s="762"/>
    </row>
    <row r="58" spans="1:5" ht="15" customHeight="1" x14ac:dyDescent="0.25">
      <c r="A58" s="28" t="s">
        <v>66</v>
      </c>
      <c r="B58" s="29" t="s">
        <v>118</v>
      </c>
      <c r="C58" s="30"/>
      <c r="D58" s="30"/>
      <c r="E58" s="30"/>
    </row>
    <row r="59" spans="1:5" ht="15" customHeight="1" x14ac:dyDescent="0.25">
      <c r="A59" s="28" t="s">
        <v>67</v>
      </c>
      <c r="B59" s="29" t="s">
        <v>119</v>
      </c>
      <c r="C59" s="30"/>
      <c r="D59" s="30"/>
      <c r="E59" s="30"/>
    </row>
    <row r="60" spans="1:5" ht="28.5" customHeight="1" x14ac:dyDescent="0.25">
      <c r="A60" s="28" t="s">
        <v>68</v>
      </c>
      <c r="B60" s="29" t="s">
        <v>120</v>
      </c>
      <c r="C60" s="30">
        <f>'2. sz.melléklet'!B22</f>
        <v>684.63300000000004</v>
      </c>
      <c r="D60" s="30"/>
      <c r="E60" s="30"/>
    </row>
    <row r="61" spans="1:5" ht="15" customHeight="1" x14ac:dyDescent="0.25">
      <c r="A61" s="28" t="s">
        <v>69</v>
      </c>
      <c r="B61" s="29" t="s">
        <v>121</v>
      </c>
      <c r="C61" s="30"/>
      <c r="D61" s="30"/>
      <c r="E61" s="30"/>
    </row>
    <row r="62" spans="1:5" ht="15" customHeight="1" x14ac:dyDescent="0.25">
      <c r="A62" s="28" t="s">
        <v>70</v>
      </c>
      <c r="B62" s="29" t="s">
        <v>122</v>
      </c>
      <c r="C62" s="30"/>
      <c r="D62" s="30"/>
      <c r="E62" s="30"/>
    </row>
    <row r="63" spans="1:5" ht="15" customHeight="1" thickBot="1" x14ac:dyDescent="0.3">
      <c r="A63" s="36" t="s">
        <v>71</v>
      </c>
      <c r="B63" s="37" t="s">
        <v>123</v>
      </c>
      <c r="C63" s="763">
        <f>105064520/1000</f>
        <v>105064.52</v>
      </c>
      <c r="D63" s="38">
        <v>10000</v>
      </c>
      <c r="E63" s="38">
        <v>10000</v>
      </c>
    </row>
    <row r="64" spans="1:5" ht="15" customHeight="1" thickBot="1" x14ac:dyDescent="0.3">
      <c r="A64" s="764" t="s">
        <v>72</v>
      </c>
      <c r="B64" s="765" t="s">
        <v>124</v>
      </c>
      <c r="C64" s="766">
        <f>SUM(C52:C63)</f>
        <v>165976.353</v>
      </c>
      <c r="D64" s="766">
        <f>SUM(D52:D63)</f>
        <v>18000</v>
      </c>
      <c r="E64" s="766">
        <f>SUM(E52:E63)</f>
        <v>18000</v>
      </c>
    </row>
    <row r="65" spans="1:9" ht="15" customHeight="1" x14ac:dyDescent="0.25">
      <c r="A65" s="28" t="s">
        <v>73</v>
      </c>
      <c r="B65" s="29" t="s">
        <v>125</v>
      </c>
      <c r="C65" s="30">
        <f>'2. sz.melléklet'!F18</f>
        <v>9235.5</v>
      </c>
      <c r="D65" s="30">
        <v>9000</v>
      </c>
      <c r="E65" s="30">
        <v>14000</v>
      </c>
    </row>
    <row r="66" spans="1:9" ht="15" customHeight="1" x14ac:dyDescent="0.25">
      <c r="A66" s="28" t="s">
        <v>74</v>
      </c>
      <c r="B66" s="29" t="s">
        <v>126</v>
      </c>
      <c r="C66" s="30">
        <f>'2. sz.melléklet'!F19</f>
        <v>158430.139</v>
      </c>
      <c r="D66" s="30">
        <v>9000</v>
      </c>
      <c r="E66" s="30">
        <v>14000</v>
      </c>
    </row>
    <row r="67" spans="1:9" ht="15" customHeight="1" x14ac:dyDescent="0.25">
      <c r="A67" s="28" t="s">
        <v>75</v>
      </c>
      <c r="B67" s="29" t="s">
        <v>127</v>
      </c>
      <c r="C67" s="30"/>
      <c r="D67" s="30"/>
      <c r="E67" s="30"/>
    </row>
    <row r="68" spans="1:9" ht="15" customHeight="1" x14ac:dyDescent="0.25">
      <c r="A68" s="28" t="s">
        <v>76</v>
      </c>
      <c r="B68" s="29" t="s">
        <v>128</v>
      </c>
      <c r="C68" s="30"/>
      <c r="D68" s="30"/>
      <c r="E68" s="30"/>
    </row>
    <row r="69" spans="1:9" ht="15" customHeight="1" x14ac:dyDescent="0.25">
      <c r="A69" s="28" t="s">
        <v>77</v>
      </c>
      <c r="B69" s="29" t="s">
        <v>129</v>
      </c>
      <c r="C69" s="30"/>
      <c r="D69" s="30"/>
      <c r="E69" s="30"/>
    </row>
    <row r="70" spans="1:9" ht="15" customHeight="1" x14ac:dyDescent="0.25">
      <c r="A70" s="28" t="s">
        <v>78</v>
      </c>
      <c r="B70" s="29" t="s">
        <v>130</v>
      </c>
      <c r="C70" s="30"/>
      <c r="D70" s="30"/>
      <c r="E70" s="30"/>
    </row>
    <row r="71" spans="1:9" ht="15" customHeight="1" x14ac:dyDescent="0.25">
      <c r="A71" s="28" t="s">
        <v>79</v>
      </c>
      <c r="B71" s="29" t="s">
        <v>131</v>
      </c>
      <c r="C71" s="30">
        <f>'2. sz.melléklet'!F20</f>
        <v>1263</v>
      </c>
      <c r="D71" s="30"/>
      <c r="E71" s="30"/>
    </row>
    <row r="72" spans="1:9" ht="15" customHeight="1" x14ac:dyDescent="0.25">
      <c r="A72" s="28" t="s">
        <v>80</v>
      </c>
      <c r="B72" s="29" t="s">
        <v>132</v>
      </c>
      <c r="C72" s="30"/>
      <c r="D72" s="30"/>
      <c r="E72" s="30"/>
    </row>
    <row r="73" spans="1:9" ht="15" customHeight="1" x14ac:dyDescent="0.25">
      <c r="A73" s="28" t="s">
        <v>81</v>
      </c>
      <c r="B73" s="29" t="s">
        <v>133</v>
      </c>
      <c r="C73" s="30"/>
      <c r="D73" s="30"/>
      <c r="E73" s="30"/>
    </row>
    <row r="74" spans="1:9" ht="15" customHeight="1" x14ac:dyDescent="0.25">
      <c r="A74" s="28" t="s">
        <v>82</v>
      </c>
      <c r="B74" s="29" t="s">
        <v>134</v>
      </c>
      <c r="C74" s="30"/>
      <c r="D74" s="30"/>
      <c r="E74" s="30"/>
    </row>
    <row r="75" spans="1:9" ht="15" customHeight="1" thickBot="1" x14ac:dyDescent="0.3">
      <c r="A75" s="36" t="s">
        <v>135</v>
      </c>
      <c r="B75" s="37" t="s">
        <v>84</v>
      </c>
      <c r="C75" s="38">
        <f>9078553/1000</f>
        <v>9078.5529999999999</v>
      </c>
      <c r="D75" s="38">
        <v>2000</v>
      </c>
      <c r="E75" s="38">
        <v>10000</v>
      </c>
    </row>
    <row r="76" spans="1:9" ht="15" customHeight="1" thickBot="1" x14ac:dyDescent="0.3">
      <c r="A76" s="764" t="s">
        <v>136</v>
      </c>
      <c r="B76" s="767" t="s">
        <v>137</v>
      </c>
      <c r="C76" s="766">
        <f>SUM(C65:C75)</f>
        <v>178007.19199999998</v>
      </c>
      <c r="D76" s="766">
        <f>SUM(D65:D75)</f>
        <v>20000</v>
      </c>
      <c r="E76" s="766">
        <f>SUM(E65:E75)</f>
        <v>38000</v>
      </c>
    </row>
    <row r="77" spans="1:9" ht="15" customHeight="1" thickBot="1" x14ac:dyDescent="0.25">
      <c r="A77" s="768" t="s">
        <v>138</v>
      </c>
      <c r="B77" s="769" t="s">
        <v>139</v>
      </c>
      <c r="C77" s="766">
        <f>C20+C64</f>
        <v>649180.74399999995</v>
      </c>
      <c r="D77" s="766">
        <f>D20+D64</f>
        <v>311000</v>
      </c>
      <c r="E77" s="766">
        <f>E20+E64</f>
        <v>315000</v>
      </c>
      <c r="H77" s="5"/>
      <c r="I77" s="5"/>
    </row>
    <row r="78" spans="1:9" ht="15" customHeight="1" thickBot="1" x14ac:dyDescent="0.25">
      <c r="A78" s="75" t="s">
        <v>140</v>
      </c>
      <c r="B78" s="770" t="s">
        <v>141</v>
      </c>
      <c r="C78" s="74">
        <f>C33+C76</f>
        <v>649180.74399999995</v>
      </c>
      <c r="D78" s="74">
        <f>D33+D76</f>
        <v>311000</v>
      </c>
      <c r="E78" s="74">
        <f>E33+E76</f>
        <v>315000</v>
      </c>
    </row>
    <row r="79" spans="1:9" ht="15.75" thickBot="1" x14ac:dyDescent="0.3">
      <c r="A79" s="768" t="s">
        <v>194</v>
      </c>
      <c r="B79" s="771" t="s">
        <v>193</v>
      </c>
      <c r="C79" s="772">
        <f>'2. sz.melléklet'!B24</f>
        <v>-149377.101</v>
      </c>
      <c r="D79" s="773">
        <v>-108000</v>
      </c>
      <c r="E79" s="773">
        <v>-100000</v>
      </c>
    </row>
    <row r="80" spans="1:9" ht="15" thickBot="1" x14ac:dyDescent="0.25">
      <c r="A80" s="76" t="s">
        <v>195</v>
      </c>
      <c r="B80" s="73" t="s">
        <v>190</v>
      </c>
      <c r="C80" s="82">
        <f>SUM(C78:C79)</f>
        <v>499803.64299999992</v>
      </c>
      <c r="D80" s="82">
        <f t="shared" ref="D80:E80" si="1">SUM(D78:D79)</f>
        <v>203000</v>
      </c>
      <c r="E80" s="82">
        <f t="shared" si="1"/>
        <v>215000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3" type="noConversion"/>
  <pageMargins left="0.75" right="0.75" top="1" bottom="1" header="0.5" footer="0.5"/>
  <pageSetup paperSize="9" orientation="portrait" r:id="rId1"/>
  <headerFooter alignWithMargins="0"/>
  <rowBreaks count="1" manualBreakCount="1">
    <brk id="4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P44"/>
  <sheetViews>
    <sheetView zoomScaleNormal="100" workbookViewId="0">
      <selection activeCell="Q24" sqref="Q24"/>
    </sheetView>
  </sheetViews>
  <sheetFormatPr defaultRowHeight="12.75" x14ac:dyDescent="0.2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.42578125" customWidth="1"/>
  </cols>
  <sheetData>
    <row r="1" spans="1:16" ht="15" customHeight="1" x14ac:dyDescent="0.2">
      <c r="A1" s="987" t="s">
        <v>392</v>
      </c>
      <c r="B1" s="987"/>
      <c r="C1" s="987"/>
      <c r="D1" s="987"/>
      <c r="E1" s="987"/>
      <c r="F1" s="987"/>
      <c r="G1" s="987"/>
      <c r="H1" s="987"/>
      <c r="I1" s="987"/>
      <c r="J1" s="987"/>
      <c r="K1" s="987"/>
      <c r="L1" s="987"/>
      <c r="M1" s="987"/>
      <c r="N1" s="987"/>
    </row>
    <row r="2" spans="1:16" ht="15" customHeight="1" x14ac:dyDescent="0.2">
      <c r="A2" s="944"/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</row>
    <row r="3" spans="1:16" ht="9" customHeight="1" x14ac:dyDescent="0.2">
      <c r="B3" s="11"/>
      <c r="C3" s="11"/>
      <c r="D3" s="11"/>
    </row>
    <row r="4" spans="1:16" ht="15.75" x14ac:dyDescent="0.25">
      <c r="A4" s="1041" t="s">
        <v>243</v>
      </c>
      <c r="B4" s="1041"/>
      <c r="C4" s="1041"/>
      <c r="D4" s="1041"/>
      <c r="E4" s="1041"/>
      <c r="F4" s="1041"/>
      <c r="G4" s="1041"/>
      <c r="H4" s="1041"/>
      <c r="I4" s="1041"/>
      <c r="J4" s="1041"/>
      <c r="K4" s="1041"/>
      <c r="L4" s="1041"/>
      <c r="M4" s="1041"/>
      <c r="N4" s="1041"/>
    </row>
    <row r="5" spans="1:16" ht="15.75" x14ac:dyDescent="0.25">
      <c r="A5" s="1043" t="s">
        <v>373</v>
      </c>
      <c r="B5" s="1043"/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</row>
    <row r="6" spans="1:16" hidden="1" x14ac:dyDescent="0.2"/>
    <row r="7" spans="1:16" ht="12.75" customHeight="1" thickBot="1" x14ac:dyDescent="0.25">
      <c r="A7" s="1061" t="s">
        <v>156</v>
      </c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</row>
    <row r="8" spans="1:16" ht="20.100000000000001" customHeight="1" thickBot="1" x14ac:dyDescent="0.25">
      <c r="A8" s="1063" t="s">
        <v>1</v>
      </c>
      <c r="B8" s="1065" t="s">
        <v>142</v>
      </c>
      <c r="C8" s="1067" t="s">
        <v>365</v>
      </c>
      <c r="D8" s="1068"/>
      <c r="E8" s="1068"/>
      <c r="F8" s="1068"/>
      <c r="G8" s="1068"/>
      <c r="H8" s="1068"/>
      <c r="I8" s="1068"/>
      <c r="J8" s="1068"/>
      <c r="K8" s="1068"/>
      <c r="L8" s="1068"/>
      <c r="M8" s="1068"/>
      <c r="N8" s="1069"/>
    </row>
    <row r="9" spans="1:16" ht="20.100000000000001" customHeight="1" thickBot="1" x14ac:dyDescent="0.25">
      <c r="A9" s="1064"/>
      <c r="B9" s="1066"/>
      <c r="C9" s="161" t="s">
        <v>143</v>
      </c>
      <c r="D9" s="84" t="s">
        <v>144</v>
      </c>
      <c r="E9" s="84" t="s">
        <v>145</v>
      </c>
      <c r="F9" s="84" t="s">
        <v>146</v>
      </c>
      <c r="G9" s="84" t="s">
        <v>147</v>
      </c>
      <c r="H9" s="84" t="s">
        <v>148</v>
      </c>
      <c r="I9" s="84" t="s">
        <v>149</v>
      </c>
      <c r="J9" s="84" t="s">
        <v>150</v>
      </c>
      <c r="K9" s="84" t="s">
        <v>151</v>
      </c>
      <c r="L9" s="84" t="s">
        <v>152</v>
      </c>
      <c r="M9" s="84" t="s">
        <v>153</v>
      </c>
      <c r="N9" s="85" t="s">
        <v>154</v>
      </c>
    </row>
    <row r="10" spans="1:16" ht="20.100000000000001" customHeight="1" x14ac:dyDescent="0.3">
      <c r="A10" s="83" t="s">
        <v>229</v>
      </c>
      <c r="B10" s="804">
        <f>'2. sz.melléklet'!B8</f>
        <v>161800.61799999999</v>
      </c>
      <c r="C10" s="787">
        <v>13483</v>
      </c>
      <c r="D10" s="788">
        <v>13483</v>
      </c>
      <c r="E10" s="788">
        <v>13483</v>
      </c>
      <c r="F10" s="788">
        <v>13483</v>
      </c>
      <c r="G10" s="788">
        <v>13483</v>
      </c>
      <c r="H10" s="788">
        <v>13483</v>
      </c>
      <c r="I10" s="788">
        <v>13483</v>
      </c>
      <c r="J10" s="788">
        <v>13483</v>
      </c>
      <c r="K10" s="788">
        <v>13483</v>
      </c>
      <c r="L10" s="788">
        <v>13483</v>
      </c>
      <c r="M10" s="788">
        <v>13483</v>
      </c>
      <c r="N10" s="789">
        <v>13488</v>
      </c>
      <c r="O10" s="3"/>
      <c r="P10" s="3"/>
    </row>
    <row r="11" spans="1:16" ht="20.100000000000001" customHeight="1" x14ac:dyDescent="0.3">
      <c r="A11" s="86" t="s">
        <v>233</v>
      </c>
      <c r="B11" s="805">
        <f>'2. sz.melléklet'!B9</f>
        <v>14976.314</v>
      </c>
      <c r="C11" s="790">
        <v>1248</v>
      </c>
      <c r="D11" s="784">
        <v>1248</v>
      </c>
      <c r="E11" s="784">
        <v>1248</v>
      </c>
      <c r="F11" s="784">
        <v>1248</v>
      </c>
      <c r="G11" s="784">
        <v>1248</v>
      </c>
      <c r="H11" s="784">
        <v>1248</v>
      </c>
      <c r="I11" s="784">
        <v>1248</v>
      </c>
      <c r="J11" s="784">
        <v>1248</v>
      </c>
      <c r="K11" s="784">
        <v>1248</v>
      </c>
      <c r="L11" s="784">
        <v>1248</v>
      </c>
      <c r="M11" s="784">
        <v>1248</v>
      </c>
      <c r="N11" s="791">
        <v>1248</v>
      </c>
      <c r="O11" s="3"/>
    </row>
    <row r="12" spans="1:16" ht="20.100000000000001" customHeight="1" x14ac:dyDescent="0.3">
      <c r="A12" s="86" t="s">
        <v>265</v>
      </c>
      <c r="B12" s="805">
        <f>'2. sz.melléklet'!B14</f>
        <v>277</v>
      </c>
      <c r="C12" s="790">
        <v>0</v>
      </c>
      <c r="D12" s="784">
        <v>0</v>
      </c>
      <c r="E12" s="784">
        <v>0</v>
      </c>
      <c r="F12" s="784">
        <v>0</v>
      </c>
      <c r="G12" s="784">
        <v>0</v>
      </c>
      <c r="H12" s="784">
        <v>0</v>
      </c>
      <c r="I12" s="784">
        <v>0</v>
      </c>
      <c r="J12" s="784">
        <v>277</v>
      </c>
      <c r="K12" s="784">
        <v>0</v>
      </c>
      <c r="L12" s="784">
        <v>0</v>
      </c>
      <c r="M12" s="784">
        <v>0</v>
      </c>
      <c r="N12" s="791">
        <v>0</v>
      </c>
      <c r="O12" s="3"/>
    </row>
    <row r="13" spans="1:16" ht="20.100000000000001" customHeight="1" x14ac:dyDescent="0.3">
      <c r="A13" s="86" t="s">
        <v>219</v>
      </c>
      <c r="B13" s="805">
        <f>'2. sz.melléklet'!B10</f>
        <v>79500</v>
      </c>
      <c r="C13" s="790">
        <v>0</v>
      </c>
      <c r="D13" s="784">
        <v>4300</v>
      </c>
      <c r="E13" s="784">
        <v>30000</v>
      </c>
      <c r="F13" s="784">
        <v>0</v>
      </c>
      <c r="G13" s="613">
        <v>4000</v>
      </c>
      <c r="H13" s="784">
        <v>750</v>
      </c>
      <c r="I13" s="784">
        <v>450</v>
      </c>
      <c r="J13" s="784">
        <v>0</v>
      </c>
      <c r="K13" s="784">
        <v>20000</v>
      </c>
      <c r="L13" s="784">
        <v>0</v>
      </c>
      <c r="M13" s="784">
        <v>20000</v>
      </c>
      <c r="N13" s="791">
        <v>0</v>
      </c>
      <c r="O13" s="3"/>
      <c r="P13" s="3"/>
    </row>
    <row r="14" spans="1:16" ht="20.100000000000001" customHeight="1" x14ac:dyDescent="0.3">
      <c r="A14" s="86" t="s">
        <v>167</v>
      </c>
      <c r="B14" s="805">
        <f>'2. sz.melléklet'!B11</f>
        <v>68556.714000000007</v>
      </c>
      <c r="C14" s="790">
        <v>5713</v>
      </c>
      <c r="D14" s="784">
        <v>5713</v>
      </c>
      <c r="E14" s="784">
        <v>5713</v>
      </c>
      <c r="F14" s="784">
        <v>5713</v>
      </c>
      <c r="G14" s="784">
        <v>5713</v>
      </c>
      <c r="H14" s="784">
        <v>5713</v>
      </c>
      <c r="I14" s="784">
        <v>5713</v>
      </c>
      <c r="J14" s="784">
        <v>5713</v>
      </c>
      <c r="K14" s="784">
        <v>5713</v>
      </c>
      <c r="L14" s="784">
        <v>5713</v>
      </c>
      <c r="M14" s="784">
        <v>5713</v>
      </c>
      <c r="N14" s="791">
        <v>5714</v>
      </c>
      <c r="O14" s="3"/>
    </row>
    <row r="15" spans="1:16" ht="20.100000000000001" customHeight="1" x14ac:dyDescent="0.3">
      <c r="A15" s="86" t="s">
        <v>230</v>
      </c>
      <c r="B15" s="805">
        <f>'2. sz.melléklet'!B12</f>
        <v>53827.199999999997</v>
      </c>
      <c r="C15" s="790">
        <v>0</v>
      </c>
      <c r="D15" s="784">
        <v>0</v>
      </c>
      <c r="E15" s="784">
        <v>0</v>
      </c>
      <c r="F15" s="784">
        <v>0</v>
      </c>
      <c r="G15" s="784">
        <v>0</v>
      </c>
      <c r="H15" s="784">
        <v>0</v>
      </c>
      <c r="I15" s="784">
        <v>5500</v>
      </c>
      <c r="J15" s="784">
        <v>11000</v>
      </c>
      <c r="K15" s="784">
        <v>35000</v>
      </c>
      <c r="L15" s="784">
        <v>2327</v>
      </c>
      <c r="M15" s="784">
        <v>0</v>
      </c>
      <c r="N15" s="791">
        <v>0</v>
      </c>
      <c r="O15" s="3"/>
    </row>
    <row r="16" spans="1:16" ht="20.100000000000001" customHeight="1" x14ac:dyDescent="0.3">
      <c r="A16" s="86" t="s">
        <v>231</v>
      </c>
      <c r="B16" s="805">
        <f>'2. sz.melléklet'!B13</f>
        <v>220</v>
      </c>
      <c r="C16" s="792"/>
      <c r="D16" s="785"/>
      <c r="E16" s="785"/>
      <c r="F16" s="785">
        <v>220</v>
      </c>
      <c r="G16" s="785"/>
      <c r="H16" s="785"/>
      <c r="I16" s="785"/>
      <c r="J16" s="785"/>
      <c r="K16" s="785"/>
      <c r="L16" s="785"/>
      <c r="M16" s="785"/>
      <c r="N16" s="793"/>
      <c r="O16" s="3"/>
    </row>
    <row r="17" spans="1:16" ht="18.75" customHeight="1" x14ac:dyDescent="0.3">
      <c r="A17" s="833" t="s">
        <v>753</v>
      </c>
      <c r="B17" s="834">
        <f>'2. sz.melléklet'!B16</f>
        <v>6180</v>
      </c>
      <c r="C17" s="792"/>
      <c r="D17" s="785"/>
      <c r="E17" s="785"/>
      <c r="F17" s="785"/>
      <c r="G17" s="785"/>
      <c r="H17" s="785"/>
      <c r="I17" s="785"/>
      <c r="J17" s="785">
        <v>6180</v>
      </c>
      <c r="K17" s="785"/>
      <c r="L17" s="785"/>
      <c r="M17" s="785"/>
      <c r="N17" s="793"/>
      <c r="O17" s="3"/>
    </row>
    <row r="18" spans="1:16" ht="20.100000000000001" customHeight="1" x14ac:dyDescent="0.3">
      <c r="A18" s="86" t="s">
        <v>232</v>
      </c>
      <c r="B18" s="805">
        <f>'2. sz.melléklet'!B15</f>
        <v>149377.101</v>
      </c>
      <c r="C18" s="794">
        <v>12448</v>
      </c>
      <c r="D18" s="786">
        <v>12448</v>
      </c>
      <c r="E18" s="786">
        <v>12448</v>
      </c>
      <c r="F18" s="786">
        <v>12448</v>
      </c>
      <c r="G18" s="786">
        <v>12448</v>
      </c>
      <c r="H18" s="786">
        <v>12448</v>
      </c>
      <c r="I18" s="786">
        <v>12448</v>
      </c>
      <c r="J18" s="786">
        <v>12448</v>
      </c>
      <c r="K18" s="786">
        <v>12448</v>
      </c>
      <c r="L18" s="786">
        <v>12448</v>
      </c>
      <c r="M18" s="786">
        <v>12448</v>
      </c>
      <c r="N18" s="795">
        <v>12449</v>
      </c>
      <c r="O18" s="3"/>
      <c r="P18" s="3"/>
    </row>
    <row r="19" spans="1:16" ht="20.100000000000001" customHeight="1" thickBot="1" x14ac:dyDescent="0.35">
      <c r="A19" s="87" t="s">
        <v>234</v>
      </c>
      <c r="B19" s="806">
        <f>'2. sz.melléklet'!B18+'2. sz.melléklet'!B19+'2. sz.melléklet'!B21+'2. sz.melléklet'!B20+'2. sz.melléklet'!B22</f>
        <v>114465.79700000002</v>
      </c>
      <c r="C19" s="796"/>
      <c r="D19" s="797"/>
      <c r="E19" s="797"/>
      <c r="F19" s="797"/>
      <c r="G19" s="797"/>
      <c r="H19" s="797"/>
      <c r="I19" s="797"/>
      <c r="J19" s="797"/>
      <c r="K19" s="797"/>
      <c r="L19" s="797"/>
      <c r="M19" s="797"/>
      <c r="N19" s="798">
        <f>B19</f>
        <v>114465.79700000002</v>
      </c>
      <c r="O19" s="3"/>
    </row>
    <row r="20" spans="1:16" ht="20.100000000000001" customHeight="1" thickBot="1" x14ac:dyDescent="0.25">
      <c r="A20" s="803" t="s">
        <v>162</v>
      </c>
      <c r="B20" s="807">
        <f>SUM(B10:B19)</f>
        <v>649180.74400000006</v>
      </c>
      <c r="C20" s="808">
        <f>SUM(C10:C19)</f>
        <v>32892</v>
      </c>
      <c r="D20" s="808">
        <f t="shared" ref="D20:N20" si="0">SUM(D10:D19)</f>
        <v>37192</v>
      </c>
      <c r="E20" s="808">
        <f t="shared" si="0"/>
        <v>62892</v>
      </c>
      <c r="F20" s="808">
        <f t="shared" si="0"/>
        <v>33112</v>
      </c>
      <c r="G20" s="808">
        <f t="shared" si="0"/>
        <v>36892</v>
      </c>
      <c r="H20" s="808">
        <f t="shared" si="0"/>
        <v>33642</v>
      </c>
      <c r="I20" s="808">
        <f t="shared" si="0"/>
        <v>38842</v>
      </c>
      <c r="J20" s="808">
        <f t="shared" si="0"/>
        <v>50349</v>
      </c>
      <c r="K20" s="808">
        <f t="shared" si="0"/>
        <v>87892</v>
      </c>
      <c r="L20" s="808">
        <f t="shared" si="0"/>
        <v>35219</v>
      </c>
      <c r="M20" s="808">
        <f t="shared" si="0"/>
        <v>52892</v>
      </c>
      <c r="N20" s="808">
        <f t="shared" si="0"/>
        <v>147364.79700000002</v>
      </c>
      <c r="O20" s="3"/>
    </row>
    <row r="21" spans="1:16" ht="20.100000000000001" customHeight="1" thickBot="1" x14ac:dyDescent="0.35">
      <c r="A21" s="799" t="s">
        <v>189</v>
      </c>
      <c r="B21" s="809">
        <f>'2. sz.melléklet'!B24</f>
        <v>-149377.101</v>
      </c>
      <c r="C21" s="843">
        <f>-C18</f>
        <v>-12448</v>
      </c>
      <c r="D21" s="843">
        <f t="shared" ref="D21:N21" si="1">-D18</f>
        <v>-12448</v>
      </c>
      <c r="E21" s="843">
        <f t="shared" si="1"/>
        <v>-12448</v>
      </c>
      <c r="F21" s="843">
        <f t="shared" si="1"/>
        <v>-12448</v>
      </c>
      <c r="G21" s="843">
        <f t="shared" si="1"/>
        <v>-12448</v>
      </c>
      <c r="H21" s="843">
        <f t="shared" si="1"/>
        <v>-12448</v>
      </c>
      <c r="I21" s="843">
        <f t="shared" si="1"/>
        <v>-12448</v>
      </c>
      <c r="J21" s="843">
        <f t="shared" si="1"/>
        <v>-12448</v>
      </c>
      <c r="K21" s="843">
        <f t="shared" si="1"/>
        <v>-12448</v>
      </c>
      <c r="L21" s="843">
        <f t="shared" si="1"/>
        <v>-12448</v>
      </c>
      <c r="M21" s="843">
        <f t="shared" si="1"/>
        <v>-12448</v>
      </c>
      <c r="N21" s="844">
        <f t="shared" si="1"/>
        <v>-12449</v>
      </c>
      <c r="O21" s="3"/>
    </row>
    <row r="22" spans="1:16" ht="20.100000000000001" customHeight="1" thickBot="1" x14ac:dyDescent="0.25">
      <c r="A22" s="72" t="s">
        <v>192</v>
      </c>
      <c r="B22" s="809">
        <f>SUM(B20:B21)</f>
        <v>499803.64300000004</v>
      </c>
      <c r="C22" s="810">
        <f>SUM(C20:C21)</f>
        <v>20444</v>
      </c>
      <c r="D22" s="811">
        <f t="shared" ref="D22:M22" si="2">SUM(D20:D21)</f>
        <v>24744</v>
      </c>
      <c r="E22" s="811">
        <f t="shared" si="2"/>
        <v>50444</v>
      </c>
      <c r="F22" s="811">
        <f t="shared" si="2"/>
        <v>20664</v>
      </c>
      <c r="G22" s="811">
        <f t="shared" si="2"/>
        <v>24444</v>
      </c>
      <c r="H22" s="811">
        <f t="shared" si="2"/>
        <v>21194</v>
      </c>
      <c r="I22" s="811">
        <f t="shared" si="2"/>
        <v>26394</v>
      </c>
      <c r="J22" s="811">
        <f t="shared" si="2"/>
        <v>37901</v>
      </c>
      <c r="K22" s="811">
        <f t="shared" si="2"/>
        <v>75444</v>
      </c>
      <c r="L22" s="811">
        <f t="shared" si="2"/>
        <v>22771</v>
      </c>
      <c r="M22" s="811">
        <f t="shared" si="2"/>
        <v>40444</v>
      </c>
      <c r="N22" s="812">
        <f>SUM(N20:N21)</f>
        <v>134915.79700000002</v>
      </c>
      <c r="O22" s="3"/>
    </row>
    <row r="23" spans="1:16" ht="20.100000000000001" customHeight="1" x14ac:dyDescent="0.2">
      <c r="A23" s="54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6" ht="20.100000000000001" customHeight="1" x14ac:dyDescent="0.2">
      <c r="A24" s="54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6" ht="20.100000000000001" customHeight="1" x14ac:dyDescent="0.2">
      <c r="A25" s="54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1053"/>
      <c r="M25" s="1053"/>
      <c r="N25" s="1053"/>
    </row>
    <row r="26" spans="1:16" ht="20.100000000000001" customHeight="1" thickBot="1" x14ac:dyDescent="0.25">
      <c r="A26" s="54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6" ht="20.100000000000001" customHeight="1" x14ac:dyDescent="0.2">
      <c r="A27" s="1054" t="s">
        <v>2</v>
      </c>
      <c r="B27" s="1056" t="s">
        <v>142</v>
      </c>
      <c r="C27" s="1058" t="s">
        <v>366</v>
      </c>
      <c r="D27" s="1059"/>
      <c r="E27" s="1059"/>
      <c r="F27" s="1059"/>
      <c r="G27" s="1059"/>
      <c r="H27" s="1059"/>
      <c r="I27" s="1059"/>
      <c r="J27" s="1059"/>
      <c r="K27" s="1059"/>
      <c r="L27" s="1059"/>
      <c r="M27" s="1059"/>
      <c r="N27" s="1060"/>
    </row>
    <row r="28" spans="1:16" ht="20.100000000000001" customHeight="1" thickBot="1" x14ac:dyDescent="0.25">
      <c r="A28" s="1055"/>
      <c r="B28" s="1057"/>
      <c r="C28" s="827" t="s">
        <v>143</v>
      </c>
      <c r="D28" s="828" t="s">
        <v>144</v>
      </c>
      <c r="E28" s="828" t="s">
        <v>145</v>
      </c>
      <c r="F28" s="828" t="s">
        <v>146</v>
      </c>
      <c r="G28" s="828" t="s">
        <v>147</v>
      </c>
      <c r="H28" s="828" t="s">
        <v>148</v>
      </c>
      <c r="I28" s="828" t="s">
        <v>149</v>
      </c>
      <c r="J28" s="828" t="s">
        <v>150</v>
      </c>
      <c r="K28" s="828" t="s">
        <v>151</v>
      </c>
      <c r="L28" s="828" t="s">
        <v>152</v>
      </c>
      <c r="M28" s="828" t="s">
        <v>153</v>
      </c>
      <c r="N28" s="829" t="s">
        <v>154</v>
      </c>
    </row>
    <row r="29" spans="1:16" ht="20.100000000000001" customHeight="1" x14ac:dyDescent="0.3">
      <c r="A29" s="825" t="s">
        <v>235</v>
      </c>
      <c r="B29" s="826">
        <f>'2. sz.melléklet'!F8</f>
        <v>155877.859</v>
      </c>
      <c r="C29" s="800">
        <v>12700</v>
      </c>
      <c r="D29" s="801">
        <v>12700</v>
      </c>
      <c r="E29" s="801">
        <v>12700</v>
      </c>
      <c r="F29" s="801">
        <v>12700</v>
      </c>
      <c r="G29" s="801">
        <v>12700</v>
      </c>
      <c r="H29" s="801">
        <v>12700</v>
      </c>
      <c r="I29" s="801">
        <v>14439</v>
      </c>
      <c r="J29" s="801">
        <v>12700</v>
      </c>
      <c r="K29" s="801">
        <v>12700</v>
      </c>
      <c r="L29" s="801">
        <v>12700</v>
      </c>
      <c r="M29" s="801">
        <v>14439</v>
      </c>
      <c r="N29" s="802">
        <v>12700</v>
      </c>
      <c r="O29" s="3"/>
      <c r="P29" s="3"/>
    </row>
    <row r="30" spans="1:16" ht="20.100000000000001" customHeight="1" x14ac:dyDescent="0.3">
      <c r="A30" s="830" t="s">
        <v>236</v>
      </c>
      <c r="B30" s="813">
        <f>'2. sz.melléklet'!F9</f>
        <v>29450.732</v>
      </c>
      <c r="C30" s="794">
        <v>2380</v>
      </c>
      <c r="D30" s="786">
        <v>2380</v>
      </c>
      <c r="E30" s="786">
        <v>2380</v>
      </c>
      <c r="F30" s="786">
        <v>2380</v>
      </c>
      <c r="G30" s="786">
        <v>2380</v>
      </c>
      <c r="H30" s="786">
        <v>2380</v>
      </c>
      <c r="I30" s="786">
        <v>2826</v>
      </c>
      <c r="J30" s="786">
        <v>2380</v>
      </c>
      <c r="K30" s="786">
        <v>2380</v>
      </c>
      <c r="L30" s="786">
        <v>2380</v>
      </c>
      <c r="M30" s="786">
        <v>2825</v>
      </c>
      <c r="N30" s="795">
        <v>2380</v>
      </c>
      <c r="O30" s="3"/>
      <c r="P30" s="3"/>
    </row>
    <row r="31" spans="1:16" ht="20.100000000000001" customHeight="1" x14ac:dyDescent="0.3">
      <c r="A31" s="830" t="s">
        <v>5</v>
      </c>
      <c r="B31" s="813">
        <f>'2. sz.melléklet'!F10</f>
        <v>86142.087</v>
      </c>
      <c r="C31" s="790">
        <v>7178</v>
      </c>
      <c r="D31" s="784">
        <v>7178</v>
      </c>
      <c r="E31" s="784">
        <v>7178</v>
      </c>
      <c r="F31" s="784">
        <v>7178</v>
      </c>
      <c r="G31" s="784">
        <v>7178</v>
      </c>
      <c r="H31" s="784">
        <v>7178</v>
      </c>
      <c r="I31" s="784">
        <v>7178</v>
      </c>
      <c r="J31" s="784">
        <v>7178</v>
      </c>
      <c r="K31" s="784">
        <v>7178</v>
      </c>
      <c r="L31" s="784">
        <v>7178</v>
      </c>
      <c r="M31" s="784">
        <v>7178</v>
      </c>
      <c r="N31" s="791">
        <v>7184</v>
      </c>
      <c r="O31" s="3"/>
      <c r="P31" s="3"/>
    </row>
    <row r="32" spans="1:16" ht="20.100000000000001" customHeight="1" x14ac:dyDescent="0.3">
      <c r="A32" s="830" t="s">
        <v>237</v>
      </c>
      <c r="B32" s="813">
        <f>'2. sz.melléklet'!F11</f>
        <v>10810.5</v>
      </c>
      <c r="C32" s="790">
        <v>900</v>
      </c>
      <c r="D32" s="784">
        <v>900</v>
      </c>
      <c r="E32" s="784">
        <v>900</v>
      </c>
      <c r="F32" s="784">
        <v>900</v>
      </c>
      <c r="G32" s="784">
        <v>900</v>
      </c>
      <c r="H32" s="784">
        <v>900</v>
      </c>
      <c r="I32" s="784">
        <v>900</v>
      </c>
      <c r="J32" s="784">
        <v>900</v>
      </c>
      <c r="K32" s="784">
        <v>900</v>
      </c>
      <c r="L32" s="784">
        <v>900</v>
      </c>
      <c r="M32" s="784">
        <v>900</v>
      </c>
      <c r="N32" s="791">
        <v>911</v>
      </c>
      <c r="O32" s="3"/>
      <c r="P32" s="3"/>
    </row>
    <row r="33" spans="1:16" ht="20.100000000000001" customHeight="1" x14ac:dyDescent="0.3">
      <c r="A33" s="830" t="s">
        <v>238</v>
      </c>
      <c r="B33" s="813">
        <f>'2. sz.melléklet'!F12</f>
        <v>7156</v>
      </c>
      <c r="C33" s="790">
        <v>596</v>
      </c>
      <c r="D33" s="784">
        <v>596</v>
      </c>
      <c r="E33" s="784">
        <v>596</v>
      </c>
      <c r="F33" s="784">
        <v>596</v>
      </c>
      <c r="G33" s="784">
        <v>596</v>
      </c>
      <c r="H33" s="784">
        <v>596</v>
      </c>
      <c r="I33" s="784">
        <v>596</v>
      </c>
      <c r="J33" s="784">
        <v>596</v>
      </c>
      <c r="K33" s="784">
        <v>596</v>
      </c>
      <c r="L33" s="784">
        <v>596</v>
      </c>
      <c r="M33" s="784">
        <v>596</v>
      </c>
      <c r="N33" s="791">
        <v>600</v>
      </c>
      <c r="O33" s="3"/>
      <c r="P33" s="3"/>
    </row>
    <row r="34" spans="1:16" ht="20.100000000000001" customHeight="1" x14ac:dyDescent="0.3">
      <c r="A34" s="830" t="s">
        <v>239</v>
      </c>
      <c r="B34" s="813">
        <f>'2. sz.melléklet'!F13</f>
        <v>6207</v>
      </c>
      <c r="C34" s="790">
        <v>517</v>
      </c>
      <c r="D34" s="784">
        <v>517</v>
      </c>
      <c r="E34" s="784">
        <v>517</v>
      </c>
      <c r="F34" s="784">
        <v>517</v>
      </c>
      <c r="G34" s="784">
        <v>517</v>
      </c>
      <c r="H34" s="784">
        <v>517</v>
      </c>
      <c r="I34" s="784">
        <v>517</v>
      </c>
      <c r="J34" s="784">
        <v>517</v>
      </c>
      <c r="K34" s="784">
        <v>517</v>
      </c>
      <c r="L34" s="784">
        <v>517</v>
      </c>
      <c r="M34" s="784">
        <v>517</v>
      </c>
      <c r="N34" s="791">
        <v>520</v>
      </c>
      <c r="O34" s="3"/>
      <c r="P34" s="3"/>
    </row>
    <row r="35" spans="1:16" ht="20.100000000000001" customHeight="1" x14ac:dyDescent="0.3">
      <c r="A35" s="830" t="s">
        <v>266</v>
      </c>
      <c r="B35" s="813">
        <f>'2. sz.melléklet'!F14</f>
        <v>6042.2659999999996</v>
      </c>
      <c r="C35" s="790">
        <v>6042</v>
      </c>
      <c r="D35" s="784"/>
      <c r="E35" s="784"/>
      <c r="F35" s="784"/>
      <c r="G35" s="784"/>
      <c r="H35" s="784"/>
      <c r="I35" s="784"/>
      <c r="J35" s="784"/>
      <c r="K35" s="784"/>
      <c r="L35" s="784"/>
      <c r="M35" s="784"/>
      <c r="N35" s="791"/>
      <c r="O35" s="3"/>
      <c r="P35" s="3"/>
    </row>
    <row r="36" spans="1:16" ht="20.100000000000001" customHeight="1" x14ac:dyDescent="0.3">
      <c r="A36" s="830" t="s">
        <v>240</v>
      </c>
      <c r="B36" s="813">
        <f>'2. sz.melléklet'!F15</f>
        <v>149377.101</v>
      </c>
      <c r="C36" s="794">
        <v>12448</v>
      </c>
      <c r="D36" s="786">
        <v>12448</v>
      </c>
      <c r="E36" s="786">
        <v>12448</v>
      </c>
      <c r="F36" s="786">
        <v>12448</v>
      </c>
      <c r="G36" s="786">
        <v>12448</v>
      </c>
      <c r="H36" s="786">
        <v>12448</v>
      </c>
      <c r="I36" s="786">
        <v>12448</v>
      </c>
      <c r="J36" s="786">
        <v>12448</v>
      </c>
      <c r="K36" s="786">
        <v>12448</v>
      </c>
      <c r="L36" s="786">
        <v>12448</v>
      </c>
      <c r="M36" s="786">
        <v>12448</v>
      </c>
      <c r="N36" s="795">
        <v>12449</v>
      </c>
      <c r="O36" s="3"/>
      <c r="P36" s="3"/>
    </row>
    <row r="37" spans="1:16" ht="20.100000000000001" customHeight="1" x14ac:dyDescent="0.3">
      <c r="A37" s="830" t="s">
        <v>221</v>
      </c>
      <c r="B37" s="813">
        <f>'2. sz.melléklet'!F18</f>
        <v>9235.5</v>
      </c>
      <c r="C37" s="790"/>
      <c r="D37" s="784"/>
      <c r="E37" s="784">
        <v>2309</v>
      </c>
      <c r="F37" s="784"/>
      <c r="G37" s="784"/>
      <c r="H37" s="784">
        <v>2309</v>
      </c>
      <c r="I37" s="784"/>
      <c r="J37" s="784"/>
      <c r="K37" s="784">
        <v>2309</v>
      </c>
      <c r="L37" s="784"/>
      <c r="M37" s="784"/>
      <c r="N37" s="791">
        <v>2309</v>
      </c>
      <c r="O37" s="3"/>
      <c r="P37" s="3"/>
    </row>
    <row r="38" spans="1:16" ht="20.100000000000001" customHeight="1" x14ac:dyDescent="0.3">
      <c r="A38" s="830" t="s">
        <v>241</v>
      </c>
      <c r="B38" s="813">
        <f>'2. sz.melléklet'!F19</f>
        <v>158430.139</v>
      </c>
      <c r="C38" s="790"/>
      <c r="D38" s="784">
        <v>8634</v>
      </c>
      <c r="E38" s="784">
        <v>19803</v>
      </c>
      <c r="F38" s="784">
        <v>19803</v>
      </c>
      <c r="G38" s="784">
        <v>19803</v>
      </c>
      <c r="H38" s="784">
        <v>36000</v>
      </c>
      <c r="I38" s="784">
        <v>20000</v>
      </c>
      <c r="J38" s="784"/>
      <c r="K38" s="784">
        <v>17119</v>
      </c>
      <c r="L38" s="784">
        <v>8634</v>
      </c>
      <c r="M38" s="784"/>
      <c r="N38" s="791">
        <v>8634</v>
      </c>
      <c r="O38" s="3"/>
      <c r="P38" s="3"/>
    </row>
    <row r="39" spans="1:16" ht="20.100000000000001" customHeight="1" x14ac:dyDescent="0.3">
      <c r="A39" s="817" t="s">
        <v>754</v>
      </c>
      <c r="B39" s="818">
        <f>'2. sz.melléklet'!F20</f>
        <v>1263</v>
      </c>
      <c r="C39" s="841"/>
      <c r="D39" s="835"/>
      <c r="E39" s="835"/>
      <c r="F39" s="835"/>
      <c r="G39" s="835"/>
      <c r="H39" s="835"/>
      <c r="I39" s="835">
        <v>1263</v>
      </c>
      <c r="J39" s="835"/>
      <c r="K39" s="835"/>
      <c r="L39" s="835"/>
      <c r="M39" s="835"/>
      <c r="N39" s="836"/>
      <c r="O39" s="3"/>
      <c r="P39" s="3"/>
    </row>
    <row r="40" spans="1:16" ht="20.100000000000001" customHeight="1" thickBot="1" x14ac:dyDescent="0.35">
      <c r="A40" s="817" t="s">
        <v>242</v>
      </c>
      <c r="B40" s="818">
        <f>'2. sz.melléklet'!F21</f>
        <v>29188.560000000001</v>
      </c>
      <c r="C40" s="842"/>
      <c r="D40" s="819"/>
      <c r="E40" s="819"/>
      <c r="F40" s="819"/>
      <c r="G40" s="819"/>
      <c r="H40" s="819"/>
      <c r="I40" s="819"/>
      <c r="J40" s="819"/>
      <c r="K40" s="819"/>
      <c r="L40" s="819"/>
      <c r="M40" s="819"/>
      <c r="N40" s="831">
        <v>29189</v>
      </c>
      <c r="O40" s="3"/>
      <c r="P40" s="3"/>
    </row>
    <row r="41" spans="1:16" ht="20.100000000000001" customHeight="1" thickBot="1" x14ac:dyDescent="0.25">
      <c r="A41" s="820" t="s">
        <v>155</v>
      </c>
      <c r="B41" s="821">
        <f>SUM(B29:B40)</f>
        <v>649180.74399999995</v>
      </c>
      <c r="C41" s="822">
        <f>SUM(C29:C40)</f>
        <v>42761</v>
      </c>
      <c r="D41" s="823">
        <f t="shared" ref="D41:N41" si="3">SUM(D29:D40)</f>
        <v>45353</v>
      </c>
      <c r="E41" s="823">
        <f t="shared" si="3"/>
        <v>58831</v>
      </c>
      <c r="F41" s="823">
        <f t="shared" si="3"/>
        <v>56522</v>
      </c>
      <c r="G41" s="823">
        <f t="shared" si="3"/>
        <v>56522</v>
      </c>
      <c r="H41" s="823">
        <f t="shared" si="3"/>
        <v>75028</v>
      </c>
      <c r="I41" s="823">
        <f t="shared" si="3"/>
        <v>60167</v>
      </c>
      <c r="J41" s="823">
        <f t="shared" si="3"/>
        <v>36719</v>
      </c>
      <c r="K41" s="823">
        <f t="shared" si="3"/>
        <v>56147</v>
      </c>
      <c r="L41" s="823">
        <f t="shared" si="3"/>
        <v>45353</v>
      </c>
      <c r="M41" s="823">
        <f t="shared" si="3"/>
        <v>38903</v>
      </c>
      <c r="N41" s="824">
        <f t="shared" si="3"/>
        <v>76876</v>
      </c>
      <c r="O41" s="3"/>
      <c r="P41" s="3"/>
    </row>
    <row r="42" spans="1:16" ht="20.100000000000001" customHeight="1" thickBot="1" x14ac:dyDescent="0.35">
      <c r="A42" s="832" t="s">
        <v>189</v>
      </c>
      <c r="B42" s="839">
        <f>'2. sz.melléklet'!F24</f>
        <v>-149377.101</v>
      </c>
      <c r="C42" s="837">
        <f>-C36</f>
        <v>-12448</v>
      </c>
      <c r="D42" s="837">
        <f t="shared" ref="D42:N42" si="4">-D36</f>
        <v>-12448</v>
      </c>
      <c r="E42" s="837">
        <f t="shared" si="4"/>
        <v>-12448</v>
      </c>
      <c r="F42" s="837">
        <f t="shared" si="4"/>
        <v>-12448</v>
      </c>
      <c r="G42" s="837">
        <f t="shared" si="4"/>
        <v>-12448</v>
      </c>
      <c r="H42" s="837">
        <f t="shared" si="4"/>
        <v>-12448</v>
      </c>
      <c r="I42" s="837">
        <f t="shared" si="4"/>
        <v>-12448</v>
      </c>
      <c r="J42" s="837">
        <f t="shared" si="4"/>
        <v>-12448</v>
      </c>
      <c r="K42" s="837">
        <f t="shared" si="4"/>
        <v>-12448</v>
      </c>
      <c r="L42" s="837">
        <f t="shared" si="4"/>
        <v>-12448</v>
      </c>
      <c r="M42" s="837">
        <f t="shared" si="4"/>
        <v>-12448</v>
      </c>
      <c r="N42" s="838">
        <f t="shared" si="4"/>
        <v>-12449</v>
      </c>
      <c r="O42" s="3"/>
      <c r="P42" s="3"/>
    </row>
    <row r="43" spans="1:16" ht="20.100000000000001" customHeight="1" thickBot="1" x14ac:dyDescent="0.25">
      <c r="A43" s="803" t="s">
        <v>192</v>
      </c>
      <c r="B43" s="840">
        <f>SUM(B41:B42)</f>
        <v>499803.64299999992</v>
      </c>
      <c r="C43" s="814">
        <f>SUM(C41:C42)</f>
        <v>30313</v>
      </c>
      <c r="D43" s="815">
        <f t="shared" ref="D43:M43" si="5">SUM(D41:D42)</f>
        <v>32905</v>
      </c>
      <c r="E43" s="815">
        <f t="shared" si="5"/>
        <v>46383</v>
      </c>
      <c r="F43" s="815">
        <f t="shared" si="5"/>
        <v>44074</v>
      </c>
      <c r="G43" s="815">
        <f t="shared" si="5"/>
        <v>44074</v>
      </c>
      <c r="H43" s="815">
        <f t="shared" si="5"/>
        <v>62580</v>
      </c>
      <c r="I43" s="815">
        <f t="shared" si="5"/>
        <v>47719</v>
      </c>
      <c r="J43" s="815">
        <f t="shared" si="5"/>
        <v>24271</v>
      </c>
      <c r="K43" s="815">
        <f t="shared" si="5"/>
        <v>43699</v>
      </c>
      <c r="L43" s="815">
        <f t="shared" si="5"/>
        <v>32905</v>
      </c>
      <c r="M43" s="815">
        <f t="shared" si="5"/>
        <v>26455</v>
      </c>
      <c r="N43" s="816">
        <v>64426</v>
      </c>
      <c r="O43" s="3"/>
      <c r="P43" s="3"/>
    </row>
    <row r="44" spans="1:16" x14ac:dyDescent="0.2">
      <c r="O44" s="3"/>
    </row>
  </sheetData>
  <mergeCells count="12">
    <mergeCell ref="A27:A28"/>
    <mergeCell ref="B27:B28"/>
    <mergeCell ref="C27:N27"/>
    <mergeCell ref="A7:N7"/>
    <mergeCell ref="A8:A9"/>
    <mergeCell ref="B8:B9"/>
    <mergeCell ref="C8:N8"/>
    <mergeCell ref="A1:N1"/>
    <mergeCell ref="A4:N4"/>
    <mergeCell ref="A5:N5"/>
    <mergeCell ref="L25:N25"/>
    <mergeCell ref="A2:N2"/>
  </mergeCells>
  <phoneticPr fontId="13" type="noConversion"/>
  <pageMargins left="0.78740157480314965" right="0.39370078740157483" top="0.78740157480314965" bottom="0.78740157480314965" header="0.51181102362204722" footer="0.51181102362204722"/>
  <pageSetup paperSize="9" scale="61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2:E18"/>
  <sheetViews>
    <sheetView workbookViewId="0">
      <selection activeCell="C26" sqref="C26"/>
    </sheetView>
  </sheetViews>
  <sheetFormatPr defaultRowHeight="12.75" x14ac:dyDescent="0.2"/>
  <cols>
    <col min="2" max="2" width="33" customWidth="1"/>
    <col min="3" max="3" width="15.5703125" customWidth="1"/>
  </cols>
  <sheetData>
    <row r="2" spans="1:5" ht="15" customHeight="1" x14ac:dyDescent="0.2">
      <c r="A2" s="987" t="s">
        <v>378</v>
      </c>
      <c r="B2" s="987"/>
      <c r="C2" s="987"/>
      <c r="D2" s="987"/>
      <c r="E2" s="12"/>
    </row>
    <row r="3" spans="1:5" ht="14.25" x14ac:dyDescent="0.2">
      <c r="A3" s="944"/>
      <c r="B3" s="945"/>
      <c r="C3" s="945"/>
      <c r="D3" s="945"/>
    </row>
    <row r="4" spans="1:5" ht="15" x14ac:dyDescent="0.2">
      <c r="B4" s="11"/>
      <c r="C4" s="11"/>
      <c r="D4" s="11"/>
    </row>
    <row r="5" spans="1:5" ht="15.75" x14ac:dyDescent="0.25">
      <c r="A5" s="1041" t="s">
        <v>243</v>
      </c>
      <c r="B5" s="1041"/>
      <c r="C5" s="1041"/>
      <c r="D5" s="1041"/>
    </row>
    <row r="6" spans="1:5" ht="15.75" x14ac:dyDescent="0.25">
      <c r="A6" s="1043" t="s">
        <v>373</v>
      </c>
      <c r="B6" s="1043"/>
      <c r="C6" s="1043"/>
      <c r="D6" s="1043"/>
    </row>
    <row r="8" spans="1:5" x14ac:dyDescent="0.2">
      <c r="B8" s="1070" t="s">
        <v>157</v>
      </c>
      <c r="C8" s="1070"/>
    </row>
    <row r="9" spans="1:5" x14ac:dyDescent="0.2">
      <c r="B9" s="1070"/>
      <c r="C9" s="1070"/>
    </row>
    <row r="10" spans="1:5" ht="13.5" thickBot="1" x14ac:dyDescent="0.25">
      <c r="B10" s="42"/>
      <c r="C10" s="42"/>
    </row>
    <row r="11" spans="1:5" ht="13.5" thickBot="1" x14ac:dyDescent="0.25">
      <c r="B11" s="43" t="s">
        <v>158</v>
      </c>
      <c r="C11" s="44" t="s">
        <v>11</v>
      </c>
    </row>
    <row r="12" spans="1:5" x14ac:dyDescent="0.2">
      <c r="B12" s="45" t="s">
        <v>163</v>
      </c>
      <c r="C12" s="46"/>
    </row>
    <row r="13" spans="1:5" x14ac:dyDescent="0.2">
      <c r="B13" s="47" t="s">
        <v>159</v>
      </c>
      <c r="C13" s="154">
        <v>585</v>
      </c>
    </row>
    <row r="14" spans="1:5" x14ac:dyDescent="0.2">
      <c r="B14" s="47" t="s">
        <v>160</v>
      </c>
      <c r="C14" s="48"/>
    </row>
    <row r="15" spans="1:5" x14ac:dyDescent="0.2">
      <c r="B15" s="47" t="s">
        <v>161</v>
      </c>
      <c r="C15" s="48"/>
    </row>
    <row r="16" spans="1:5" x14ac:dyDescent="0.2">
      <c r="B16" s="49" t="s">
        <v>0</v>
      </c>
      <c r="C16" s="50">
        <f>SUM(C12:C15)</f>
        <v>585</v>
      </c>
    </row>
    <row r="17" spans="2:3" ht="13.5" thickBot="1" x14ac:dyDescent="0.25">
      <c r="B17" s="51"/>
      <c r="C17" s="52"/>
    </row>
    <row r="18" spans="2:3" ht="15" x14ac:dyDescent="0.2">
      <c r="B18" s="53"/>
      <c r="C18" s="53"/>
    </row>
  </sheetData>
  <mergeCells count="6">
    <mergeCell ref="A2:D2"/>
    <mergeCell ref="B9:C9"/>
    <mergeCell ref="A5:D5"/>
    <mergeCell ref="A6:D6"/>
    <mergeCell ref="B8:C8"/>
    <mergeCell ref="A3:D3"/>
  </mergeCells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D1E3-4F85-4A74-A0FB-7DD3EE31B0CC}">
  <dimension ref="A1:P297"/>
  <sheetViews>
    <sheetView view="pageBreakPreview" topLeftCell="A244" zoomScale="60" zoomScaleNormal="100" workbookViewId="0">
      <selection activeCell="Q16" sqref="Q16"/>
    </sheetView>
  </sheetViews>
  <sheetFormatPr defaultRowHeight="12.75" x14ac:dyDescent="0.2"/>
  <cols>
    <col min="1" max="1" width="12.28515625" customWidth="1"/>
    <col min="2" max="2" width="35.5703125" customWidth="1"/>
    <col min="3" max="3" width="15.7109375" customWidth="1"/>
    <col min="4" max="4" width="15.42578125" customWidth="1"/>
    <col min="5" max="5" width="12.5703125" customWidth="1"/>
    <col min="6" max="6" width="16" style="292" customWidth="1"/>
    <col min="7" max="7" width="12.42578125" customWidth="1"/>
    <col min="8" max="8" width="10.7109375" style="3" customWidth="1"/>
    <col min="9" max="9" width="3.42578125" customWidth="1"/>
    <col min="10" max="10" width="8.42578125" customWidth="1"/>
    <col min="11" max="11" width="11.85546875" customWidth="1"/>
    <col min="12" max="12" width="12.5703125" customWidth="1"/>
    <col min="13" max="13" width="8.42578125" customWidth="1"/>
    <col min="14" max="14" width="10.5703125" customWidth="1"/>
    <col min="15" max="15" width="12.42578125" customWidth="1"/>
    <col min="16" max="1024" width="8.42578125" customWidth="1"/>
  </cols>
  <sheetData>
    <row r="1" spans="1:11" x14ac:dyDescent="0.2">
      <c r="E1" s="884" t="s">
        <v>509</v>
      </c>
      <c r="F1" s="885"/>
    </row>
    <row r="2" spans="1:11" ht="15.75" x14ac:dyDescent="0.25">
      <c r="A2" s="863" t="s">
        <v>510</v>
      </c>
      <c r="B2" s="863"/>
      <c r="C2" s="863"/>
      <c r="D2" s="863"/>
      <c r="E2" s="863"/>
      <c r="F2" s="863"/>
    </row>
    <row r="3" spans="1:11" ht="15.75" x14ac:dyDescent="0.25">
      <c r="A3" s="863" t="s">
        <v>243</v>
      </c>
      <c r="B3" s="863"/>
      <c r="C3" s="863"/>
      <c r="D3" s="863"/>
      <c r="E3" s="863"/>
      <c r="F3" s="863"/>
    </row>
    <row r="4" spans="1:11" ht="21.75" customHeight="1" x14ac:dyDescent="0.2">
      <c r="F4" s="294"/>
    </row>
    <row r="5" spans="1:11" ht="18" customHeight="1" x14ac:dyDescent="0.2">
      <c r="A5" s="886" t="s">
        <v>511</v>
      </c>
      <c r="B5" s="886"/>
      <c r="C5" s="886"/>
      <c r="D5" s="886"/>
      <c r="E5" s="886"/>
      <c r="F5" s="886"/>
      <c r="H5" s="291"/>
    </row>
    <row r="6" spans="1:11" s="181" customFormat="1" ht="18" customHeight="1" thickBot="1" x14ac:dyDescent="0.25">
      <c r="A6" s="180"/>
      <c r="B6" s="180"/>
      <c r="C6" s="180"/>
      <c r="D6" s="180"/>
      <c r="E6" s="180"/>
      <c r="F6" s="180"/>
      <c r="H6" s="295"/>
    </row>
    <row r="7" spans="1:11" ht="23.25" customHeight="1" thickBot="1" x14ac:dyDescent="0.25">
      <c r="A7" s="853" t="s">
        <v>398</v>
      </c>
      <c r="B7" s="853"/>
      <c r="C7" s="853"/>
      <c r="D7" s="853"/>
      <c r="E7" s="853"/>
      <c r="F7" s="853"/>
    </row>
    <row r="8" spans="1:11" ht="17.25" customHeight="1" thickBot="1" x14ac:dyDescent="0.25">
      <c r="A8" s="887" t="s">
        <v>399</v>
      </c>
      <c r="B8" s="888" t="s">
        <v>400</v>
      </c>
      <c r="C8" s="870">
        <v>2019</v>
      </c>
      <c r="D8" s="871"/>
      <c r="E8" s="871"/>
      <c r="F8" s="872"/>
    </row>
    <row r="9" spans="1:11" ht="24.75" customHeight="1" thickBot="1" x14ac:dyDescent="0.25">
      <c r="A9" s="887"/>
      <c r="B9" s="888"/>
      <c r="C9" s="296" t="s">
        <v>402</v>
      </c>
      <c r="D9" s="296" t="s">
        <v>403</v>
      </c>
      <c r="E9" s="296" t="s">
        <v>404</v>
      </c>
      <c r="F9" s="297" t="s">
        <v>512</v>
      </c>
    </row>
    <row r="10" spans="1:11" ht="15" customHeight="1" x14ac:dyDescent="0.2">
      <c r="A10" s="206" t="s">
        <v>513</v>
      </c>
      <c r="B10" s="298" t="s">
        <v>514</v>
      </c>
      <c r="C10" s="299">
        <v>0</v>
      </c>
      <c r="D10" s="299">
        <f>F10-C10</f>
        <v>1556250</v>
      </c>
      <c r="E10" s="300"/>
      <c r="F10" s="301">
        <f>'[1]Kiadások részletes COFOG'!F13</f>
        <v>1556250</v>
      </c>
    </row>
    <row r="11" spans="1:11" ht="15" customHeight="1" x14ac:dyDescent="0.2">
      <c r="A11" s="302" t="s">
        <v>515</v>
      </c>
      <c r="B11" s="298" t="s">
        <v>516</v>
      </c>
      <c r="C11" s="299">
        <v>0</v>
      </c>
      <c r="D11" s="299">
        <f t="shared" ref="D11:D49" si="0">F11-C11</f>
        <v>0</v>
      </c>
      <c r="E11" s="300"/>
      <c r="F11" s="301">
        <v>0</v>
      </c>
    </row>
    <row r="12" spans="1:11" ht="15" customHeight="1" x14ac:dyDescent="0.2">
      <c r="A12" s="303" t="s">
        <v>517</v>
      </c>
      <c r="B12" s="191" t="s">
        <v>518</v>
      </c>
      <c r="C12" s="268">
        <v>0</v>
      </c>
      <c r="D12" s="299">
        <f t="shared" si="0"/>
        <v>0</v>
      </c>
      <c r="E12" s="300"/>
      <c r="F12" s="269">
        <f>'[1]Kiadások részletes COFOG'!F14</f>
        <v>0</v>
      </c>
      <c r="K12" s="304"/>
    </row>
    <row r="13" spans="1:11" ht="15" customHeight="1" x14ac:dyDescent="0.2">
      <c r="A13" s="303" t="s">
        <v>519</v>
      </c>
      <c r="B13" s="191" t="s">
        <v>520</v>
      </c>
      <c r="C13" s="268">
        <v>100000</v>
      </c>
      <c r="D13" s="299">
        <f t="shared" si="0"/>
        <v>-100000</v>
      </c>
      <c r="E13" s="300">
        <f t="shared" ref="E13:E41" si="1">F13/C13*100</f>
        <v>0</v>
      </c>
      <c r="F13" s="269">
        <f>'[1]Kiadások részletes COFOG'!F14</f>
        <v>0</v>
      </c>
      <c r="K13" s="304"/>
    </row>
    <row r="14" spans="1:11" ht="15" customHeight="1" x14ac:dyDescent="0.2">
      <c r="A14" s="190" t="s">
        <v>521</v>
      </c>
      <c r="B14" s="191" t="s">
        <v>522</v>
      </c>
      <c r="C14" s="268">
        <v>16224200</v>
      </c>
      <c r="D14" s="299">
        <f t="shared" si="0"/>
        <v>0</v>
      </c>
      <c r="E14" s="300">
        <f t="shared" si="1"/>
        <v>100</v>
      </c>
      <c r="F14" s="269">
        <f>'[1]Kiadások részletes COFOG'!F26</f>
        <v>16224200</v>
      </c>
      <c r="G14" s="42"/>
    </row>
    <row r="15" spans="1:11" ht="22.5" customHeight="1" x14ac:dyDescent="0.2">
      <c r="A15" s="190" t="s">
        <v>523</v>
      </c>
      <c r="B15" s="191" t="s">
        <v>524</v>
      </c>
      <c r="C15" s="268">
        <v>336000</v>
      </c>
      <c r="D15" s="299">
        <f t="shared" si="0"/>
        <v>1070000</v>
      </c>
      <c r="E15" s="300">
        <f t="shared" si="1"/>
        <v>418.45238095238091</v>
      </c>
      <c r="F15" s="269">
        <f>'[1]Kiadások részletes COFOG'!F30</f>
        <v>1406000</v>
      </c>
    </row>
    <row r="16" spans="1:11" ht="15" customHeight="1" x14ac:dyDescent="0.2">
      <c r="A16" s="195" t="s">
        <v>525</v>
      </c>
      <c r="B16" s="191" t="s">
        <v>526</v>
      </c>
      <c r="C16" s="268">
        <v>200000</v>
      </c>
      <c r="D16" s="299">
        <f t="shared" si="0"/>
        <v>156000</v>
      </c>
      <c r="E16" s="300">
        <f t="shared" si="1"/>
        <v>178</v>
      </c>
      <c r="F16" s="269">
        <f>'[1]Kiadások részletes COFOG'!F31</f>
        <v>356000</v>
      </c>
    </row>
    <row r="17" spans="1:12" ht="15" customHeight="1" x14ac:dyDescent="0.2">
      <c r="A17" s="190" t="s">
        <v>527</v>
      </c>
      <c r="B17" s="191" t="s">
        <v>528</v>
      </c>
      <c r="C17" s="268">
        <v>3287739</v>
      </c>
      <c r="D17" s="299">
        <f t="shared" si="0"/>
        <v>462261</v>
      </c>
      <c r="E17" s="300">
        <f t="shared" si="1"/>
        <v>114.06014893518008</v>
      </c>
      <c r="F17" s="269">
        <f>'[1]Kiadások részletes COFOG'!F33</f>
        <v>3750000</v>
      </c>
    </row>
    <row r="18" spans="1:12" ht="15" customHeight="1" x14ac:dyDescent="0.2">
      <c r="A18" s="190" t="s">
        <v>529</v>
      </c>
      <c r="B18" s="191" t="s">
        <v>530</v>
      </c>
      <c r="C18" s="268">
        <v>0</v>
      </c>
      <c r="D18" s="299">
        <f t="shared" si="0"/>
        <v>0</v>
      </c>
      <c r="E18" s="300"/>
      <c r="F18" s="269">
        <f>'[1]Kiadások részletes COFOG'!F38</f>
        <v>0</v>
      </c>
    </row>
    <row r="19" spans="1:12" ht="15" customHeight="1" x14ac:dyDescent="0.2">
      <c r="A19" s="190" t="s">
        <v>531</v>
      </c>
      <c r="B19" s="191" t="s">
        <v>532</v>
      </c>
      <c r="C19" s="268">
        <v>160000</v>
      </c>
      <c r="D19" s="299">
        <f t="shared" si="0"/>
        <v>-100000</v>
      </c>
      <c r="E19" s="300">
        <f t="shared" si="1"/>
        <v>37.5</v>
      </c>
      <c r="F19" s="269">
        <f>'[1]Kiadások részletes COFOG'!F39</f>
        <v>60000</v>
      </c>
    </row>
    <row r="20" spans="1:12" ht="15" customHeight="1" x14ac:dyDescent="0.2">
      <c r="A20" s="190" t="s">
        <v>533</v>
      </c>
      <c r="B20" s="191" t="s">
        <v>534</v>
      </c>
      <c r="C20" s="268">
        <v>1950000</v>
      </c>
      <c r="D20" s="299">
        <f t="shared" si="0"/>
        <v>-301000</v>
      </c>
      <c r="E20" s="300">
        <f t="shared" si="1"/>
        <v>84.564102564102555</v>
      </c>
      <c r="F20" s="269">
        <f>'[1]Kiadások részletes COFOG'!F47</f>
        <v>1649000</v>
      </c>
    </row>
    <row r="21" spans="1:12" ht="15" customHeight="1" x14ac:dyDescent="0.2">
      <c r="A21" s="190" t="s">
        <v>535</v>
      </c>
      <c r="B21" s="191" t="s">
        <v>536</v>
      </c>
      <c r="C21" s="268">
        <v>1300000</v>
      </c>
      <c r="D21" s="299">
        <f t="shared" si="0"/>
        <v>0</v>
      </c>
      <c r="E21" s="300">
        <f t="shared" si="1"/>
        <v>100</v>
      </c>
      <c r="F21" s="269">
        <f>'[1]Kiadások részletes COFOG'!F48</f>
        <v>1300000</v>
      </c>
    </row>
    <row r="22" spans="1:12" ht="15" customHeight="1" x14ac:dyDescent="0.2">
      <c r="A22" s="190" t="s">
        <v>537</v>
      </c>
      <c r="B22" s="191" t="s">
        <v>538</v>
      </c>
      <c r="C22" s="268">
        <v>300000</v>
      </c>
      <c r="D22" s="299">
        <f t="shared" si="0"/>
        <v>0</v>
      </c>
      <c r="E22" s="300">
        <f t="shared" si="1"/>
        <v>100</v>
      </c>
      <c r="F22" s="269">
        <f>'[1]Kiadások részletes COFOG'!F49</f>
        <v>300000</v>
      </c>
    </row>
    <row r="23" spans="1:12" ht="15" customHeight="1" x14ac:dyDescent="0.2">
      <c r="A23" s="190" t="s">
        <v>539</v>
      </c>
      <c r="B23" s="191" t="s">
        <v>540</v>
      </c>
      <c r="C23" s="268">
        <v>600000</v>
      </c>
      <c r="D23" s="299">
        <f t="shared" si="0"/>
        <v>66000</v>
      </c>
      <c r="E23" s="300">
        <f t="shared" si="1"/>
        <v>111.00000000000001</v>
      </c>
      <c r="F23" s="269">
        <f>'[1]Kiadások részletes COFOG'!F50</f>
        <v>666000</v>
      </c>
    </row>
    <row r="24" spans="1:12" ht="15" customHeight="1" x14ac:dyDescent="0.2">
      <c r="A24" s="190" t="s">
        <v>541</v>
      </c>
      <c r="B24" s="191" t="s">
        <v>542</v>
      </c>
      <c r="C24" s="268">
        <v>900000</v>
      </c>
      <c r="D24" s="299">
        <f t="shared" si="0"/>
        <v>200000</v>
      </c>
      <c r="E24" s="300">
        <f t="shared" si="1"/>
        <v>122.22222222222223</v>
      </c>
      <c r="F24" s="269">
        <f>'[1]Kiadások részletes COFOG'!F51</f>
        <v>1100000</v>
      </c>
    </row>
    <row r="25" spans="1:12" ht="15" customHeight="1" x14ac:dyDescent="0.2">
      <c r="A25" s="195" t="s">
        <v>543</v>
      </c>
      <c r="B25" s="191" t="s">
        <v>544</v>
      </c>
      <c r="C25" s="268">
        <v>150000</v>
      </c>
      <c r="D25" s="299">
        <f t="shared" si="0"/>
        <v>150000</v>
      </c>
      <c r="E25" s="300"/>
      <c r="F25" s="269">
        <f>'[1]Kiadások részletes COFOG'!F52</f>
        <v>300000</v>
      </c>
    </row>
    <row r="26" spans="1:12" x14ac:dyDescent="0.2">
      <c r="A26" s="190" t="s">
        <v>545</v>
      </c>
      <c r="B26" s="191" t="s">
        <v>546</v>
      </c>
      <c r="C26" s="268">
        <v>150000</v>
      </c>
      <c r="D26" s="299">
        <f t="shared" si="0"/>
        <v>0</v>
      </c>
      <c r="E26" s="300">
        <f t="shared" si="1"/>
        <v>100</v>
      </c>
      <c r="F26" s="269">
        <f>'[1]Kiadások részletes COFOG'!F55</f>
        <v>150000</v>
      </c>
    </row>
    <row r="27" spans="1:12" ht="15" customHeight="1" x14ac:dyDescent="0.2">
      <c r="A27" s="190" t="s">
        <v>547</v>
      </c>
      <c r="B27" s="191" t="s">
        <v>548</v>
      </c>
      <c r="C27" s="268">
        <v>1000000</v>
      </c>
      <c r="D27" s="299">
        <f t="shared" si="0"/>
        <v>-549000</v>
      </c>
      <c r="E27" s="300">
        <f t="shared" si="1"/>
        <v>45.1</v>
      </c>
      <c r="F27" s="269">
        <f>'[1]Kiadások részletes COFOG'!F56</f>
        <v>451000</v>
      </c>
    </row>
    <row r="28" spans="1:12" ht="15" customHeight="1" x14ac:dyDescent="0.2">
      <c r="A28" s="195" t="s">
        <v>549</v>
      </c>
      <c r="B28" s="191" t="s">
        <v>550</v>
      </c>
      <c r="C28" s="268">
        <v>150000</v>
      </c>
      <c r="D28" s="299">
        <f t="shared" si="0"/>
        <v>0</v>
      </c>
      <c r="E28" s="300"/>
      <c r="F28" s="269">
        <f>'[1]Kiadások részletes COFOG'!F57</f>
        <v>150000</v>
      </c>
    </row>
    <row r="29" spans="1:12" ht="15" customHeight="1" x14ac:dyDescent="0.2">
      <c r="A29" s="190" t="s">
        <v>551</v>
      </c>
      <c r="B29" s="191" t="s">
        <v>552</v>
      </c>
      <c r="C29" s="268">
        <v>2900000</v>
      </c>
      <c r="D29" s="299">
        <f t="shared" si="0"/>
        <v>0</v>
      </c>
      <c r="E29" s="300">
        <f t="shared" si="1"/>
        <v>100</v>
      </c>
      <c r="F29" s="269">
        <f>'[1]Kiadások részletes COFOG'!F65</f>
        <v>2900000</v>
      </c>
    </row>
    <row r="30" spans="1:12" ht="15" customHeight="1" x14ac:dyDescent="0.2">
      <c r="A30" s="190" t="s">
        <v>553</v>
      </c>
      <c r="B30" s="191" t="s">
        <v>554</v>
      </c>
      <c r="C30" s="268">
        <v>4100000</v>
      </c>
      <c r="D30" s="299">
        <f t="shared" si="0"/>
        <v>0</v>
      </c>
      <c r="E30" s="300">
        <f t="shared" si="1"/>
        <v>100</v>
      </c>
      <c r="F30" s="269">
        <f>'[1]Kiadások részletes COFOG'!F74</f>
        <v>4100000</v>
      </c>
    </row>
    <row r="31" spans="1:12" ht="15" customHeight="1" x14ac:dyDescent="0.2">
      <c r="A31" s="195" t="s">
        <v>555</v>
      </c>
      <c r="B31" s="191" t="s">
        <v>556</v>
      </c>
      <c r="C31" s="268">
        <v>0</v>
      </c>
      <c r="D31" s="299">
        <f t="shared" si="0"/>
        <v>0</v>
      </c>
      <c r="E31" s="300"/>
      <c r="F31" s="269">
        <f>'[1]Kiadások részletes COFOG'!F76</f>
        <v>0</v>
      </c>
    </row>
    <row r="32" spans="1:12" ht="21.75" customHeight="1" x14ac:dyDescent="0.2">
      <c r="A32" s="190" t="s">
        <v>557</v>
      </c>
      <c r="B32" s="191" t="s">
        <v>558</v>
      </c>
      <c r="C32" s="268">
        <v>3688200</v>
      </c>
      <c r="D32" s="299">
        <f t="shared" si="0"/>
        <v>-41368</v>
      </c>
      <c r="E32" s="300">
        <f t="shared" si="1"/>
        <v>98.878368852014532</v>
      </c>
      <c r="F32" s="269">
        <f>'[1]Kiadások részletes COFOG'!F80</f>
        <v>3646832</v>
      </c>
      <c r="L32" s="3"/>
    </row>
    <row r="33" spans="1:12" ht="15" customHeight="1" x14ac:dyDescent="0.2">
      <c r="A33" s="190" t="s">
        <v>559</v>
      </c>
      <c r="B33" s="191" t="s">
        <v>560</v>
      </c>
      <c r="C33" s="268">
        <v>0</v>
      </c>
      <c r="D33" s="299">
        <f>F33-C33</f>
        <v>10000000</v>
      </c>
      <c r="E33" s="300"/>
      <c r="F33" s="269">
        <f>'[1]Kiadások részletes COFOG'!F81</f>
        <v>10000000</v>
      </c>
      <c r="L33" s="3"/>
    </row>
    <row r="34" spans="1:12" ht="15" customHeight="1" x14ac:dyDescent="0.2">
      <c r="A34" s="190" t="s">
        <v>561</v>
      </c>
      <c r="B34" s="191" t="s">
        <v>562</v>
      </c>
      <c r="C34" s="268">
        <v>20000</v>
      </c>
      <c r="D34" s="299">
        <f t="shared" si="0"/>
        <v>0</v>
      </c>
      <c r="E34" s="300"/>
      <c r="F34" s="269">
        <f>'[1]Kiadások részletes COFOG'!F82</f>
        <v>20000</v>
      </c>
    </row>
    <row r="35" spans="1:12" ht="15" customHeight="1" x14ac:dyDescent="0.2">
      <c r="A35" s="190" t="s">
        <v>563</v>
      </c>
      <c r="B35" s="191" t="s">
        <v>564</v>
      </c>
      <c r="C35" s="268">
        <v>1010000</v>
      </c>
      <c r="D35" s="299">
        <f t="shared" si="0"/>
        <v>0</v>
      </c>
      <c r="E35" s="300"/>
      <c r="F35" s="269">
        <f>'[1]Kiadások részletes COFOG'!F85</f>
        <v>1010000</v>
      </c>
    </row>
    <row r="36" spans="1:12" ht="18" customHeight="1" x14ac:dyDescent="0.2">
      <c r="A36" s="190" t="s">
        <v>565</v>
      </c>
      <c r="B36" s="191" t="s">
        <v>566</v>
      </c>
      <c r="C36" s="268">
        <v>0</v>
      </c>
      <c r="D36" s="299">
        <f t="shared" si="0"/>
        <v>0</v>
      </c>
      <c r="E36" s="300"/>
      <c r="F36" s="269">
        <f>'[1]Kiadások részletes COFOG'!F86</f>
        <v>0</v>
      </c>
    </row>
    <row r="37" spans="1:12" ht="24" customHeight="1" x14ac:dyDescent="0.2">
      <c r="A37" s="190" t="s">
        <v>567</v>
      </c>
      <c r="B37" s="191" t="s">
        <v>568</v>
      </c>
      <c r="C37" s="268">
        <v>0</v>
      </c>
      <c r="D37" s="299">
        <f t="shared" si="0"/>
        <v>0</v>
      </c>
      <c r="E37" s="300"/>
      <c r="F37" s="269">
        <v>0</v>
      </c>
    </row>
    <row r="38" spans="1:12" ht="31.5" customHeight="1" x14ac:dyDescent="0.2">
      <c r="A38" s="190" t="s">
        <v>569</v>
      </c>
      <c r="B38" s="191" t="s">
        <v>570</v>
      </c>
      <c r="C38" s="268">
        <v>0</v>
      </c>
      <c r="D38" s="299">
        <f t="shared" si="0"/>
        <v>0</v>
      </c>
      <c r="E38" s="300"/>
      <c r="F38" s="269"/>
    </row>
    <row r="39" spans="1:12" ht="31.5" x14ac:dyDescent="0.2">
      <c r="A39" s="195" t="s">
        <v>571</v>
      </c>
      <c r="B39" s="191" t="s">
        <v>572</v>
      </c>
      <c r="C39" s="268">
        <v>0</v>
      </c>
      <c r="D39" s="299">
        <f t="shared" si="0"/>
        <v>0</v>
      </c>
      <c r="E39" s="300"/>
      <c r="F39" s="269"/>
    </row>
    <row r="40" spans="1:12" ht="15" customHeight="1" x14ac:dyDescent="0.2">
      <c r="A40" s="883" t="s">
        <v>573</v>
      </c>
      <c r="B40" s="191" t="s">
        <v>84</v>
      </c>
      <c r="C40" s="268">
        <v>6504007</v>
      </c>
      <c r="D40" s="299">
        <f t="shared" si="0"/>
        <v>13606000</v>
      </c>
      <c r="E40" s="300">
        <f t="shared" si="1"/>
        <v>309.19411679599978</v>
      </c>
      <c r="F40" s="269">
        <f>'[1]Kiadások részletes COFOG'!F92</f>
        <v>20110007</v>
      </c>
    </row>
    <row r="41" spans="1:12" ht="15" customHeight="1" x14ac:dyDescent="0.2">
      <c r="A41" s="883"/>
      <c r="B41" s="191" t="s">
        <v>574</v>
      </c>
      <c r="C41" s="268">
        <v>107617000</v>
      </c>
      <c r="D41" s="299">
        <f t="shared" si="0"/>
        <v>-98538447</v>
      </c>
      <c r="E41" s="300">
        <f t="shared" si="1"/>
        <v>8.4359840917327187</v>
      </c>
      <c r="F41" s="269">
        <f>'[1]Kiadások részletes COFOG'!F94</f>
        <v>9078553</v>
      </c>
    </row>
    <row r="42" spans="1:12" ht="15" customHeight="1" x14ac:dyDescent="0.2">
      <c r="A42" s="883"/>
      <c r="B42" s="191" t="s">
        <v>575</v>
      </c>
      <c r="C42" s="268">
        <v>0</v>
      </c>
      <c r="D42" s="299">
        <f t="shared" si="0"/>
        <v>0</v>
      </c>
      <c r="E42" s="300"/>
      <c r="F42" s="269">
        <f>'[1]Kiadások részletes COFOG'!F95</f>
        <v>0</v>
      </c>
      <c r="G42" s="305"/>
    </row>
    <row r="43" spans="1:12" ht="15" customHeight="1" x14ac:dyDescent="0.2">
      <c r="A43" s="190" t="s">
        <v>576</v>
      </c>
      <c r="B43" s="191" t="s">
        <v>577</v>
      </c>
      <c r="C43" s="268">
        <v>0</v>
      </c>
      <c r="D43" s="299">
        <f t="shared" si="0"/>
        <v>2363000</v>
      </c>
      <c r="E43" s="300"/>
      <c r="F43" s="269">
        <f>'[1]Kiadások részletes COFOG'!F97</f>
        <v>2363000</v>
      </c>
      <c r="H43" s="306"/>
    </row>
    <row r="44" spans="1:12" ht="16.5" customHeight="1" x14ac:dyDescent="0.2">
      <c r="A44" s="190" t="s">
        <v>578</v>
      </c>
      <c r="B44" s="191" t="s">
        <v>579</v>
      </c>
      <c r="C44" s="268">
        <v>0</v>
      </c>
      <c r="D44" s="299">
        <f t="shared" si="0"/>
        <v>389500</v>
      </c>
      <c r="E44" s="300"/>
      <c r="F44" s="269">
        <f>'[1]Kiadások részletes COFOG'!F98</f>
        <v>389500</v>
      </c>
    </row>
    <row r="45" spans="1:12" ht="15.75" customHeight="1" x14ac:dyDescent="0.2">
      <c r="A45" s="190" t="s">
        <v>580</v>
      </c>
      <c r="B45" s="191" t="s">
        <v>581</v>
      </c>
      <c r="C45" s="268">
        <v>0</v>
      </c>
      <c r="D45" s="299">
        <f t="shared" si="0"/>
        <v>203000</v>
      </c>
      <c r="E45" s="300"/>
      <c r="F45" s="269">
        <f>'[1]Kiadások részletes COFOG'!F99</f>
        <v>203000</v>
      </c>
    </row>
    <row r="46" spans="1:12" ht="21" x14ac:dyDescent="0.2">
      <c r="A46" s="190" t="s">
        <v>582</v>
      </c>
      <c r="B46" s="191" t="s">
        <v>583</v>
      </c>
      <c r="C46" s="268">
        <v>0</v>
      </c>
      <c r="D46" s="299">
        <f t="shared" si="0"/>
        <v>800000</v>
      </c>
      <c r="E46" s="300"/>
      <c r="F46" s="269">
        <f>'[1]Kiadások részletes COFOG'!F100</f>
        <v>800000</v>
      </c>
    </row>
    <row r="47" spans="1:12" ht="15" customHeight="1" x14ac:dyDescent="0.2">
      <c r="A47" s="190" t="s">
        <v>584</v>
      </c>
      <c r="B47" s="191" t="s">
        <v>585</v>
      </c>
      <c r="C47" s="268">
        <v>0</v>
      </c>
      <c r="D47" s="299">
        <f>F47-C47</f>
        <v>0</v>
      </c>
      <c r="E47" s="300"/>
      <c r="F47" s="269">
        <f>'[1]Kiadások részletes COFOG'!F103</f>
        <v>0</v>
      </c>
    </row>
    <row r="48" spans="1:12" ht="21" x14ac:dyDescent="0.2">
      <c r="A48" s="197" t="s">
        <v>586</v>
      </c>
      <c r="B48" s="307" t="s">
        <v>587</v>
      </c>
      <c r="C48" s="274">
        <v>0</v>
      </c>
      <c r="D48" s="299">
        <f t="shared" si="0"/>
        <v>0</v>
      </c>
      <c r="E48" s="300"/>
      <c r="F48" s="281">
        <f>'[1]Kiadások részletes COFOG'!F104</f>
        <v>0</v>
      </c>
    </row>
    <row r="49" spans="1:9" ht="22.5" customHeight="1" thickBot="1" x14ac:dyDescent="0.25">
      <c r="A49" s="197" t="s">
        <v>588</v>
      </c>
      <c r="B49" s="207" t="s">
        <v>589</v>
      </c>
      <c r="C49" s="274">
        <v>0</v>
      </c>
      <c r="D49" s="299">
        <f t="shared" si="0"/>
        <v>0</v>
      </c>
      <c r="E49" s="300"/>
      <c r="F49" s="281">
        <v>0</v>
      </c>
    </row>
    <row r="50" spans="1:9" ht="23.25" customHeight="1" thickBot="1" x14ac:dyDescent="0.25">
      <c r="A50" s="845" t="s">
        <v>590</v>
      </c>
      <c r="B50" s="845"/>
      <c r="C50" s="210">
        <f>SUM(C10:C49)</f>
        <v>152647146</v>
      </c>
      <c r="D50" s="210">
        <f>SUM(D10:D49)</f>
        <v>-68607804</v>
      </c>
      <c r="E50" s="211">
        <f>F50/C50*100</f>
        <v>55.054643471683384</v>
      </c>
      <c r="F50" s="212">
        <f>SUM(F10:F49)</f>
        <v>84039342</v>
      </c>
    </row>
    <row r="51" spans="1:9" ht="26.25" customHeight="1" thickBot="1" x14ac:dyDescent="0.25">
      <c r="A51" s="853" t="s">
        <v>591</v>
      </c>
      <c r="B51" s="853"/>
      <c r="C51" s="853"/>
      <c r="D51" s="853"/>
      <c r="E51" s="853"/>
      <c r="F51" s="853"/>
    </row>
    <row r="52" spans="1:9" ht="21.75" customHeight="1" x14ac:dyDescent="0.2">
      <c r="A52" s="878" t="s">
        <v>399</v>
      </c>
      <c r="B52" s="879" t="s">
        <v>400</v>
      </c>
      <c r="C52" s="870">
        <v>2019</v>
      </c>
      <c r="D52" s="871"/>
      <c r="E52" s="871"/>
      <c r="F52" s="872"/>
    </row>
    <row r="53" spans="1:9" ht="24.75" customHeight="1" thickBot="1" x14ac:dyDescent="0.25">
      <c r="A53" s="878"/>
      <c r="B53" s="879"/>
      <c r="C53" s="296" t="s">
        <v>402</v>
      </c>
      <c r="D53" s="296" t="s">
        <v>403</v>
      </c>
      <c r="E53" s="296" t="s">
        <v>404</v>
      </c>
      <c r="F53" s="297" t="s">
        <v>512</v>
      </c>
    </row>
    <row r="54" spans="1:9" ht="15.95" customHeight="1" x14ac:dyDescent="0.2">
      <c r="A54" s="190" t="s">
        <v>533</v>
      </c>
      <c r="B54" s="191" t="s">
        <v>534</v>
      </c>
      <c r="C54" s="268">
        <v>0</v>
      </c>
      <c r="D54" s="268">
        <f>F54-C54</f>
        <v>0</v>
      </c>
      <c r="E54" s="280"/>
      <c r="F54" s="269">
        <f>'[1]Kiadások részletes COFOG'!F109</f>
        <v>0</v>
      </c>
    </row>
    <row r="55" spans="1:9" ht="15.95" customHeight="1" x14ac:dyDescent="0.2">
      <c r="A55" s="190" t="s">
        <v>539</v>
      </c>
      <c r="B55" s="191" t="s">
        <v>540</v>
      </c>
      <c r="C55" s="268">
        <v>0</v>
      </c>
      <c r="D55" s="268">
        <f t="shared" ref="D55:D64" si="2">F55-C55</f>
        <v>0</v>
      </c>
      <c r="E55" s="280"/>
      <c r="F55" s="269"/>
    </row>
    <row r="56" spans="1:9" ht="15.95" customHeight="1" x14ac:dyDescent="0.2">
      <c r="A56" s="190" t="s">
        <v>592</v>
      </c>
      <c r="B56" s="191" t="s">
        <v>593</v>
      </c>
      <c r="C56" s="268">
        <v>0</v>
      </c>
      <c r="D56" s="268">
        <f t="shared" si="2"/>
        <v>0</v>
      </c>
      <c r="E56" s="280"/>
      <c r="F56" s="269">
        <f>'[1]Kiadások részletes COFOG'!F111</f>
        <v>0</v>
      </c>
      <c r="I56" s="202"/>
    </row>
    <row r="57" spans="1:9" ht="15.95" customHeight="1" x14ac:dyDescent="0.2">
      <c r="A57" s="190" t="s">
        <v>547</v>
      </c>
      <c r="B57" s="191" t="s">
        <v>548</v>
      </c>
      <c r="C57" s="268">
        <v>0</v>
      </c>
      <c r="D57" s="268">
        <f t="shared" si="2"/>
        <v>0</v>
      </c>
      <c r="E57" s="280"/>
      <c r="F57" s="269">
        <f>'[1]Kiadások részletes COFOG'!F114</f>
        <v>0</v>
      </c>
    </row>
    <row r="58" spans="1:9" ht="15.95" customHeight="1" x14ac:dyDescent="0.2">
      <c r="A58" s="190" t="s">
        <v>553</v>
      </c>
      <c r="B58" s="191" t="s">
        <v>554</v>
      </c>
      <c r="C58" s="268">
        <v>566929</v>
      </c>
      <c r="D58" s="268">
        <f t="shared" si="2"/>
        <v>0</v>
      </c>
      <c r="E58" s="280">
        <f t="shared" ref="E58:E60" si="3">F58/C58*100</f>
        <v>100</v>
      </c>
      <c r="F58" s="269">
        <f>'[1]Kiadások részletes COFOG'!F116</f>
        <v>566929</v>
      </c>
    </row>
    <row r="59" spans="1:9" ht="15.95" customHeight="1" x14ac:dyDescent="0.2">
      <c r="A59" s="190" t="s">
        <v>594</v>
      </c>
      <c r="B59" s="191" t="s">
        <v>595</v>
      </c>
      <c r="C59" s="268">
        <v>0</v>
      </c>
      <c r="D59" s="268">
        <f t="shared" si="2"/>
        <v>0</v>
      </c>
      <c r="E59" s="280"/>
      <c r="F59" s="269"/>
    </row>
    <row r="60" spans="1:9" ht="20.25" customHeight="1" x14ac:dyDescent="0.2">
      <c r="A60" s="190" t="s">
        <v>557</v>
      </c>
      <c r="B60" s="191" t="s">
        <v>558</v>
      </c>
      <c r="C60" s="268">
        <v>153071</v>
      </c>
      <c r="D60" s="268">
        <f t="shared" si="2"/>
        <v>0</v>
      </c>
      <c r="E60" s="280">
        <f t="shared" si="3"/>
        <v>100</v>
      </c>
      <c r="F60" s="269">
        <f>'[1]Kiadások részletes COFOG'!F117</f>
        <v>153071</v>
      </c>
    </row>
    <row r="61" spans="1:9" ht="15.75" customHeight="1" x14ac:dyDescent="0.2">
      <c r="A61" s="195" t="s">
        <v>580</v>
      </c>
      <c r="B61" s="191" t="s">
        <v>596</v>
      </c>
      <c r="C61" s="268">
        <v>0</v>
      </c>
      <c r="D61" s="268">
        <f t="shared" si="2"/>
        <v>0</v>
      </c>
      <c r="E61" s="280"/>
      <c r="F61" s="269"/>
    </row>
    <row r="62" spans="1:9" ht="21.75" customHeight="1" x14ac:dyDescent="0.2">
      <c r="A62" s="197" t="s">
        <v>582</v>
      </c>
      <c r="B62" s="207" t="s">
        <v>583</v>
      </c>
      <c r="C62" s="274">
        <v>0</v>
      </c>
      <c r="D62" s="268">
        <f t="shared" si="2"/>
        <v>0</v>
      </c>
      <c r="E62" s="280"/>
      <c r="F62" s="281"/>
    </row>
    <row r="63" spans="1:9" ht="15" customHeight="1" x14ac:dyDescent="0.2">
      <c r="A63" s="195" t="s">
        <v>584</v>
      </c>
      <c r="B63" s="191" t="s">
        <v>597</v>
      </c>
      <c r="C63" s="268">
        <v>0</v>
      </c>
      <c r="D63" s="268">
        <f t="shared" si="2"/>
        <v>0</v>
      </c>
      <c r="E63" s="280"/>
      <c r="F63" s="269">
        <f>'[1]Kiadások részletes COFOG'!F120</f>
        <v>0</v>
      </c>
    </row>
    <row r="64" spans="1:9" ht="22.5" customHeight="1" thickBot="1" x14ac:dyDescent="0.25">
      <c r="A64" s="197" t="s">
        <v>586</v>
      </c>
      <c r="B64" s="207" t="s">
        <v>587</v>
      </c>
      <c r="C64" s="274">
        <v>0</v>
      </c>
      <c r="D64" s="268">
        <f t="shared" si="2"/>
        <v>0</v>
      </c>
      <c r="E64" s="280"/>
      <c r="F64" s="281">
        <f>'[1]Kiadások részletes COFOG'!F121</f>
        <v>0</v>
      </c>
    </row>
    <row r="65" spans="1:10" ht="27" customHeight="1" thickBot="1" x14ac:dyDescent="0.25">
      <c r="A65" s="845" t="s">
        <v>590</v>
      </c>
      <c r="B65" s="845"/>
      <c r="C65" s="210">
        <f>SUM(C54:C64)</f>
        <v>720000</v>
      </c>
      <c r="D65" s="210">
        <f>SUM(D54:D64)</f>
        <v>0</v>
      </c>
      <c r="E65" s="211">
        <f>F65/C65*100</f>
        <v>100</v>
      </c>
      <c r="F65" s="212">
        <f>SUM(F54:F64)</f>
        <v>720000</v>
      </c>
    </row>
    <row r="66" spans="1:10" ht="26.25" customHeight="1" thickBot="1" x14ac:dyDescent="0.25">
      <c r="A66" s="853" t="s">
        <v>438</v>
      </c>
      <c r="B66" s="853"/>
      <c r="C66" s="853"/>
      <c r="D66" s="853"/>
      <c r="E66" s="853"/>
      <c r="F66" s="853"/>
    </row>
    <row r="67" spans="1:10" ht="17.25" customHeight="1" thickBot="1" x14ac:dyDescent="0.25">
      <c r="A67" s="868" t="s">
        <v>399</v>
      </c>
      <c r="B67" s="869" t="s">
        <v>400</v>
      </c>
      <c r="C67" s="870">
        <v>2019</v>
      </c>
      <c r="D67" s="871"/>
      <c r="E67" s="871"/>
      <c r="F67" s="872"/>
    </row>
    <row r="68" spans="1:10" ht="25.5" customHeight="1" thickBot="1" x14ac:dyDescent="0.25">
      <c r="A68" s="868"/>
      <c r="B68" s="869"/>
      <c r="C68" s="296" t="s">
        <v>402</v>
      </c>
      <c r="D68" s="296" t="s">
        <v>403</v>
      </c>
      <c r="E68" s="296" t="s">
        <v>404</v>
      </c>
      <c r="F68" s="297" t="s">
        <v>512</v>
      </c>
    </row>
    <row r="69" spans="1:10" ht="15" customHeight="1" x14ac:dyDescent="0.2">
      <c r="A69" s="190" t="s">
        <v>533</v>
      </c>
      <c r="B69" s="191" t="s">
        <v>534</v>
      </c>
      <c r="C69" s="268">
        <v>0</v>
      </c>
      <c r="D69" s="268">
        <f>F69-C69</f>
        <v>0</v>
      </c>
      <c r="E69" s="280"/>
      <c r="F69" s="269">
        <f>'[1]Kiadások részletes COFOG'!F126</f>
        <v>0</v>
      </c>
    </row>
    <row r="70" spans="1:10" ht="15" customHeight="1" x14ac:dyDescent="0.2">
      <c r="A70" s="190" t="s">
        <v>539</v>
      </c>
      <c r="B70" s="191" t="s">
        <v>598</v>
      </c>
      <c r="C70" s="268">
        <v>300000</v>
      </c>
      <c r="D70" s="268">
        <f t="shared" ref="D70:D75" si="4">F70-C70</f>
        <v>0</v>
      </c>
      <c r="E70" s="268"/>
      <c r="F70" s="269">
        <f>'[1]Kiadások részletes COFOG'!F127</f>
        <v>300000</v>
      </c>
    </row>
    <row r="71" spans="1:10" ht="15" customHeight="1" x14ac:dyDescent="0.2">
      <c r="A71" s="190" t="s">
        <v>541</v>
      </c>
      <c r="B71" s="191" t="s">
        <v>599</v>
      </c>
      <c r="C71" s="268">
        <v>950000</v>
      </c>
      <c r="D71" s="268">
        <f t="shared" si="4"/>
        <v>0</v>
      </c>
      <c r="E71" s="268"/>
      <c r="F71" s="269">
        <f>'[1]Kiadások részletes COFOG'!F128</f>
        <v>950000</v>
      </c>
    </row>
    <row r="72" spans="1:10" ht="15" customHeight="1" x14ac:dyDescent="0.2">
      <c r="A72" s="190" t="s">
        <v>592</v>
      </c>
      <c r="B72" s="191" t="s">
        <v>600</v>
      </c>
      <c r="C72" s="268">
        <v>150000</v>
      </c>
      <c r="D72" s="268">
        <f t="shared" si="4"/>
        <v>0</v>
      </c>
      <c r="E72" s="268"/>
      <c r="F72" s="269">
        <f>'[1]Kiadások részletes COFOG'!F129</f>
        <v>150000</v>
      </c>
    </row>
    <row r="73" spans="1:10" ht="15" customHeight="1" x14ac:dyDescent="0.2">
      <c r="A73" s="190" t="s">
        <v>547</v>
      </c>
      <c r="B73" s="191" t="s">
        <v>601</v>
      </c>
      <c r="C73" s="268">
        <v>600000</v>
      </c>
      <c r="D73" s="268">
        <f t="shared" si="4"/>
        <v>-150000</v>
      </c>
      <c r="E73" s="280">
        <f>F73/C73*100</f>
        <v>75</v>
      </c>
      <c r="F73" s="269">
        <f>'[1]Kiadások részletes COFOG'!F130</f>
        <v>450000</v>
      </c>
    </row>
    <row r="74" spans="1:10" ht="15" customHeight="1" x14ac:dyDescent="0.2">
      <c r="A74" s="198" t="s">
        <v>553</v>
      </c>
      <c r="B74" s="207" t="s">
        <v>602</v>
      </c>
      <c r="C74" s="274">
        <v>0</v>
      </c>
      <c r="D74" s="268">
        <f t="shared" si="4"/>
        <v>150000</v>
      </c>
      <c r="E74" s="280"/>
      <c r="F74" s="281">
        <f>'[1]Kiadások részletes COFOG'!F131</f>
        <v>150000</v>
      </c>
    </row>
    <row r="75" spans="1:10" ht="20.25" customHeight="1" thickBot="1" x14ac:dyDescent="0.25">
      <c r="A75" s="198" t="s">
        <v>557</v>
      </c>
      <c r="B75" s="207" t="s">
        <v>558</v>
      </c>
      <c r="C75" s="274">
        <v>540000</v>
      </c>
      <c r="D75" s="268">
        <f t="shared" si="4"/>
        <v>0</v>
      </c>
      <c r="E75" s="280">
        <f t="shared" ref="E75" si="5">F75/C75*100</f>
        <v>100</v>
      </c>
      <c r="F75" s="281">
        <f>'[1]Kiadások részletes COFOG'!F132</f>
        <v>540000</v>
      </c>
      <c r="I75" s="882"/>
      <c r="J75" s="882"/>
    </row>
    <row r="76" spans="1:10" ht="19.5" customHeight="1" thickBot="1" x14ac:dyDescent="0.25">
      <c r="A76" s="845" t="s">
        <v>590</v>
      </c>
      <c r="B76" s="845"/>
      <c r="C76" s="210">
        <f>SUM(C69:C75)</f>
        <v>2540000</v>
      </c>
      <c r="D76" s="210">
        <f>SUM(D69:D75)</f>
        <v>0</v>
      </c>
      <c r="E76" s="211">
        <f>F76/C76*100</f>
        <v>100</v>
      </c>
      <c r="F76" s="212">
        <f>SUM(F69:F75)</f>
        <v>2540000</v>
      </c>
    </row>
    <row r="77" spans="1:10" ht="24" customHeight="1" thickBot="1" x14ac:dyDescent="0.25">
      <c r="A77" s="853" t="s">
        <v>603</v>
      </c>
      <c r="B77" s="853"/>
      <c r="C77" s="853"/>
      <c r="D77" s="853"/>
      <c r="E77" s="853"/>
      <c r="F77" s="853"/>
    </row>
    <row r="78" spans="1:10" ht="22.5" customHeight="1" thickBot="1" x14ac:dyDescent="0.25">
      <c r="A78" s="868" t="s">
        <v>399</v>
      </c>
      <c r="B78" s="869" t="s">
        <v>400</v>
      </c>
      <c r="C78" s="870">
        <v>2019</v>
      </c>
      <c r="D78" s="871"/>
      <c r="E78" s="871"/>
      <c r="F78" s="872"/>
    </row>
    <row r="79" spans="1:10" ht="22.5" customHeight="1" thickBot="1" x14ac:dyDescent="0.25">
      <c r="A79" s="868"/>
      <c r="B79" s="869"/>
      <c r="C79" s="296" t="s">
        <v>402</v>
      </c>
      <c r="D79" s="296" t="s">
        <v>403</v>
      </c>
      <c r="E79" s="296" t="s">
        <v>404</v>
      </c>
      <c r="F79" s="297" t="s">
        <v>512</v>
      </c>
    </row>
    <row r="80" spans="1:10" ht="15.95" customHeight="1" x14ac:dyDescent="0.2">
      <c r="A80" s="190" t="s">
        <v>604</v>
      </c>
      <c r="B80" s="191" t="s">
        <v>605</v>
      </c>
      <c r="C80" s="268">
        <v>0</v>
      </c>
      <c r="D80" s="268">
        <f>F80-C80</f>
        <v>0</v>
      </c>
      <c r="E80" s="280"/>
      <c r="F80" s="269">
        <f>'[1]Kiadások részletes COFOG'!F137</f>
        <v>0</v>
      </c>
    </row>
    <row r="81" spans="1:15" ht="15.95" customHeight="1" x14ac:dyDescent="0.2">
      <c r="A81" s="190" t="s">
        <v>533</v>
      </c>
      <c r="B81" s="191" t="s">
        <v>534</v>
      </c>
      <c r="C81" s="268">
        <v>300000</v>
      </c>
      <c r="D81" s="268">
        <f t="shared" ref="D81:D85" si="6">F81-C81</f>
        <v>290000</v>
      </c>
      <c r="E81" s="280">
        <f t="shared" ref="E81:E85" si="7">F81/C81*100</f>
        <v>196.66666666666666</v>
      </c>
      <c r="F81" s="269">
        <f>'[1]Kiadások részletes COFOG'!F141</f>
        <v>590000</v>
      </c>
    </row>
    <row r="82" spans="1:15" ht="15.95" customHeight="1" x14ac:dyDescent="0.2">
      <c r="A82" s="195" t="s">
        <v>606</v>
      </c>
      <c r="B82" s="191" t="s">
        <v>607</v>
      </c>
      <c r="C82" s="268">
        <v>270000</v>
      </c>
      <c r="D82" s="268">
        <f t="shared" si="6"/>
        <v>-270000</v>
      </c>
      <c r="E82" s="280">
        <f t="shared" si="7"/>
        <v>0</v>
      </c>
      <c r="F82" s="269">
        <v>0</v>
      </c>
    </row>
    <row r="83" spans="1:15" ht="15.95" customHeight="1" x14ac:dyDescent="0.2">
      <c r="A83" s="195" t="s">
        <v>553</v>
      </c>
      <c r="B83" s="191" t="s">
        <v>554</v>
      </c>
      <c r="C83" s="268">
        <v>1000000</v>
      </c>
      <c r="D83" s="268">
        <f t="shared" si="6"/>
        <v>-426000</v>
      </c>
      <c r="E83" s="280">
        <f t="shared" si="7"/>
        <v>57.4</v>
      </c>
      <c r="F83" s="269">
        <f>'[1]Kiadások részletes COFOG'!F143</f>
        <v>574000</v>
      </c>
    </row>
    <row r="84" spans="1:15" ht="15.95" customHeight="1" x14ac:dyDescent="0.2">
      <c r="A84" s="195" t="s">
        <v>608</v>
      </c>
      <c r="B84" s="191" t="s">
        <v>609</v>
      </c>
      <c r="C84" s="268">
        <v>0</v>
      </c>
      <c r="D84" s="268">
        <f t="shared" si="6"/>
        <v>506000</v>
      </c>
      <c r="E84" s="280"/>
      <c r="F84" s="269">
        <f>'[1]Kiadások részletes COFOG'!F144</f>
        <v>506000</v>
      </c>
    </row>
    <row r="85" spans="1:15" ht="23.25" customHeight="1" thickBot="1" x14ac:dyDescent="0.25">
      <c r="A85" s="197" t="s">
        <v>557</v>
      </c>
      <c r="B85" s="207" t="s">
        <v>558</v>
      </c>
      <c r="C85" s="274">
        <v>430000</v>
      </c>
      <c r="D85" s="268">
        <f t="shared" si="6"/>
        <v>0</v>
      </c>
      <c r="E85" s="280">
        <f t="shared" si="7"/>
        <v>100</v>
      </c>
      <c r="F85" s="281">
        <f>'[1]Kiadások részletes COFOG'!F145</f>
        <v>430000</v>
      </c>
    </row>
    <row r="86" spans="1:15" ht="19.5" customHeight="1" thickBot="1" x14ac:dyDescent="0.25">
      <c r="A86" s="845" t="s">
        <v>590</v>
      </c>
      <c r="B86" s="845"/>
      <c r="C86" s="210">
        <f>SUM(C80:C85)</f>
        <v>2000000</v>
      </c>
      <c r="D86" s="210">
        <f>SUM(D80:D85)</f>
        <v>100000</v>
      </c>
      <c r="E86" s="211">
        <f>F86/C86*100</f>
        <v>105</v>
      </c>
      <c r="F86" s="212">
        <f>SUM(F80:F85)</f>
        <v>2100000</v>
      </c>
    </row>
    <row r="87" spans="1:15" ht="25.5" customHeight="1" thickBot="1" x14ac:dyDescent="0.25">
      <c r="A87" s="873" t="s">
        <v>439</v>
      </c>
      <c r="B87" s="874"/>
      <c r="C87" s="874"/>
      <c r="D87" s="874"/>
      <c r="E87" s="874"/>
      <c r="F87" s="875"/>
    </row>
    <row r="88" spans="1:15" ht="22.5" customHeight="1" thickBot="1" x14ac:dyDescent="0.25">
      <c r="A88" s="868" t="s">
        <v>399</v>
      </c>
      <c r="B88" s="869" t="s">
        <v>400</v>
      </c>
      <c r="C88" s="870">
        <v>2019</v>
      </c>
      <c r="D88" s="871"/>
      <c r="E88" s="871"/>
      <c r="F88" s="872"/>
    </row>
    <row r="89" spans="1:15" ht="24" customHeight="1" thickBot="1" x14ac:dyDescent="0.25">
      <c r="A89" s="868"/>
      <c r="B89" s="869"/>
      <c r="C89" s="296" t="s">
        <v>402</v>
      </c>
      <c r="D89" s="296" t="s">
        <v>403</v>
      </c>
      <c r="E89" s="296" t="s">
        <v>404</v>
      </c>
      <c r="F89" s="297" t="s">
        <v>512</v>
      </c>
    </row>
    <row r="90" spans="1:15" ht="24" customHeight="1" x14ac:dyDescent="0.2">
      <c r="A90" s="308" t="s">
        <v>567</v>
      </c>
      <c r="B90" s="309" t="s">
        <v>610</v>
      </c>
      <c r="C90" s="310">
        <v>0</v>
      </c>
      <c r="D90" s="310">
        <f>F90-C90</f>
        <v>0</v>
      </c>
      <c r="E90" s="311"/>
      <c r="F90" s="312">
        <f>'[1]Kiadások részletes COFOG'!F150</f>
        <v>0</v>
      </c>
    </row>
    <row r="91" spans="1:15" ht="30" customHeight="1" thickBot="1" x14ac:dyDescent="0.25">
      <c r="A91" s="198" t="s">
        <v>611</v>
      </c>
      <c r="B91" s="207" t="s">
        <v>612</v>
      </c>
      <c r="C91" s="274">
        <v>0</v>
      </c>
      <c r="D91" s="310">
        <f>F91-C91</f>
        <v>6042266</v>
      </c>
      <c r="E91" s="311"/>
      <c r="F91" s="313">
        <f>'[1]Kiadások részletes COFOG'!F152</f>
        <v>6042266</v>
      </c>
    </row>
    <row r="92" spans="1:15" ht="22.5" customHeight="1" thickBot="1" x14ac:dyDescent="0.25">
      <c r="A92" s="845" t="s">
        <v>590</v>
      </c>
      <c r="B92" s="845"/>
      <c r="C92" s="210">
        <f>SUM(C90:C91)</f>
        <v>0</v>
      </c>
      <c r="D92" s="210">
        <f>SUM(D90:D91)</f>
        <v>6042266</v>
      </c>
      <c r="E92" s="211">
        <f>F92/D92*100</f>
        <v>100</v>
      </c>
      <c r="F92" s="212">
        <f>SUM(F90:F91)</f>
        <v>6042266</v>
      </c>
    </row>
    <row r="93" spans="1:15" ht="23.25" customHeight="1" thickBot="1" x14ac:dyDescent="0.25">
      <c r="A93" s="853" t="s">
        <v>472</v>
      </c>
      <c r="B93" s="853"/>
      <c r="C93" s="853"/>
      <c r="D93" s="853"/>
      <c r="E93" s="853"/>
      <c r="F93" s="853"/>
    </row>
    <row r="94" spans="1:15" ht="19.5" customHeight="1" x14ac:dyDescent="0.2">
      <c r="A94" s="878" t="s">
        <v>399</v>
      </c>
      <c r="B94" s="879" t="s">
        <v>400</v>
      </c>
      <c r="C94" s="870">
        <v>2019</v>
      </c>
      <c r="D94" s="871"/>
      <c r="E94" s="871"/>
      <c r="F94" s="872"/>
    </row>
    <row r="95" spans="1:15" ht="22.5" customHeight="1" thickBot="1" x14ac:dyDescent="0.25">
      <c r="A95" s="878"/>
      <c r="B95" s="879"/>
      <c r="C95" s="296" t="s">
        <v>402</v>
      </c>
      <c r="D95" s="296" t="s">
        <v>403</v>
      </c>
      <c r="E95" s="296" t="s">
        <v>404</v>
      </c>
      <c r="F95" s="297" t="s">
        <v>512</v>
      </c>
    </row>
    <row r="96" spans="1:15" ht="23.25" customHeight="1" thickBot="1" x14ac:dyDescent="0.25">
      <c r="A96" s="198" t="s">
        <v>613</v>
      </c>
      <c r="B96" s="207" t="s">
        <v>614</v>
      </c>
      <c r="C96" s="274">
        <v>141869501</v>
      </c>
      <c r="D96" s="274">
        <f>F96-C96</f>
        <v>7507600</v>
      </c>
      <c r="E96" s="275">
        <f>F96/C96*100</f>
        <v>105.29190555199035</v>
      </c>
      <c r="F96" s="281">
        <f>'[1]Kiadások részletes COFOG'!F164</f>
        <v>149377101</v>
      </c>
      <c r="G96" s="314"/>
      <c r="H96" s="306"/>
      <c r="I96" s="181"/>
      <c r="J96" s="181"/>
      <c r="K96" s="181"/>
      <c r="L96" s="181"/>
      <c r="M96" s="181"/>
      <c r="N96" s="181"/>
      <c r="O96" s="181"/>
    </row>
    <row r="97" spans="1:7" ht="21" customHeight="1" thickBot="1" x14ac:dyDescent="0.25">
      <c r="A97" s="881" t="s">
        <v>590</v>
      </c>
      <c r="B97" s="881"/>
      <c r="C97" s="315">
        <f>SUM(C96)</f>
        <v>141869501</v>
      </c>
      <c r="D97" s="315">
        <f>SUM(D96)</f>
        <v>7507600</v>
      </c>
      <c r="E97" s="316">
        <f>F97/C97*100</f>
        <v>105.29190555199035</v>
      </c>
      <c r="F97" s="317">
        <f>SUM(F96)</f>
        <v>149377101</v>
      </c>
      <c r="G97" s="42"/>
    </row>
    <row r="98" spans="1:7" ht="25.5" customHeight="1" thickBot="1" x14ac:dyDescent="0.25">
      <c r="A98" s="853" t="s">
        <v>615</v>
      </c>
      <c r="B98" s="853"/>
      <c r="C98" s="853"/>
      <c r="D98" s="853"/>
      <c r="E98" s="853"/>
      <c r="F98" s="853"/>
    </row>
    <row r="99" spans="1:7" ht="21.75" customHeight="1" x14ac:dyDescent="0.2">
      <c r="A99" s="878" t="s">
        <v>399</v>
      </c>
      <c r="B99" s="879" t="s">
        <v>400</v>
      </c>
      <c r="C99" s="870">
        <v>2019</v>
      </c>
      <c r="D99" s="871"/>
      <c r="E99" s="871"/>
      <c r="F99" s="872"/>
    </row>
    <row r="100" spans="1:7" ht="23.25" customHeight="1" thickBot="1" x14ac:dyDescent="0.25">
      <c r="A100" s="878"/>
      <c r="B100" s="879"/>
      <c r="C100" s="296" t="s">
        <v>402</v>
      </c>
      <c r="D100" s="296" t="s">
        <v>403</v>
      </c>
      <c r="E100" s="296" t="s">
        <v>404</v>
      </c>
      <c r="F100" s="297" t="s">
        <v>512</v>
      </c>
    </row>
    <row r="101" spans="1:7" ht="15" customHeight="1" x14ac:dyDescent="0.2">
      <c r="A101" s="190" t="s">
        <v>616</v>
      </c>
      <c r="B101" s="191" t="s">
        <v>617</v>
      </c>
      <c r="C101" s="268">
        <v>0</v>
      </c>
      <c r="D101" s="268">
        <f>F101-C101</f>
        <v>2670000</v>
      </c>
      <c r="E101" s="280"/>
      <c r="F101" s="318">
        <f>'[1]Kiadások részletes COFOG'!F168</f>
        <v>2670000</v>
      </c>
    </row>
    <row r="102" spans="1:7" ht="15" customHeight="1" x14ac:dyDescent="0.2">
      <c r="A102" s="195" t="s">
        <v>527</v>
      </c>
      <c r="B102" s="191" t="s">
        <v>528</v>
      </c>
      <c r="C102" s="268">
        <v>0</v>
      </c>
      <c r="D102" s="268">
        <f t="shared" ref="D102:D106" si="8">F102-C102</f>
        <v>261000</v>
      </c>
      <c r="E102" s="280"/>
      <c r="F102" s="318">
        <f>'[1]Kiadások részletes COFOG'!F169</f>
        <v>261000</v>
      </c>
    </row>
    <row r="103" spans="1:7" ht="15" customHeight="1" x14ac:dyDescent="0.2">
      <c r="A103" s="195" t="s">
        <v>533</v>
      </c>
      <c r="B103" s="191" t="s">
        <v>534</v>
      </c>
      <c r="C103" s="268">
        <v>0</v>
      </c>
      <c r="D103" s="268">
        <f t="shared" si="8"/>
        <v>165000</v>
      </c>
      <c r="E103" s="280"/>
      <c r="F103" s="318">
        <f>'[1]Kiadások részletes COFOG'!F171</f>
        <v>165000</v>
      </c>
    </row>
    <row r="104" spans="1:7" ht="21.75" customHeight="1" x14ac:dyDescent="0.2">
      <c r="A104" s="195" t="s">
        <v>557</v>
      </c>
      <c r="B104" s="191" t="s">
        <v>558</v>
      </c>
      <c r="C104" s="268">
        <v>0</v>
      </c>
      <c r="D104" s="268">
        <f t="shared" si="8"/>
        <v>44633</v>
      </c>
      <c r="E104" s="280"/>
      <c r="F104" s="318">
        <f>'[1]Kiadások részletes COFOG'!F172</f>
        <v>44633</v>
      </c>
    </row>
    <row r="105" spans="1:7" ht="21.75" customHeight="1" x14ac:dyDescent="0.2">
      <c r="A105" s="195" t="s">
        <v>580</v>
      </c>
      <c r="B105" s="191" t="s">
        <v>581</v>
      </c>
      <c r="C105" s="268">
        <v>0</v>
      </c>
      <c r="D105" s="268">
        <f t="shared" si="8"/>
        <v>133000</v>
      </c>
      <c r="E105" s="280"/>
      <c r="F105" s="318">
        <f>'[1]Kiadások részletes COFOG'!F173</f>
        <v>133000</v>
      </c>
    </row>
    <row r="106" spans="1:7" ht="22.5" customHeight="1" thickBot="1" x14ac:dyDescent="0.25">
      <c r="A106" s="197" t="s">
        <v>582</v>
      </c>
      <c r="B106" s="207" t="s">
        <v>583</v>
      </c>
      <c r="C106" s="274">
        <v>0</v>
      </c>
      <c r="D106" s="268">
        <f t="shared" si="8"/>
        <v>36000</v>
      </c>
      <c r="E106" s="280"/>
      <c r="F106" s="319">
        <f>'[1]Kiadások részletes COFOG'!F174</f>
        <v>36000</v>
      </c>
    </row>
    <row r="107" spans="1:7" ht="20.25" customHeight="1" thickBot="1" x14ac:dyDescent="0.25">
      <c r="A107" s="857" t="s">
        <v>590</v>
      </c>
      <c r="B107" s="857"/>
      <c r="C107" s="277">
        <f>SUM(C101:C106)</f>
        <v>0</v>
      </c>
      <c r="D107" s="277">
        <f>SUM(D101:D106)</f>
        <v>3309633</v>
      </c>
      <c r="E107" s="278"/>
      <c r="F107" s="282">
        <f>SUM(F101:F106)</f>
        <v>3309633</v>
      </c>
    </row>
    <row r="108" spans="1:7" ht="20.25" customHeight="1" thickBot="1" x14ac:dyDescent="0.25">
      <c r="A108" s="853" t="s">
        <v>477</v>
      </c>
      <c r="B108" s="853"/>
      <c r="C108" s="853"/>
      <c r="D108" s="853"/>
      <c r="E108" s="853"/>
      <c r="F108" s="853"/>
    </row>
    <row r="109" spans="1:7" ht="20.25" customHeight="1" x14ac:dyDescent="0.2">
      <c r="A109" s="878" t="s">
        <v>399</v>
      </c>
      <c r="B109" s="879" t="s">
        <v>400</v>
      </c>
      <c r="C109" s="870">
        <v>2019</v>
      </c>
      <c r="D109" s="871"/>
      <c r="E109" s="871"/>
      <c r="F109" s="872"/>
    </row>
    <row r="110" spans="1:7" ht="20.25" customHeight="1" thickBot="1" x14ac:dyDescent="0.25">
      <c r="A110" s="878"/>
      <c r="B110" s="879"/>
      <c r="C110" s="296" t="s">
        <v>402</v>
      </c>
      <c r="D110" s="296" t="s">
        <v>403</v>
      </c>
      <c r="E110" s="296" t="s">
        <v>404</v>
      </c>
      <c r="F110" s="297" t="s">
        <v>512</v>
      </c>
    </row>
    <row r="111" spans="1:7" ht="20.25" customHeight="1" x14ac:dyDescent="0.2">
      <c r="A111" s="190" t="s">
        <v>616</v>
      </c>
      <c r="B111" s="191" t="s">
        <v>617</v>
      </c>
      <c r="C111" s="268">
        <v>1000000</v>
      </c>
      <c r="D111" s="268">
        <f>F111-C111</f>
        <v>2218000</v>
      </c>
      <c r="E111" s="280">
        <f>F111/C111*100</f>
        <v>321.8</v>
      </c>
      <c r="F111" s="318">
        <f>'[1]Kiadások részletes COFOG'!F179</f>
        <v>3218000</v>
      </c>
    </row>
    <row r="112" spans="1:7" ht="20.25" customHeight="1" x14ac:dyDescent="0.2">
      <c r="A112" s="195" t="s">
        <v>618</v>
      </c>
      <c r="B112" s="191" t="s">
        <v>619</v>
      </c>
      <c r="C112" s="268">
        <v>0</v>
      </c>
      <c r="D112" s="268">
        <f t="shared" ref="D112:D115" si="9">F112-C112</f>
        <v>40000</v>
      </c>
      <c r="E112" s="280"/>
      <c r="F112" s="318">
        <f>'[1]Kiadások részletes COFOG'!F180</f>
        <v>40000</v>
      </c>
    </row>
    <row r="113" spans="1:14" ht="20.25" customHeight="1" x14ac:dyDescent="0.2">
      <c r="A113" s="195" t="s">
        <v>527</v>
      </c>
      <c r="B113" s="191" t="s">
        <v>528</v>
      </c>
      <c r="C113" s="268">
        <v>200000</v>
      </c>
      <c r="D113" s="268">
        <f t="shared" si="9"/>
        <v>121000</v>
      </c>
      <c r="E113" s="280">
        <f t="shared" ref="E113" si="10">F113/C113*100</f>
        <v>160.5</v>
      </c>
      <c r="F113" s="318">
        <f>'[1]Kiadások részletes COFOG'!F181</f>
        <v>321000</v>
      </c>
    </row>
    <row r="114" spans="1:14" ht="20.25" customHeight="1" x14ac:dyDescent="0.2">
      <c r="A114" s="195" t="s">
        <v>533</v>
      </c>
      <c r="B114" s="191" t="s">
        <v>534</v>
      </c>
      <c r="C114" s="268">
        <v>0</v>
      </c>
      <c r="D114" s="268">
        <f t="shared" si="9"/>
        <v>60604</v>
      </c>
      <c r="E114" s="280"/>
      <c r="F114" s="318">
        <f>'[1]Kiadások részletes COFOG'!F183</f>
        <v>60604</v>
      </c>
    </row>
    <row r="115" spans="1:14" ht="20.25" customHeight="1" thickBot="1" x14ac:dyDescent="0.25">
      <c r="A115" s="195" t="s">
        <v>557</v>
      </c>
      <c r="B115" s="191" t="s">
        <v>558</v>
      </c>
      <c r="C115" s="268">
        <v>0</v>
      </c>
      <c r="D115" s="268">
        <f t="shared" si="9"/>
        <v>10963</v>
      </c>
      <c r="E115" s="280"/>
      <c r="F115" s="318">
        <f>'[1]Kiadások részletes COFOG'!F184</f>
        <v>10963</v>
      </c>
    </row>
    <row r="116" spans="1:14" ht="20.25" customHeight="1" thickBot="1" x14ac:dyDescent="0.25">
      <c r="A116" s="857" t="s">
        <v>590</v>
      </c>
      <c r="B116" s="857"/>
      <c r="C116" s="277">
        <f>SUM(C111:C115)</f>
        <v>1200000</v>
      </c>
      <c r="D116" s="277">
        <f>SUM(D111:D115)</f>
        <v>2450567</v>
      </c>
      <c r="E116" s="278">
        <f>F116/C116*100</f>
        <v>304.21391666666671</v>
      </c>
      <c r="F116" s="282">
        <f>SUM(F111:F115)</f>
        <v>3650567</v>
      </c>
    </row>
    <row r="117" spans="1:14" ht="24" customHeight="1" thickBot="1" x14ac:dyDescent="0.25">
      <c r="A117" s="853" t="s">
        <v>620</v>
      </c>
      <c r="B117" s="853"/>
      <c r="C117" s="853"/>
      <c r="D117" s="853"/>
      <c r="E117" s="853"/>
      <c r="F117" s="853"/>
    </row>
    <row r="118" spans="1:14" ht="23.25" customHeight="1" x14ac:dyDescent="0.2">
      <c r="A118" s="878" t="s">
        <v>399</v>
      </c>
      <c r="B118" s="879" t="s">
        <v>400</v>
      </c>
      <c r="C118" s="870">
        <v>2019</v>
      </c>
      <c r="D118" s="871"/>
      <c r="E118" s="871"/>
      <c r="F118" s="872"/>
    </row>
    <row r="119" spans="1:14" ht="25.5" customHeight="1" thickBot="1" x14ac:dyDescent="0.25">
      <c r="A119" s="878"/>
      <c r="B119" s="879"/>
      <c r="C119" s="296" t="s">
        <v>402</v>
      </c>
      <c r="D119" s="296" t="s">
        <v>403</v>
      </c>
      <c r="E119" s="296" t="s">
        <v>404</v>
      </c>
      <c r="F119" s="297" t="s">
        <v>512</v>
      </c>
    </row>
    <row r="120" spans="1:14" ht="15" customHeight="1" x14ac:dyDescent="0.2">
      <c r="A120" s="190" t="s">
        <v>533</v>
      </c>
      <c r="B120" s="191" t="s">
        <v>534</v>
      </c>
      <c r="C120" s="268">
        <v>120000</v>
      </c>
      <c r="D120" s="268">
        <f>F120-C120</f>
        <v>300000</v>
      </c>
      <c r="E120" s="280">
        <f>F120/C120*100</f>
        <v>350</v>
      </c>
      <c r="F120" s="269">
        <f>'[1]Kiadások részletes COFOG'!F189</f>
        <v>420000</v>
      </c>
    </row>
    <row r="121" spans="1:14" ht="15" customHeight="1" x14ac:dyDescent="0.2">
      <c r="A121" s="190" t="s">
        <v>547</v>
      </c>
      <c r="B121" s="191" t="s">
        <v>548</v>
      </c>
      <c r="C121" s="268">
        <v>431150</v>
      </c>
      <c r="D121" s="268">
        <f t="shared" ref="D121:D126" si="11">F121-C121</f>
        <v>-300000</v>
      </c>
      <c r="E121" s="280">
        <f t="shared" ref="E121:E125" si="12">F121/C121*100</f>
        <v>30.418647802388961</v>
      </c>
      <c r="F121" s="269">
        <f>'[1]Kiadások részletes COFOG'!F192</f>
        <v>131150</v>
      </c>
    </row>
    <row r="122" spans="1:14" ht="15" customHeight="1" x14ac:dyDescent="0.2">
      <c r="A122" s="190" t="s">
        <v>553</v>
      </c>
      <c r="B122" s="191" t="s">
        <v>554</v>
      </c>
      <c r="C122" s="268">
        <v>1700000</v>
      </c>
      <c r="D122" s="268">
        <f t="shared" si="11"/>
        <v>0</v>
      </c>
      <c r="E122" s="280">
        <f t="shared" si="12"/>
        <v>100</v>
      </c>
      <c r="F122" s="269">
        <f>'[1]Kiadások részletes COFOG'!F193</f>
        <v>1700000</v>
      </c>
    </row>
    <row r="123" spans="1:14" ht="15" customHeight="1" x14ac:dyDescent="0.2">
      <c r="A123" s="190" t="s">
        <v>594</v>
      </c>
      <c r="B123" s="191" t="s">
        <v>595</v>
      </c>
      <c r="C123" s="268">
        <v>0</v>
      </c>
      <c r="D123" s="268">
        <f t="shared" si="11"/>
        <v>0</v>
      </c>
      <c r="E123" s="280"/>
      <c r="F123" s="269">
        <v>0</v>
      </c>
    </row>
    <row r="124" spans="1:14" ht="21" x14ac:dyDescent="0.2">
      <c r="A124" s="190" t="s">
        <v>557</v>
      </c>
      <c r="B124" s="191" t="s">
        <v>558</v>
      </c>
      <c r="C124" s="268">
        <v>1033850</v>
      </c>
      <c r="D124" s="268">
        <f t="shared" si="11"/>
        <v>0</v>
      </c>
      <c r="E124" s="280">
        <f t="shared" si="12"/>
        <v>100</v>
      </c>
      <c r="F124" s="269">
        <f>'[1]Kiadások részletes COFOG'!F195</f>
        <v>1033850</v>
      </c>
    </row>
    <row r="125" spans="1:14" ht="15" customHeight="1" x14ac:dyDescent="0.2">
      <c r="A125" s="190" t="s">
        <v>584</v>
      </c>
      <c r="B125" s="191" t="s">
        <v>585</v>
      </c>
      <c r="C125" s="268">
        <v>38000000</v>
      </c>
      <c r="D125" s="268">
        <f t="shared" si="11"/>
        <v>7000000</v>
      </c>
      <c r="E125" s="280">
        <f t="shared" si="12"/>
        <v>118.42105263157893</v>
      </c>
      <c r="F125" s="269">
        <f>'[1]Kiadások részletes COFOG'!F199</f>
        <v>45000000</v>
      </c>
      <c r="I125" s="880"/>
      <c r="J125" s="880"/>
      <c r="L125" s="304"/>
    </row>
    <row r="126" spans="1:14" ht="21.75" thickBot="1" x14ac:dyDescent="0.25">
      <c r="A126" s="198" t="s">
        <v>586</v>
      </c>
      <c r="B126" s="207" t="s">
        <v>587</v>
      </c>
      <c r="C126" s="274">
        <v>0</v>
      </c>
      <c r="D126" s="268">
        <f t="shared" si="11"/>
        <v>1900000</v>
      </c>
      <c r="E126" s="280"/>
      <c r="F126" s="281">
        <f>'[1]Kiadások részletes COFOG'!F200</f>
        <v>1900000</v>
      </c>
    </row>
    <row r="127" spans="1:14" ht="21" customHeight="1" thickBot="1" x14ac:dyDescent="0.25">
      <c r="A127" s="845" t="s">
        <v>590</v>
      </c>
      <c r="B127" s="845"/>
      <c r="C127" s="210">
        <f>SUM(C120:C126)</f>
        <v>41285000</v>
      </c>
      <c r="D127" s="210">
        <f>SUM(D120:D126)</f>
        <v>8900000</v>
      </c>
      <c r="E127" s="211">
        <f>F127/C127*100</f>
        <v>121.55746639215211</v>
      </c>
      <c r="F127" s="212">
        <f>SUM(F120:F126)</f>
        <v>50185000</v>
      </c>
      <c r="M127" s="181"/>
      <c r="N127" s="181"/>
    </row>
    <row r="128" spans="1:14" ht="30" customHeight="1" thickBot="1" x14ac:dyDescent="0.25">
      <c r="A128" s="853" t="s">
        <v>478</v>
      </c>
      <c r="B128" s="853"/>
      <c r="C128" s="853"/>
      <c r="D128" s="853"/>
      <c r="E128" s="853"/>
      <c r="F128" s="853"/>
    </row>
    <row r="129" spans="1:15" ht="18" customHeight="1" x14ac:dyDescent="0.2">
      <c r="A129" s="878" t="s">
        <v>399</v>
      </c>
      <c r="B129" s="879" t="s">
        <v>400</v>
      </c>
      <c r="C129" s="870">
        <v>2019</v>
      </c>
      <c r="D129" s="871"/>
      <c r="E129" s="871"/>
      <c r="F129" s="872"/>
      <c r="L129" s="181"/>
      <c r="M129" s="181"/>
      <c r="N129" s="181"/>
      <c r="O129" s="181"/>
    </row>
    <row r="130" spans="1:15" ht="24.75" customHeight="1" thickBot="1" x14ac:dyDescent="0.25">
      <c r="A130" s="878"/>
      <c r="B130" s="879"/>
      <c r="C130" s="296" t="s">
        <v>402</v>
      </c>
      <c r="D130" s="296" t="s">
        <v>403</v>
      </c>
      <c r="E130" s="296" t="s">
        <v>404</v>
      </c>
      <c r="F130" s="297" t="s">
        <v>512</v>
      </c>
    </row>
    <row r="131" spans="1:15" ht="12.75" customHeight="1" x14ac:dyDescent="0.2">
      <c r="A131" s="190" t="s">
        <v>592</v>
      </c>
      <c r="B131" s="191" t="s">
        <v>593</v>
      </c>
      <c r="C131" s="268">
        <v>0</v>
      </c>
      <c r="D131" s="268">
        <f>F131-C131</f>
        <v>0</v>
      </c>
      <c r="E131" s="268"/>
      <c r="F131" s="320">
        <v>0</v>
      </c>
    </row>
    <row r="132" spans="1:15" ht="12.75" customHeight="1" x14ac:dyDescent="0.2">
      <c r="A132" s="190" t="s">
        <v>547</v>
      </c>
      <c r="B132" s="191" t="s">
        <v>548</v>
      </c>
      <c r="C132" s="268">
        <v>0</v>
      </c>
      <c r="D132" s="268">
        <f t="shared" ref="D132:D134" si="13">F132-C132</f>
        <v>0</v>
      </c>
      <c r="E132" s="268"/>
      <c r="F132" s="320">
        <v>0</v>
      </c>
    </row>
    <row r="133" spans="1:15" ht="12.75" customHeight="1" x14ac:dyDescent="0.2">
      <c r="A133" s="190" t="s">
        <v>621</v>
      </c>
      <c r="B133" s="191" t="s">
        <v>622</v>
      </c>
      <c r="C133" s="268">
        <v>6471537</v>
      </c>
      <c r="D133" s="268">
        <f t="shared" si="13"/>
        <v>4347470</v>
      </c>
      <c r="E133" s="280">
        <f>F133/C133*100</f>
        <v>167.17832255305038</v>
      </c>
      <c r="F133" s="318">
        <f>'[1]Kiadások részletes COFOG'!F207</f>
        <v>10819007</v>
      </c>
    </row>
    <row r="134" spans="1:15" ht="21.75" customHeight="1" thickBot="1" x14ac:dyDescent="0.25">
      <c r="A134" s="198" t="s">
        <v>586</v>
      </c>
      <c r="B134" s="207" t="s">
        <v>587</v>
      </c>
      <c r="C134" s="274">
        <v>1747316</v>
      </c>
      <c r="D134" s="268">
        <f t="shared" si="13"/>
        <v>1173816</v>
      </c>
      <c r="E134" s="280">
        <f>F134/C134*100</f>
        <v>167.17823221443632</v>
      </c>
      <c r="F134" s="319">
        <f>'[1]Kiadások részletes COFOG'!F208</f>
        <v>2921132</v>
      </c>
    </row>
    <row r="135" spans="1:15" ht="21" customHeight="1" thickBot="1" x14ac:dyDescent="0.25">
      <c r="A135" s="845" t="s">
        <v>590</v>
      </c>
      <c r="B135" s="845"/>
      <c r="C135" s="210">
        <f>SUM(C131:C134)</f>
        <v>8218853</v>
      </c>
      <c r="D135" s="210">
        <f>SUM(D131:D134)</f>
        <v>5521286</v>
      </c>
      <c r="E135" s="211">
        <f>F135/C135*100</f>
        <v>167.17830334719454</v>
      </c>
      <c r="F135" s="321">
        <f>SUM(F131:F134)</f>
        <v>13740139</v>
      </c>
    </row>
    <row r="136" spans="1:15" ht="27" customHeight="1" thickBot="1" x14ac:dyDescent="0.25">
      <c r="A136" s="853" t="s">
        <v>623</v>
      </c>
      <c r="B136" s="853"/>
      <c r="C136" s="853"/>
      <c r="D136" s="853"/>
      <c r="E136" s="853"/>
      <c r="F136" s="853"/>
    </row>
    <row r="137" spans="1:15" ht="21" customHeight="1" thickBot="1" x14ac:dyDescent="0.25">
      <c r="A137" s="868" t="s">
        <v>399</v>
      </c>
      <c r="B137" s="869" t="s">
        <v>400</v>
      </c>
      <c r="C137" s="870">
        <v>2019</v>
      </c>
      <c r="D137" s="871"/>
      <c r="E137" s="871"/>
      <c r="F137" s="872"/>
    </row>
    <row r="138" spans="1:15" ht="24.75" customHeight="1" thickBot="1" x14ac:dyDescent="0.25">
      <c r="A138" s="876"/>
      <c r="B138" s="877"/>
      <c r="C138" s="296" t="s">
        <v>402</v>
      </c>
      <c r="D138" s="296" t="s">
        <v>403</v>
      </c>
      <c r="E138" s="296" t="s">
        <v>404</v>
      </c>
      <c r="F138" s="297" t="s">
        <v>512</v>
      </c>
    </row>
    <row r="139" spans="1:15" ht="18" customHeight="1" x14ac:dyDescent="0.2">
      <c r="A139" s="195" t="s">
        <v>533</v>
      </c>
      <c r="B139" s="191" t="s">
        <v>534</v>
      </c>
      <c r="C139" s="322">
        <v>348080</v>
      </c>
      <c r="D139" s="323"/>
      <c r="E139" s="324">
        <f>F139/C139*100</f>
        <v>100</v>
      </c>
      <c r="F139" s="325">
        <f>'[1]Kiadások részletes COFOG'!F213</f>
        <v>348080</v>
      </c>
    </row>
    <row r="140" spans="1:15" ht="18.75" customHeight="1" x14ac:dyDescent="0.2">
      <c r="A140" s="190" t="s">
        <v>539</v>
      </c>
      <c r="B140" s="191" t="s">
        <v>540</v>
      </c>
      <c r="C140" s="268">
        <v>3100668</v>
      </c>
      <c r="D140" s="268">
        <f>F140-C140</f>
        <v>0</v>
      </c>
      <c r="E140" s="324">
        <f>F140/C140*100</f>
        <v>100</v>
      </c>
      <c r="F140" s="269">
        <f>'[1]Kiadások részletes COFOG'!F214</f>
        <v>3100668</v>
      </c>
      <c r="K140" s="3"/>
    </row>
    <row r="141" spans="1:15" ht="18.75" customHeight="1" x14ac:dyDescent="0.2">
      <c r="A141" s="197" t="s">
        <v>547</v>
      </c>
      <c r="B141" s="207" t="s">
        <v>548</v>
      </c>
      <c r="C141" s="274">
        <v>564445</v>
      </c>
      <c r="D141" s="268">
        <f t="shared" ref="D141:D142" si="14">F141-C141</f>
        <v>0</v>
      </c>
      <c r="E141" s="324">
        <f t="shared" ref="E141:E142" si="15">F141/C141*100</f>
        <v>100</v>
      </c>
      <c r="F141" s="281">
        <f>'[1]Kiadások részletes COFOG'!F215</f>
        <v>564445</v>
      </c>
      <c r="K141" s="3"/>
    </row>
    <row r="142" spans="1:15" ht="24" customHeight="1" thickBot="1" x14ac:dyDescent="0.25">
      <c r="A142" s="198" t="s">
        <v>557</v>
      </c>
      <c r="B142" s="207" t="s">
        <v>558</v>
      </c>
      <c r="C142" s="274">
        <v>1052954</v>
      </c>
      <c r="D142" s="268">
        <f t="shared" si="14"/>
        <v>0</v>
      </c>
      <c r="E142" s="324">
        <f t="shared" si="15"/>
        <v>100</v>
      </c>
      <c r="F142" s="281">
        <f>'[1]Kiadások részletes COFOG'!F216</f>
        <v>1052954</v>
      </c>
      <c r="H142" s="326"/>
      <c r="I142" s="327"/>
      <c r="J142" s="327"/>
      <c r="K142" s="327"/>
    </row>
    <row r="143" spans="1:15" ht="21" customHeight="1" thickBot="1" x14ac:dyDescent="0.25">
      <c r="A143" s="845" t="s">
        <v>590</v>
      </c>
      <c r="B143" s="845"/>
      <c r="C143" s="210">
        <f>SUM(C139:C142)</f>
        <v>5066147</v>
      </c>
      <c r="D143" s="210">
        <f>SUM(D139:D142)</f>
        <v>0</v>
      </c>
      <c r="E143" s="328">
        <f>F143/C143*100</f>
        <v>100</v>
      </c>
      <c r="F143" s="212">
        <f>SUM(F139:F142)</f>
        <v>5066147</v>
      </c>
    </row>
    <row r="144" spans="1:15" ht="25.5" customHeight="1" thickBot="1" x14ac:dyDescent="0.25">
      <c r="A144" s="853" t="s">
        <v>624</v>
      </c>
      <c r="B144" s="853"/>
      <c r="C144" s="853"/>
      <c r="D144" s="853"/>
      <c r="E144" s="853"/>
      <c r="F144" s="853"/>
    </row>
    <row r="145" spans="1:11" ht="21.75" customHeight="1" thickBot="1" x14ac:dyDescent="0.25">
      <c r="A145" s="868" t="s">
        <v>399</v>
      </c>
      <c r="B145" s="869" t="s">
        <v>400</v>
      </c>
      <c r="C145" s="870">
        <v>2019</v>
      </c>
      <c r="D145" s="871"/>
      <c r="E145" s="871"/>
      <c r="F145" s="872"/>
    </row>
    <row r="146" spans="1:11" ht="27.75" customHeight="1" thickBot="1" x14ac:dyDescent="0.25">
      <c r="A146" s="868"/>
      <c r="B146" s="869"/>
      <c r="C146" s="296" t="s">
        <v>402</v>
      </c>
      <c r="D146" s="296" t="s">
        <v>403</v>
      </c>
      <c r="E146" s="296" t="s">
        <v>404</v>
      </c>
      <c r="F146" s="297" t="s">
        <v>512</v>
      </c>
      <c r="J146" s="327"/>
    </row>
    <row r="147" spans="1:11" ht="15" customHeight="1" x14ac:dyDescent="0.2">
      <c r="A147" s="190" t="s">
        <v>616</v>
      </c>
      <c r="B147" s="191" t="s">
        <v>625</v>
      </c>
      <c r="C147" s="268">
        <v>4651000</v>
      </c>
      <c r="D147" s="268">
        <f>F147-C147</f>
        <v>-133500</v>
      </c>
      <c r="E147" s="280">
        <f>F147/C147*100</f>
        <v>97.129649537733826</v>
      </c>
      <c r="F147" s="269">
        <f>'[1]Kiadások részletes COFOG'!F226</f>
        <v>4517500</v>
      </c>
      <c r="G147" s="42"/>
    </row>
    <row r="148" spans="1:11" ht="15" customHeight="1" x14ac:dyDescent="0.2">
      <c r="A148" s="195" t="s">
        <v>515</v>
      </c>
      <c r="B148" s="191" t="s">
        <v>516</v>
      </c>
      <c r="C148" s="268">
        <v>0</v>
      </c>
      <c r="D148" s="268">
        <f t="shared" ref="D148:D166" si="16">F148-C148</f>
        <v>0</v>
      </c>
      <c r="E148" s="280"/>
      <c r="F148" s="269">
        <f>'[1]Kiadások részletes COFOG'!F227</f>
        <v>0</v>
      </c>
    </row>
    <row r="149" spans="1:11" ht="15" customHeight="1" x14ac:dyDescent="0.2">
      <c r="A149" s="195" t="s">
        <v>626</v>
      </c>
      <c r="B149" s="191" t="s">
        <v>627</v>
      </c>
      <c r="C149" s="268">
        <v>24000</v>
      </c>
      <c r="D149" s="268">
        <f t="shared" si="16"/>
        <v>0</v>
      </c>
      <c r="E149" s="280">
        <f t="shared" ref="E149:E165" si="17">F149/C149*100</f>
        <v>100</v>
      </c>
      <c r="F149" s="269">
        <f>'[1]Kiadások részletes COFOG'!F229</f>
        <v>24000</v>
      </c>
    </row>
    <row r="150" spans="1:11" ht="15" customHeight="1" x14ac:dyDescent="0.2">
      <c r="A150" s="195" t="s">
        <v>618</v>
      </c>
      <c r="B150" s="191" t="s">
        <v>619</v>
      </c>
      <c r="C150" s="268">
        <v>0</v>
      </c>
      <c r="D150" s="268">
        <f t="shared" si="16"/>
        <v>146000</v>
      </c>
      <c r="E150" s="280"/>
      <c r="F150" s="269">
        <f>'[1]Kiadások részletes COFOG'!F230</f>
        <v>146000</v>
      </c>
    </row>
    <row r="151" spans="1:11" ht="15" customHeight="1" x14ac:dyDescent="0.2">
      <c r="A151" s="190" t="s">
        <v>527</v>
      </c>
      <c r="B151" s="191" t="s">
        <v>528</v>
      </c>
      <c r="C151" s="268">
        <v>935000</v>
      </c>
      <c r="D151" s="268">
        <f t="shared" si="16"/>
        <v>3000</v>
      </c>
      <c r="E151" s="280">
        <f t="shared" si="17"/>
        <v>100.32085561497325</v>
      </c>
      <c r="F151" s="269">
        <f>'[1]Kiadások részletes COFOG'!F231</f>
        <v>938000</v>
      </c>
      <c r="K151" s="304"/>
    </row>
    <row r="152" spans="1:11" ht="15" customHeight="1" x14ac:dyDescent="0.2">
      <c r="A152" s="190" t="s">
        <v>628</v>
      </c>
      <c r="B152" s="191" t="s">
        <v>629</v>
      </c>
      <c r="C152" s="268">
        <v>0</v>
      </c>
      <c r="D152" s="268">
        <f t="shared" si="16"/>
        <v>0</v>
      </c>
      <c r="E152" s="280"/>
      <c r="F152" s="269">
        <f>'[1]Kiadások részletes COFOG'!F232</f>
        <v>0</v>
      </c>
    </row>
    <row r="153" spans="1:11" ht="15" customHeight="1" x14ac:dyDescent="0.2">
      <c r="A153" s="190" t="s">
        <v>533</v>
      </c>
      <c r="B153" s="191" t="s">
        <v>534</v>
      </c>
      <c r="C153" s="268">
        <v>1550000</v>
      </c>
      <c r="D153" s="268">
        <f t="shared" si="16"/>
        <v>1015396</v>
      </c>
      <c r="E153" s="280">
        <f t="shared" si="17"/>
        <v>165.50941935483871</v>
      </c>
      <c r="F153" s="269">
        <f>'[1]Kiadások részletes COFOG'!F238</f>
        <v>2565396</v>
      </c>
    </row>
    <row r="154" spans="1:11" ht="15" customHeight="1" x14ac:dyDescent="0.2">
      <c r="A154" s="195" t="s">
        <v>543</v>
      </c>
      <c r="B154" s="191" t="s">
        <v>630</v>
      </c>
      <c r="C154" s="268">
        <v>520000</v>
      </c>
      <c r="D154" s="268">
        <f t="shared" si="16"/>
        <v>230000</v>
      </c>
      <c r="E154" s="280">
        <f t="shared" si="17"/>
        <v>144.23076923076923</v>
      </c>
      <c r="F154" s="269">
        <f>'[1]Kiadások részletes COFOG'!F243</f>
        <v>750000</v>
      </c>
    </row>
    <row r="155" spans="1:11" ht="15" customHeight="1" x14ac:dyDescent="0.2">
      <c r="A155" s="190" t="s">
        <v>545</v>
      </c>
      <c r="B155" s="191" t="s">
        <v>546</v>
      </c>
      <c r="C155" s="268">
        <v>0</v>
      </c>
      <c r="D155" s="268">
        <f t="shared" si="16"/>
        <v>0</v>
      </c>
      <c r="E155" s="280"/>
      <c r="F155" s="269">
        <f>'[1]Kiadások részletes COFOG'!F244</f>
        <v>0</v>
      </c>
    </row>
    <row r="156" spans="1:11" ht="15" customHeight="1" x14ac:dyDescent="0.2">
      <c r="A156" s="190" t="s">
        <v>547</v>
      </c>
      <c r="B156" s="191" t="s">
        <v>548</v>
      </c>
      <c r="C156" s="268">
        <v>300000</v>
      </c>
      <c r="D156" s="268">
        <f t="shared" si="16"/>
        <v>0</v>
      </c>
      <c r="E156" s="280">
        <f t="shared" si="17"/>
        <v>100</v>
      </c>
      <c r="F156" s="269">
        <f>'[1]Kiadások részletes COFOG'!F249</f>
        <v>300000</v>
      </c>
    </row>
    <row r="157" spans="1:11" ht="15" customHeight="1" x14ac:dyDescent="0.2">
      <c r="A157" s="190" t="s">
        <v>631</v>
      </c>
      <c r="B157" s="191" t="s">
        <v>632</v>
      </c>
      <c r="C157" s="268">
        <v>0</v>
      </c>
      <c r="D157" s="268">
        <f t="shared" si="16"/>
        <v>0</v>
      </c>
      <c r="E157" s="280"/>
      <c r="F157" s="269"/>
    </row>
    <row r="158" spans="1:11" ht="15" customHeight="1" x14ac:dyDescent="0.2">
      <c r="A158" s="190" t="s">
        <v>553</v>
      </c>
      <c r="B158" s="191" t="s">
        <v>554</v>
      </c>
      <c r="C158" s="268">
        <v>450000</v>
      </c>
      <c r="D158" s="268">
        <f t="shared" si="16"/>
        <v>850000</v>
      </c>
      <c r="E158" s="280">
        <f t="shared" si="17"/>
        <v>288.88888888888886</v>
      </c>
      <c r="F158" s="269">
        <f>'[1]Kiadások részletes COFOG'!F257</f>
        <v>1300000</v>
      </c>
    </row>
    <row r="159" spans="1:11" ht="15" customHeight="1" x14ac:dyDescent="0.2">
      <c r="A159" s="190" t="s">
        <v>633</v>
      </c>
      <c r="B159" s="191" t="s">
        <v>634</v>
      </c>
      <c r="C159" s="268">
        <v>0</v>
      </c>
      <c r="D159" s="268">
        <f t="shared" si="16"/>
        <v>0</v>
      </c>
      <c r="E159" s="280"/>
      <c r="F159" s="269"/>
    </row>
    <row r="160" spans="1:11" ht="21" x14ac:dyDescent="0.2">
      <c r="A160" s="190" t="s">
        <v>557</v>
      </c>
      <c r="B160" s="191" t="s">
        <v>558</v>
      </c>
      <c r="C160" s="268">
        <v>761400</v>
      </c>
      <c r="D160" s="268">
        <f t="shared" si="16"/>
        <v>313037</v>
      </c>
      <c r="E160" s="280">
        <f t="shared" si="17"/>
        <v>141.11334384029419</v>
      </c>
      <c r="F160" s="269">
        <f>'[1]Kiadások részletes COFOG'!F261</f>
        <v>1074437</v>
      </c>
      <c r="I160" s="304"/>
    </row>
    <row r="161" spans="1:11" ht="18" customHeight="1" x14ac:dyDescent="0.2">
      <c r="A161" s="195" t="s">
        <v>561</v>
      </c>
      <c r="B161" s="191" t="s">
        <v>562</v>
      </c>
      <c r="C161" s="268">
        <v>0</v>
      </c>
      <c r="D161" s="268">
        <f t="shared" si="16"/>
        <v>58000</v>
      </c>
      <c r="E161" s="280"/>
      <c r="F161" s="269">
        <f>'[1]Kiadások részletes COFOG'!F262</f>
        <v>58000</v>
      </c>
      <c r="I161" s="304"/>
    </row>
    <row r="162" spans="1:11" ht="19.5" customHeight="1" x14ac:dyDescent="0.2">
      <c r="A162" s="190" t="s">
        <v>580</v>
      </c>
      <c r="B162" s="191" t="s">
        <v>581</v>
      </c>
      <c r="C162" s="268">
        <v>0</v>
      </c>
      <c r="D162" s="268">
        <f t="shared" si="16"/>
        <v>98000</v>
      </c>
      <c r="E162" s="280"/>
      <c r="F162" s="269">
        <f>'[1]Kiadások részletes COFOG'!F265</f>
        <v>98000</v>
      </c>
    </row>
    <row r="163" spans="1:11" ht="22.5" customHeight="1" x14ac:dyDescent="0.2">
      <c r="A163" s="198" t="s">
        <v>582</v>
      </c>
      <c r="B163" s="207" t="s">
        <v>583</v>
      </c>
      <c r="C163" s="274">
        <v>0</v>
      </c>
      <c r="D163" s="268">
        <f>F163-C163</f>
        <v>27000</v>
      </c>
      <c r="E163" s="275"/>
      <c r="F163" s="281">
        <f>'[1]Kiadások részletes COFOG'!F266</f>
        <v>27000</v>
      </c>
    </row>
    <row r="164" spans="1:11" ht="21.75" customHeight="1" x14ac:dyDescent="0.2">
      <c r="A164" s="197" t="s">
        <v>584</v>
      </c>
      <c r="B164" s="307" t="s">
        <v>635</v>
      </c>
      <c r="C164" s="274">
        <v>8582677</v>
      </c>
      <c r="D164" s="268">
        <f t="shared" si="16"/>
        <v>68417323</v>
      </c>
      <c r="E164" s="280">
        <f t="shared" si="17"/>
        <v>897.15598058740886</v>
      </c>
      <c r="F164" s="281">
        <f>'[1]Kiadások részletes COFOG'!F267</f>
        <v>77000000</v>
      </c>
    </row>
    <row r="165" spans="1:11" ht="21.75" customHeight="1" x14ac:dyDescent="0.2">
      <c r="A165" s="197" t="s">
        <v>586</v>
      </c>
      <c r="B165" s="307" t="s">
        <v>587</v>
      </c>
      <c r="C165" s="274">
        <v>2317323</v>
      </c>
      <c r="D165" s="268">
        <f t="shared" si="16"/>
        <v>18472677</v>
      </c>
      <c r="E165" s="275">
        <f t="shared" si="17"/>
        <v>897.15589928551174</v>
      </c>
      <c r="F165" s="281">
        <f>'[1]Kiadások részletes COFOG'!F268</f>
        <v>20790000</v>
      </c>
    </row>
    <row r="166" spans="1:11" ht="30" customHeight="1" thickBot="1" x14ac:dyDescent="0.25">
      <c r="A166" s="260" t="s">
        <v>636</v>
      </c>
      <c r="B166" s="261" t="s">
        <v>637</v>
      </c>
      <c r="C166" s="329">
        <v>0</v>
      </c>
      <c r="D166" s="268">
        <f t="shared" si="16"/>
        <v>1263000</v>
      </c>
      <c r="E166" s="330"/>
      <c r="F166" s="331">
        <f>'[1]Kiadások részletes COFOG'!F269</f>
        <v>1263000</v>
      </c>
    </row>
    <row r="167" spans="1:11" ht="23.25" customHeight="1" thickBot="1" x14ac:dyDescent="0.25">
      <c r="A167" s="845" t="s">
        <v>590</v>
      </c>
      <c r="B167" s="845"/>
      <c r="C167" s="210">
        <f>SUM(C147:C166)</f>
        <v>20091400</v>
      </c>
      <c r="D167" s="210">
        <f>SUM(D147:D166)</f>
        <v>90759933</v>
      </c>
      <c r="E167" s="211">
        <f>F167/C167*100</f>
        <v>551.73523497615895</v>
      </c>
      <c r="F167" s="212">
        <f>SUM(F147:F166)</f>
        <v>110851333</v>
      </c>
    </row>
    <row r="168" spans="1:11" ht="24" customHeight="1" thickBot="1" x14ac:dyDescent="0.25">
      <c r="A168" s="853" t="s">
        <v>482</v>
      </c>
      <c r="B168" s="853"/>
      <c r="C168" s="853"/>
      <c r="D168" s="853"/>
      <c r="E168" s="853"/>
      <c r="F168" s="853"/>
    </row>
    <row r="169" spans="1:11" ht="23.25" customHeight="1" thickBot="1" x14ac:dyDescent="0.25">
      <c r="A169" s="868" t="s">
        <v>399</v>
      </c>
      <c r="B169" s="869" t="s">
        <v>400</v>
      </c>
      <c r="C169" s="870">
        <v>2019</v>
      </c>
      <c r="D169" s="871"/>
      <c r="E169" s="871"/>
      <c r="F169" s="872"/>
    </row>
    <row r="170" spans="1:11" ht="25.5" customHeight="1" thickBot="1" x14ac:dyDescent="0.25">
      <c r="A170" s="876"/>
      <c r="B170" s="877"/>
      <c r="C170" s="296" t="s">
        <v>402</v>
      </c>
      <c r="D170" s="296" t="s">
        <v>403</v>
      </c>
      <c r="E170" s="296" t="s">
        <v>404</v>
      </c>
      <c r="F170" s="297" t="s">
        <v>512</v>
      </c>
    </row>
    <row r="171" spans="1:11" ht="15.95" customHeight="1" x14ac:dyDescent="0.2">
      <c r="A171" s="206" t="s">
        <v>513</v>
      </c>
      <c r="B171" s="298" t="s">
        <v>638</v>
      </c>
      <c r="C171" s="332">
        <v>4465760</v>
      </c>
      <c r="D171" s="332">
        <f>F171-C171</f>
        <v>0</v>
      </c>
      <c r="E171" s="300">
        <f>F171/C171*100</f>
        <v>100</v>
      </c>
      <c r="F171" s="333">
        <f>'[1]Kiadások részletes COFOG'!F278</f>
        <v>4465760</v>
      </c>
      <c r="G171" s="42"/>
    </row>
    <row r="172" spans="1:11" ht="15.95" customHeight="1" x14ac:dyDescent="0.2">
      <c r="A172" s="195" t="s">
        <v>639</v>
      </c>
      <c r="B172" s="191" t="s">
        <v>640</v>
      </c>
      <c r="C172" s="283">
        <v>100000</v>
      </c>
      <c r="D172" s="332">
        <f t="shared" ref="D172:D188" si="18">F172-C172</f>
        <v>0</v>
      </c>
      <c r="E172" s="280">
        <f t="shared" ref="E172:E188" si="19">F172/C172*100</f>
        <v>100</v>
      </c>
      <c r="F172" s="284">
        <f>'[1]Kiadások részletes COFOG'!F279</f>
        <v>100000</v>
      </c>
      <c r="G172" s="42"/>
    </row>
    <row r="173" spans="1:11" ht="15.95" customHeight="1" x14ac:dyDescent="0.2">
      <c r="A173" s="195" t="s">
        <v>641</v>
      </c>
      <c r="B173" s="191" t="s">
        <v>642</v>
      </c>
      <c r="C173" s="283">
        <v>24000</v>
      </c>
      <c r="D173" s="332">
        <f t="shared" si="18"/>
        <v>0</v>
      </c>
      <c r="E173" s="280"/>
      <c r="F173" s="284">
        <f>'[1]Kiadások részletes COFOG'!F280</f>
        <v>24000</v>
      </c>
      <c r="G173" s="42"/>
    </row>
    <row r="174" spans="1:11" ht="15.95" customHeight="1" x14ac:dyDescent="0.2">
      <c r="A174" s="190" t="s">
        <v>517</v>
      </c>
      <c r="B174" s="191" t="s">
        <v>518</v>
      </c>
      <c r="C174" s="268">
        <v>50000</v>
      </c>
      <c r="D174" s="332">
        <f t="shared" si="18"/>
        <v>0</v>
      </c>
      <c r="E174" s="280"/>
      <c r="F174" s="269">
        <f>'[1]Kiadások részletes COFOG'!F281</f>
        <v>50000</v>
      </c>
    </row>
    <row r="175" spans="1:11" ht="15.95" customHeight="1" x14ac:dyDescent="0.2">
      <c r="A175" s="190" t="s">
        <v>626</v>
      </c>
      <c r="B175" s="191" t="s">
        <v>627</v>
      </c>
      <c r="C175" s="268">
        <v>12000</v>
      </c>
      <c r="D175" s="332">
        <f t="shared" si="18"/>
        <v>0</v>
      </c>
      <c r="E175" s="280">
        <f t="shared" si="19"/>
        <v>100</v>
      </c>
      <c r="F175" s="269">
        <f>'[1]Kiadások részletes COFOG'!F282</f>
        <v>12000</v>
      </c>
      <c r="K175" s="304"/>
    </row>
    <row r="176" spans="1:11" s="99" customFormat="1" ht="18" customHeight="1" x14ac:dyDescent="0.2">
      <c r="A176" s="195" t="s">
        <v>643</v>
      </c>
      <c r="B176" s="334" t="s">
        <v>619</v>
      </c>
      <c r="C176" s="335">
        <v>20000</v>
      </c>
      <c r="D176" s="332">
        <f t="shared" si="18"/>
        <v>116000</v>
      </c>
      <c r="E176" s="280">
        <f t="shared" si="19"/>
        <v>680</v>
      </c>
      <c r="F176" s="269">
        <f>'[1]Kiadások részletes COFOG'!F283</f>
        <v>136000</v>
      </c>
    </row>
    <row r="177" spans="1:11" ht="21" customHeight="1" x14ac:dyDescent="0.2">
      <c r="A177" s="190" t="s">
        <v>523</v>
      </c>
      <c r="B177" s="191" t="s">
        <v>524</v>
      </c>
      <c r="C177" s="268">
        <v>533100</v>
      </c>
      <c r="D177" s="332">
        <f t="shared" si="18"/>
        <v>153900</v>
      </c>
      <c r="E177" s="280"/>
      <c r="F177" s="269">
        <f>'[1]Kiadások részletes COFOG'!F284</f>
        <v>687000</v>
      </c>
      <c r="K177" s="3"/>
    </row>
    <row r="178" spans="1:11" ht="15.95" customHeight="1" x14ac:dyDescent="0.2">
      <c r="A178" s="190" t="s">
        <v>527</v>
      </c>
      <c r="B178" s="191" t="s">
        <v>528</v>
      </c>
      <c r="C178" s="268">
        <v>1070972</v>
      </c>
      <c r="D178" s="332">
        <f t="shared" si="18"/>
        <v>-50972</v>
      </c>
      <c r="E178" s="280">
        <f t="shared" si="19"/>
        <v>95.2405851880348</v>
      </c>
      <c r="F178" s="269">
        <f>'[1]Kiadások részletes COFOG'!F287</f>
        <v>1020000</v>
      </c>
    </row>
    <row r="179" spans="1:11" ht="15.95" customHeight="1" x14ac:dyDescent="0.2">
      <c r="A179" s="190" t="s">
        <v>529</v>
      </c>
      <c r="B179" s="191" t="s">
        <v>530</v>
      </c>
      <c r="C179" s="268">
        <v>0</v>
      </c>
      <c r="D179" s="332">
        <f t="shared" si="18"/>
        <v>0</v>
      </c>
      <c r="E179" s="280"/>
      <c r="F179" s="269">
        <f>'[1]Kiadások részletes COFOG'!F288</f>
        <v>0</v>
      </c>
    </row>
    <row r="180" spans="1:11" ht="15.95" customHeight="1" x14ac:dyDescent="0.2">
      <c r="A180" s="190" t="s">
        <v>628</v>
      </c>
      <c r="B180" s="191" t="s">
        <v>629</v>
      </c>
      <c r="C180" s="268">
        <v>60000</v>
      </c>
      <c r="D180" s="332">
        <f t="shared" si="18"/>
        <v>0</v>
      </c>
      <c r="E180" s="280">
        <f t="shared" si="19"/>
        <v>100</v>
      </c>
      <c r="F180" s="269">
        <f>'[1]Kiadások részletes COFOG'!F289</f>
        <v>60000</v>
      </c>
    </row>
    <row r="181" spans="1:11" ht="15.95" customHeight="1" x14ac:dyDescent="0.2">
      <c r="A181" s="190" t="s">
        <v>533</v>
      </c>
      <c r="B181" s="191" t="s">
        <v>534</v>
      </c>
      <c r="C181" s="268">
        <v>100000</v>
      </c>
      <c r="D181" s="332">
        <f t="shared" si="18"/>
        <v>50000</v>
      </c>
      <c r="E181" s="280">
        <f t="shared" si="19"/>
        <v>150</v>
      </c>
      <c r="F181" s="269">
        <f>'[1]Kiadások részletes COFOG'!F290</f>
        <v>150000</v>
      </c>
    </row>
    <row r="182" spans="1:11" ht="15.95" customHeight="1" x14ac:dyDescent="0.2">
      <c r="A182" s="195" t="s">
        <v>644</v>
      </c>
      <c r="B182" s="191" t="s">
        <v>536</v>
      </c>
      <c r="C182" s="268">
        <v>50000</v>
      </c>
      <c r="D182" s="332">
        <f t="shared" si="18"/>
        <v>50000</v>
      </c>
      <c r="E182" s="280"/>
      <c r="F182" s="269">
        <f>'[1]Kiadások részletes COFOG'!F291</f>
        <v>100000</v>
      </c>
    </row>
    <row r="183" spans="1:11" ht="15.95" customHeight="1" x14ac:dyDescent="0.2">
      <c r="A183" s="190" t="s">
        <v>537</v>
      </c>
      <c r="B183" s="191" t="s">
        <v>645</v>
      </c>
      <c r="C183" s="268">
        <v>110000</v>
      </c>
      <c r="D183" s="332">
        <f t="shared" si="18"/>
        <v>0</v>
      </c>
      <c r="E183" s="280">
        <f t="shared" si="19"/>
        <v>100</v>
      </c>
      <c r="F183" s="269">
        <f>'[1]Kiadások részletes COFOG'!F292</f>
        <v>110000</v>
      </c>
    </row>
    <row r="184" spans="1:11" ht="15.95" customHeight="1" x14ac:dyDescent="0.2">
      <c r="A184" s="190" t="s">
        <v>547</v>
      </c>
      <c r="B184" s="191" t="s">
        <v>548</v>
      </c>
      <c r="C184" s="268">
        <v>100000</v>
      </c>
      <c r="D184" s="332">
        <f t="shared" si="18"/>
        <v>-50000</v>
      </c>
      <c r="E184" s="280">
        <f t="shared" si="19"/>
        <v>50</v>
      </c>
      <c r="F184" s="269">
        <f>'[1]Kiadások részletes COFOG'!F293</f>
        <v>50000</v>
      </c>
    </row>
    <row r="185" spans="1:11" ht="19.5" customHeight="1" x14ac:dyDescent="0.2">
      <c r="A185" s="190" t="s">
        <v>551</v>
      </c>
      <c r="B185" s="191" t="s">
        <v>552</v>
      </c>
      <c r="C185" s="268">
        <v>0</v>
      </c>
      <c r="D185" s="332">
        <f t="shared" si="18"/>
        <v>10000</v>
      </c>
      <c r="E185" s="280"/>
      <c r="F185" s="269">
        <f>'[1]Kiadások részletes COFOG'!F296</f>
        <v>10000</v>
      </c>
    </row>
    <row r="186" spans="1:11" ht="15.95" customHeight="1" x14ac:dyDescent="0.2">
      <c r="A186" s="195" t="s">
        <v>553</v>
      </c>
      <c r="B186" s="191" t="s">
        <v>554</v>
      </c>
      <c r="C186" s="268">
        <v>50000</v>
      </c>
      <c r="D186" s="332">
        <f t="shared" si="18"/>
        <v>0</v>
      </c>
      <c r="E186" s="280">
        <f t="shared" si="19"/>
        <v>100</v>
      </c>
      <c r="F186" s="269">
        <f>'[1]Kiadások részletes COFOG'!F298</f>
        <v>50000</v>
      </c>
    </row>
    <row r="187" spans="1:11" ht="15.95" customHeight="1" x14ac:dyDescent="0.2">
      <c r="A187" s="195" t="s">
        <v>608</v>
      </c>
      <c r="B187" s="191" t="s">
        <v>609</v>
      </c>
      <c r="C187" s="268">
        <v>10000</v>
      </c>
      <c r="D187" s="332">
        <f t="shared" si="18"/>
        <v>0</v>
      </c>
      <c r="E187" s="280">
        <f t="shared" si="19"/>
        <v>100</v>
      </c>
      <c r="F187" s="269">
        <f>'[1]Kiadások részletes COFOG'!F300</f>
        <v>10000</v>
      </c>
    </row>
    <row r="188" spans="1:11" ht="21.75" customHeight="1" thickBot="1" x14ac:dyDescent="0.25">
      <c r="A188" s="190" t="s">
        <v>557</v>
      </c>
      <c r="B188" s="191" t="s">
        <v>558</v>
      </c>
      <c r="C188" s="268">
        <v>120000</v>
      </c>
      <c r="D188" s="332">
        <f t="shared" si="18"/>
        <v>0</v>
      </c>
      <c r="E188" s="280">
        <f t="shared" si="19"/>
        <v>100</v>
      </c>
      <c r="F188" s="269">
        <f>'[1]Kiadások részletes COFOG'!F301</f>
        <v>120000</v>
      </c>
    </row>
    <row r="189" spans="1:11" ht="21.75" customHeight="1" thickBot="1" x14ac:dyDescent="0.25">
      <c r="A189" s="857" t="s">
        <v>590</v>
      </c>
      <c r="B189" s="857"/>
      <c r="C189" s="277">
        <f>SUM(C171:C188)</f>
        <v>6875832</v>
      </c>
      <c r="D189" s="277">
        <f>SUM(D171:D188)</f>
        <v>278928</v>
      </c>
      <c r="E189" s="278">
        <f>F189/C189*100</f>
        <v>104.05664361781963</v>
      </c>
      <c r="F189" s="282">
        <f>SUM(F171:F188)</f>
        <v>7154760</v>
      </c>
    </row>
    <row r="190" spans="1:11" ht="21.75" customHeight="1" thickBot="1" x14ac:dyDescent="0.25">
      <c r="A190" s="873" t="s">
        <v>646</v>
      </c>
      <c r="B190" s="874"/>
      <c r="C190" s="874"/>
      <c r="D190" s="874"/>
      <c r="E190" s="874"/>
      <c r="F190" s="875"/>
    </row>
    <row r="191" spans="1:11" ht="21.75" customHeight="1" thickBot="1" x14ac:dyDescent="0.25">
      <c r="A191" s="868" t="s">
        <v>399</v>
      </c>
      <c r="B191" s="869" t="s">
        <v>400</v>
      </c>
      <c r="C191" s="870">
        <v>2019</v>
      </c>
      <c r="D191" s="871"/>
      <c r="E191" s="871"/>
      <c r="F191" s="872"/>
    </row>
    <row r="192" spans="1:11" ht="21.75" customHeight="1" thickBot="1" x14ac:dyDescent="0.25">
      <c r="A192" s="868"/>
      <c r="B192" s="869"/>
      <c r="C192" s="296" t="s">
        <v>402</v>
      </c>
      <c r="D192" s="296" t="s">
        <v>403</v>
      </c>
      <c r="E192" s="296" t="s">
        <v>404</v>
      </c>
      <c r="F192" s="297" t="s">
        <v>512</v>
      </c>
    </row>
    <row r="193" spans="1:14" ht="21.75" customHeight="1" x14ac:dyDescent="0.2">
      <c r="A193" s="195" t="s">
        <v>551</v>
      </c>
      <c r="B193" s="191" t="s">
        <v>552</v>
      </c>
      <c r="C193" s="268">
        <v>0</v>
      </c>
      <c r="D193" s="268">
        <f>F193-C193</f>
        <v>90000</v>
      </c>
      <c r="E193" s="336"/>
      <c r="F193" s="269">
        <f>'[1]Kiadások részletes COFOG'!F310</f>
        <v>90000</v>
      </c>
    </row>
    <row r="194" spans="1:14" ht="21.75" customHeight="1" thickBot="1" x14ac:dyDescent="0.25">
      <c r="A194" s="195" t="s">
        <v>571</v>
      </c>
      <c r="B194" s="191" t="s">
        <v>647</v>
      </c>
      <c r="C194" s="268">
        <v>90000</v>
      </c>
      <c r="D194" s="268">
        <f>F194-C194</f>
        <v>-90000</v>
      </c>
      <c r="E194" s="336"/>
      <c r="F194" s="269">
        <f>'[1]Kiadások részletes COFOG'!F304</f>
        <v>0</v>
      </c>
    </row>
    <row r="195" spans="1:14" ht="21.75" customHeight="1" thickBot="1" x14ac:dyDescent="0.25">
      <c r="A195" s="845" t="s">
        <v>590</v>
      </c>
      <c r="B195" s="845"/>
      <c r="C195" s="210">
        <f>C193+C194</f>
        <v>90000</v>
      </c>
      <c r="D195" s="210">
        <f>D193+D194</f>
        <v>0</v>
      </c>
      <c r="E195" s="211">
        <f>F195/C195*100</f>
        <v>100</v>
      </c>
      <c r="F195" s="212">
        <f>SUM(F193:F194)</f>
        <v>90000</v>
      </c>
    </row>
    <row r="196" spans="1:14" ht="26.25" customHeight="1" thickBot="1" x14ac:dyDescent="0.25">
      <c r="A196" s="853" t="s">
        <v>484</v>
      </c>
      <c r="B196" s="853"/>
      <c r="C196" s="853"/>
      <c r="D196" s="853"/>
      <c r="E196" s="853"/>
      <c r="F196" s="853"/>
    </row>
    <row r="197" spans="1:14" ht="19.5" customHeight="1" thickBot="1" x14ac:dyDescent="0.25">
      <c r="A197" s="868" t="s">
        <v>399</v>
      </c>
      <c r="B197" s="869" t="s">
        <v>400</v>
      </c>
      <c r="C197" s="870">
        <v>2019</v>
      </c>
      <c r="D197" s="871"/>
      <c r="E197" s="871"/>
      <c r="F197" s="872"/>
    </row>
    <row r="198" spans="1:14" ht="27" customHeight="1" thickBot="1" x14ac:dyDescent="0.25">
      <c r="A198" s="868"/>
      <c r="B198" s="869"/>
      <c r="C198" s="296" t="s">
        <v>402</v>
      </c>
      <c r="D198" s="296" t="s">
        <v>403</v>
      </c>
      <c r="E198" s="296" t="s">
        <v>404</v>
      </c>
      <c r="F198" s="297" t="s">
        <v>512</v>
      </c>
    </row>
    <row r="199" spans="1:14" ht="31.5" x14ac:dyDescent="0.2">
      <c r="A199" s="195" t="s">
        <v>523</v>
      </c>
      <c r="B199" s="191" t="s">
        <v>524</v>
      </c>
      <c r="C199" s="283">
        <v>0</v>
      </c>
      <c r="D199" s="283">
        <f>F199-C199</f>
        <v>1000000</v>
      </c>
      <c r="E199" s="280"/>
      <c r="F199" s="284">
        <f>'[1]Kiadások részletes COFOG'!F316</f>
        <v>1000000</v>
      </c>
    </row>
    <row r="200" spans="1:14" ht="15.95" customHeight="1" x14ac:dyDescent="0.2">
      <c r="A200" s="195" t="s">
        <v>527</v>
      </c>
      <c r="B200" s="191" t="s">
        <v>528</v>
      </c>
      <c r="C200" s="268">
        <v>0</v>
      </c>
      <c r="D200" s="283">
        <f t="shared" ref="D200:D206" si="20">F200-C200</f>
        <v>195000</v>
      </c>
      <c r="E200" s="280"/>
      <c r="F200" s="269">
        <f>'[1]Kiadások részletes COFOG'!F317</f>
        <v>195000</v>
      </c>
      <c r="H200" s="306"/>
      <c r="I200" s="181"/>
      <c r="J200" s="181"/>
      <c r="K200" s="181"/>
      <c r="L200" s="181"/>
      <c r="M200" s="181"/>
      <c r="N200" s="181"/>
    </row>
    <row r="201" spans="1:14" ht="15.95" customHeight="1" x14ac:dyDescent="0.2">
      <c r="A201" s="195" t="s">
        <v>529</v>
      </c>
      <c r="B201" s="191" t="s">
        <v>530</v>
      </c>
      <c r="C201" s="268">
        <v>0</v>
      </c>
      <c r="D201" s="283">
        <f t="shared" si="20"/>
        <v>0</v>
      </c>
      <c r="E201" s="280"/>
      <c r="F201" s="269">
        <v>0</v>
      </c>
    </row>
    <row r="202" spans="1:14" ht="15.95" customHeight="1" x14ac:dyDescent="0.2">
      <c r="A202" s="195" t="s">
        <v>533</v>
      </c>
      <c r="B202" s="191" t="s">
        <v>534</v>
      </c>
      <c r="C202" s="268">
        <v>0</v>
      </c>
      <c r="D202" s="283">
        <f t="shared" si="20"/>
        <v>1000000</v>
      </c>
      <c r="E202" s="280"/>
      <c r="F202" s="269">
        <f>'[1]Kiadások részletes COFOG'!F318</f>
        <v>1000000</v>
      </c>
      <c r="N202" s="3"/>
    </row>
    <row r="203" spans="1:14" ht="15.95" customHeight="1" x14ac:dyDescent="0.2">
      <c r="A203" s="195" t="s">
        <v>553</v>
      </c>
      <c r="B203" s="191" t="s">
        <v>554</v>
      </c>
      <c r="C203" s="268">
        <v>0</v>
      </c>
      <c r="D203" s="283">
        <f t="shared" si="20"/>
        <v>800000</v>
      </c>
      <c r="E203" s="280"/>
      <c r="F203" s="269">
        <f>'[1]Kiadások részletes COFOG'!F319</f>
        <v>800000</v>
      </c>
    </row>
    <row r="204" spans="1:14" ht="21" customHeight="1" x14ac:dyDescent="0.2">
      <c r="A204" s="195" t="s">
        <v>557</v>
      </c>
      <c r="B204" s="191" t="s">
        <v>558</v>
      </c>
      <c r="C204" s="268">
        <v>0</v>
      </c>
      <c r="D204" s="283">
        <f t="shared" si="20"/>
        <v>384997</v>
      </c>
      <c r="E204" s="280"/>
      <c r="F204" s="269">
        <f>'[1]Kiadások részletes COFOG'!F320</f>
        <v>384997</v>
      </c>
      <c r="K204" s="3"/>
    </row>
    <row r="205" spans="1:14" ht="20.25" customHeight="1" x14ac:dyDescent="0.2">
      <c r="A205" s="195" t="s">
        <v>580</v>
      </c>
      <c r="B205" s="191" t="s">
        <v>648</v>
      </c>
      <c r="C205" s="268">
        <v>0</v>
      </c>
      <c r="D205" s="283">
        <f t="shared" si="20"/>
        <v>2000000</v>
      </c>
      <c r="E205" s="280"/>
      <c r="F205" s="269">
        <f>'[1]Kiadások részletes COFOG'!F321</f>
        <v>2000000</v>
      </c>
      <c r="K205" s="3"/>
    </row>
    <row r="206" spans="1:14" ht="21" customHeight="1" thickBot="1" x14ac:dyDescent="0.25">
      <c r="A206" s="217" t="s">
        <v>582</v>
      </c>
      <c r="B206" s="207" t="s">
        <v>583</v>
      </c>
      <c r="C206" s="219">
        <v>0</v>
      </c>
      <c r="D206" s="283">
        <f t="shared" si="20"/>
        <v>800000</v>
      </c>
      <c r="E206" s="220"/>
      <c r="F206" s="221">
        <f>'[1]Kiadások részletes COFOG'!F322</f>
        <v>800000</v>
      </c>
      <c r="K206" s="3"/>
    </row>
    <row r="207" spans="1:14" ht="18.75" customHeight="1" thickBot="1" x14ac:dyDescent="0.25">
      <c r="A207" s="845" t="s">
        <v>590</v>
      </c>
      <c r="B207" s="845"/>
      <c r="C207" s="210">
        <f>SUM(C199:C206)</f>
        <v>0</v>
      </c>
      <c r="D207" s="210">
        <f>SUM(D199:D206)</f>
        <v>6179997</v>
      </c>
      <c r="E207" s="211"/>
      <c r="F207" s="212">
        <f>SUM(F199:F206)</f>
        <v>6179997</v>
      </c>
    </row>
    <row r="208" spans="1:14" ht="24" customHeight="1" thickBot="1" x14ac:dyDescent="0.25">
      <c r="A208" s="853" t="s">
        <v>649</v>
      </c>
      <c r="B208" s="853"/>
      <c r="C208" s="853"/>
      <c r="D208" s="853"/>
      <c r="E208" s="853"/>
      <c r="F208" s="853"/>
    </row>
    <row r="209" spans="1:16" ht="21" customHeight="1" thickBot="1" x14ac:dyDescent="0.25">
      <c r="A209" s="868" t="s">
        <v>399</v>
      </c>
      <c r="B209" s="869" t="s">
        <v>400</v>
      </c>
      <c r="C209" s="870">
        <v>2019</v>
      </c>
      <c r="D209" s="871"/>
      <c r="E209" s="871"/>
      <c r="F209" s="872"/>
    </row>
    <row r="210" spans="1:16" ht="24" customHeight="1" thickBot="1" x14ac:dyDescent="0.25">
      <c r="A210" s="868"/>
      <c r="B210" s="869"/>
      <c r="C210" s="296" t="s">
        <v>402</v>
      </c>
      <c r="D210" s="296" t="s">
        <v>403</v>
      </c>
      <c r="E210" s="296" t="s">
        <v>404</v>
      </c>
      <c r="F210" s="297" t="s">
        <v>512</v>
      </c>
    </row>
    <row r="211" spans="1:16" ht="26.25" customHeight="1" thickBot="1" x14ac:dyDescent="0.25">
      <c r="A211" s="337" t="s">
        <v>571</v>
      </c>
      <c r="B211" s="338" t="s">
        <v>650</v>
      </c>
      <c r="C211" s="329">
        <v>6207000</v>
      </c>
      <c r="D211" s="329">
        <f>F211-C211</f>
        <v>0</v>
      </c>
      <c r="E211" s="330">
        <f>F211/C211*100</f>
        <v>100</v>
      </c>
      <c r="F211" s="331">
        <f>'[1]Kiadások részletes COFOG'!F346</f>
        <v>6207000</v>
      </c>
      <c r="G211" s="42"/>
    </row>
    <row r="212" spans="1:16" ht="24" customHeight="1" thickBot="1" x14ac:dyDescent="0.25">
      <c r="A212" s="845" t="s">
        <v>590</v>
      </c>
      <c r="B212" s="845"/>
      <c r="C212" s="210">
        <f>C211</f>
        <v>6207000</v>
      </c>
      <c r="D212" s="210">
        <f>SUM(D211)</f>
        <v>0</v>
      </c>
      <c r="E212" s="339">
        <f>F212/C212*100</f>
        <v>100</v>
      </c>
      <c r="F212" s="212">
        <f>SUM(F211)</f>
        <v>6207000</v>
      </c>
    </row>
    <row r="213" spans="1:16" ht="24.75" customHeight="1" thickBot="1" x14ac:dyDescent="0.25">
      <c r="A213" s="853" t="s">
        <v>487</v>
      </c>
      <c r="B213" s="853"/>
      <c r="C213" s="853"/>
      <c r="D213" s="853"/>
      <c r="E213" s="853"/>
      <c r="F213" s="853"/>
    </row>
    <row r="214" spans="1:16" ht="21.75" customHeight="1" thickBot="1" x14ac:dyDescent="0.25">
      <c r="A214" s="868" t="s">
        <v>399</v>
      </c>
      <c r="B214" s="869" t="s">
        <v>400</v>
      </c>
      <c r="C214" s="870">
        <v>2019</v>
      </c>
      <c r="D214" s="871"/>
      <c r="E214" s="871"/>
      <c r="F214" s="872"/>
      <c r="M214" s="181"/>
      <c r="N214" s="181"/>
      <c r="O214" s="181"/>
      <c r="P214" s="181"/>
    </row>
    <row r="215" spans="1:16" ht="24.75" customHeight="1" thickBot="1" x14ac:dyDescent="0.25">
      <c r="A215" s="868"/>
      <c r="B215" s="869"/>
      <c r="C215" s="296" t="s">
        <v>402</v>
      </c>
      <c r="D215" s="296" t="s">
        <v>403</v>
      </c>
      <c r="E215" s="296" t="s">
        <v>404</v>
      </c>
      <c r="F215" s="297" t="s">
        <v>512</v>
      </c>
      <c r="O215" s="1"/>
    </row>
    <row r="216" spans="1:16" ht="15.95" customHeight="1" x14ac:dyDescent="0.2">
      <c r="A216" s="195" t="s">
        <v>513</v>
      </c>
      <c r="B216" s="191" t="s">
        <v>638</v>
      </c>
      <c r="C216" s="268">
        <v>2531420</v>
      </c>
      <c r="D216" s="268">
        <f>F216-C216</f>
        <v>0</v>
      </c>
      <c r="E216" s="280">
        <f>F216/C216*100</f>
        <v>100</v>
      </c>
      <c r="F216" s="269">
        <f>'[1]Kiadások részletes COFOG'!F353</f>
        <v>2531420</v>
      </c>
      <c r="L216" s="3"/>
      <c r="O216" s="340"/>
    </row>
    <row r="217" spans="1:16" ht="15.95" customHeight="1" x14ac:dyDescent="0.2">
      <c r="A217" s="195" t="s">
        <v>641</v>
      </c>
      <c r="B217" s="191" t="s">
        <v>642</v>
      </c>
      <c r="C217" s="268">
        <v>24000</v>
      </c>
      <c r="D217" s="268">
        <f t="shared" ref="D217:D228" si="21">F217-C217</f>
        <v>0</v>
      </c>
      <c r="E217" s="280"/>
      <c r="F217" s="269">
        <f>'[1]Kiadások részletes COFOG'!F354</f>
        <v>24000</v>
      </c>
      <c r="O217" s="340"/>
    </row>
    <row r="218" spans="1:16" ht="18.75" customHeight="1" x14ac:dyDescent="0.2">
      <c r="A218" s="195" t="s">
        <v>626</v>
      </c>
      <c r="B218" s="191" t="s">
        <v>627</v>
      </c>
      <c r="C218" s="268">
        <v>12000</v>
      </c>
      <c r="D218" s="268">
        <f t="shared" si="21"/>
        <v>0</v>
      </c>
      <c r="E218" s="280"/>
      <c r="F218" s="269">
        <f>'[1]Kiadások részletes COFOG'!F355</f>
        <v>12000</v>
      </c>
    </row>
    <row r="219" spans="1:16" ht="15.95" customHeight="1" x14ac:dyDescent="0.2">
      <c r="A219" s="195" t="s">
        <v>527</v>
      </c>
      <c r="B219" s="191" t="s">
        <v>528</v>
      </c>
      <c r="C219" s="268">
        <v>513484</v>
      </c>
      <c r="D219" s="268">
        <f t="shared" si="21"/>
        <v>0</v>
      </c>
      <c r="E219" s="280">
        <f t="shared" ref="E219:E224" si="22">F219/C219*100</f>
        <v>100</v>
      </c>
      <c r="F219" s="269">
        <f>'[1]Kiadások részletes COFOG'!F357</f>
        <v>513484</v>
      </c>
      <c r="K219" s="3"/>
      <c r="L219" s="3"/>
      <c r="O219" s="340"/>
    </row>
    <row r="220" spans="1:16" ht="15.95" customHeight="1" x14ac:dyDescent="0.2">
      <c r="A220" s="195" t="s">
        <v>533</v>
      </c>
      <c r="B220" s="191" t="s">
        <v>534</v>
      </c>
      <c r="C220" s="283">
        <v>30000</v>
      </c>
      <c r="D220" s="268">
        <f t="shared" si="21"/>
        <v>20000</v>
      </c>
      <c r="E220" s="280">
        <f t="shared" si="22"/>
        <v>166.66666666666669</v>
      </c>
      <c r="F220" s="284">
        <f>'[1]Kiadások részletes COFOG'!F361</f>
        <v>50000</v>
      </c>
      <c r="M220" s="341"/>
      <c r="N220" s="181"/>
      <c r="O220" s="342"/>
    </row>
    <row r="221" spans="1:16" ht="15.95" customHeight="1" x14ac:dyDescent="0.2">
      <c r="A221" s="195" t="s">
        <v>606</v>
      </c>
      <c r="B221" s="191" t="s">
        <v>607</v>
      </c>
      <c r="C221" s="283">
        <v>12361854</v>
      </c>
      <c r="D221" s="268">
        <f t="shared" si="21"/>
        <v>-1200000</v>
      </c>
      <c r="E221" s="280">
        <f t="shared" si="22"/>
        <v>90.292718228188107</v>
      </c>
      <c r="F221" s="284">
        <f>'[1]Kiadások részletes COFOG'!F362</f>
        <v>11161854</v>
      </c>
      <c r="G221" s="42"/>
    </row>
    <row r="222" spans="1:16" ht="15.95" customHeight="1" x14ac:dyDescent="0.2">
      <c r="A222" s="195" t="s">
        <v>551</v>
      </c>
      <c r="B222" s="191" t="s">
        <v>552</v>
      </c>
      <c r="C222" s="283">
        <v>0</v>
      </c>
      <c r="D222" s="268">
        <f t="shared" si="21"/>
        <v>23000</v>
      </c>
      <c r="E222" s="280"/>
      <c r="F222" s="284">
        <f>'[1]Kiadások részletes COFOG'!F363</f>
        <v>23000</v>
      </c>
      <c r="G222" s="42"/>
    </row>
    <row r="223" spans="1:16" ht="15.95" customHeight="1" x14ac:dyDescent="0.2">
      <c r="A223" s="195" t="s">
        <v>553</v>
      </c>
      <c r="B223" s="191" t="s">
        <v>602</v>
      </c>
      <c r="C223" s="283">
        <v>50000</v>
      </c>
      <c r="D223" s="268">
        <f t="shared" si="21"/>
        <v>0</v>
      </c>
      <c r="E223" s="280">
        <f t="shared" si="22"/>
        <v>100</v>
      </c>
      <c r="F223" s="284">
        <f>'[1]Kiadások részletes COFOG'!F364</f>
        <v>50000</v>
      </c>
    </row>
    <row r="224" spans="1:16" ht="21.75" customHeight="1" x14ac:dyDescent="0.2">
      <c r="A224" s="195" t="s">
        <v>557</v>
      </c>
      <c r="B224" s="191" t="s">
        <v>558</v>
      </c>
      <c r="C224" s="283">
        <v>3359301</v>
      </c>
      <c r="D224" s="268">
        <f t="shared" si="21"/>
        <v>-324000</v>
      </c>
      <c r="E224" s="280">
        <f t="shared" si="22"/>
        <v>90.355136381050698</v>
      </c>
      <c r="F224" s="284">
        <f>'[1]Kiadások részletes COFOG'!F365</f>
        <v>3035301</v>
      </c>
    </row>
    <row r="225" spans="1:15" ht="18" customHeight="1" x14ac:dyDescent="0.2">
      <c r="A225" s="197" t="s">
        <v>580</v>
      </c>
      <c r="B225" s="207" t="s">
        <v>651</v>
      </c>
      <c r="C225" s="343">
        <v>0</v>
      </c>
      <c r="D225" s="268">
        <f t="shared" si="21"/>
        <v>0</v>
      </c>
      <c r="E225" s="280"/>
      <c r="F225" s="344">
        <f>'[1]Kiadások részletes COFOG'!F367</f>
        <v>0</v>
      </c>
    </row>
    <row r="226" spans="1:15" ht="21.75" customHeight="1" x14ac:dyDescent="0.2">
      <c r="A226" s="197" t="s">
        <v>582</v>
      </c>
      <c r="B226" s="207" t="s">
        <v>583</v>
      </c>
      <c r="C226" s="343">
        <v>0</v>
      </c>
      <c r="D226" s="268">
        <f t="shared" si="21"/>
        <v>0</v>
      </c>
      <c r="E226" s="280"/>
      <c r="F226" s="344">
        <f>'[1]Kiadások részletes COFOG'!F368</f>
        <v>0</v>
      </c>
    </row>
    <row r="227" spans="1:15" ht="21.75" customHeight="1" x14ac:dyDescent="0.2">
      <c r="A227" s="197" t="s">
        <v>652</v>
      </c>
      <c r="B227" s="207" t="s">
        <v>585</v>
      </c>
      <c r="C227" s="343">
        <v>0</v>
      </c>
      <c r="D227" s="268">
        <f t="shared" si="21"/>
        <v>0</v>
      </c>
      <c r="E227" s="280"/>
      <c r="F227" s="344">
        <f>'[1]Kiadások részletes COFOG'!F369</f>
        <v>0</v>
      </c>
    </row>
    <row r="228" spans="1:15" ht="22.5" customHeight="1" thickBot="1" x14ac:dyDescent="0.25">
      <c r="A228" s="197" t="s">
        <v>653</v>
      </c>
      <c r="B228" s="207" t="s">
        <v>587</v>
      </c>
      <c r="C228" s="343">
        <v>0</v>
      </c>
      <c r="D228" s="268">
        <f t="shared" si="21"/>
        <v>0</v>
      </c>
      <c r="E228" s="280"/>
      <c r="F228" s="344">
        <f>'[1]Kiadások részletes COFOG'!F370</f>
        <v>0</v>
      </c>
      <c r="G228" s="181"/>
      <c r="H228" s="306"/>
      <c r="I228" s="181"/>
      <c r="J228" s="181"/>
      <c r="K228" s="181"/>
      <c r="L228" s="181"/>
      <c r="M228" s="181"/>
      <c r="N228" s="181"/>
      <c r="O228" s="181"/>
    </row>
    <row r="229" spans="1:15" ht="23.25" customHeight="1" thickBot="1" x14ac:dyDescent="0.25">
      <c r="A229" s="845" t="s">
        <v>590</v>
      </c>
      <c r="B229" s="845"/>
      <c r="C229" s="345">
        <f>SUM(C216:C228)</f>
        <v>18882059</v>
      </c>
      <c r="D229" s="345">
        <f>SUM(D216:D228)</f>
        <v>-1481000</v>
      </c>
      <c r="E229" s="346">
        <f>F229/C229*100</f>
        <v>92.156575720899923</v>
      </c>
      <c r="F229" s="347">
        <f>SUM(F216:F228)</f>
        <v>17401059</v>
      </c>
    </row>
    <row r="230" spans="1:15" ht="24" customHeight="1" thickBot="1" x14ac:dyDescent="0.25">
      <c r="A230" s="853" t="s">
        <v>654</v>
      </c>
      <c r="B230" s="853"/>
      <c r="C230" s="853"/>
      <c r="D230" s="853"/>
      <c r="E230" s="853"/>
      <c r="F230" s="853"/>
    </row>
    <row r="231" spans="1:15" ht="22.5" customHeight="1" thickBot="1" x14ac:dyDescent="0.25">
      <c r="A231" s="868" t="s">
        <v>399</v>
      </c>
      <c r="B231" s="869" t="s">
        <v>400</v>
      </c>
      <c r="C231" s="870">
        <v>2019</v>
      </c>
      <c r="D231" s="871"/>
      <c r="E231" s="871"/>
      <c r="F231" s="872"/>
      <c r="L231" s="304"/>
    </row>
    <row r="232" spans="1:15" ht="24.75" customHeight="1" thickBot="1" x14ac:dyDescent="0.25">
      <c r="A232" s="868"/>
      <c r="B232" s="869"/>
      <c r="C232" s="296" t="s">
        <v>402</v>
      </c>
      <c r="D232" s="296" t="s">
        <v>403</v>
      </c>
      <c r="E232" s="296" t="s">
        <v>404</v>
      </c>
      <c r="F232" s="297" t="s">
        <v>512</v>
      </c>
    </row>
    <row r="233" spans="1:15" ht="28.5" customHeight="1" thickBot="1" x14ac:dyDescent="0.25">
      <c r="A233" s="337" t="s">
        <v>655</v>
      </c>
      <c r="B233" s="338" t="s">
        <v>656</v>
      </c>
      <c r="C233" s="348">
        <v>6556000</v>
      </c>
      <c r="D233" s="348">
        <f>F233-C233</f>
        <v>200000</v>
      </c>
      <c r="E233" s="330">
        <f>F233/C233*100</f>
        <v>103.05064063453324</v>
      </c>
      <c r="F233" s="349">
        <f>'[1]Kiadások részletes COFOG'!F375+'[1]Kiadások részletes COFOG'!F376</f>
        <v>6756000</v>
      </c>
      <c r="G233" s="42"/>
      <c r="H233" s="326"/>
    </row>
    <row r="234" spans="1:15" ht="24" customHeight="1" thickBot="1" x14ac:dyDescent="0.25">
      <c r="A234" s="845" t="s">
        <v>590</v>
      </c>
      <c r="B234" s="845"/>
      <c r="C234" s="350">
        <f>C233</f>
        <v>6556000</v>
      </c>
      <c r="D234" s="350">
        <f>SUM(D233)</f>
        <v>200000</v>
      </c>
      <c r="E234" s="339">
        <f>F234/C234*100</f>
        <v>103.05064063453324</v>
      </c>
      <c r="F234" s="347">
        <f>SUM(F233)</f>
        <v>6756000</v>
      </c>
    </row>
    <row r="235" spans="1:15" ht="26.25" customHeight="1" thickBot="1" x14ac:dyDescent="0.25">
      <c r="A235" s="853" t="s">
        <v>490</v>
      </c>
      <c r="B235" s="853"/>
      <c r="C235" s="853"/>
      <c r="D235" s="853"/>
      <c r="E235" s="853"/>
      <c r="F235" s="853"/>
    </row>
    <row r="236" spans="1:15" ht="17.25" customHeight="1" thickBot="1" x14ac:dyDescent="0.25">
      <c r="A236" s="868" t="s">
        <v>399</v>
      </c>
      <c r="B236" s="869" t="s">
        <v>400</v>
      </c>
      <c r="C236" s="870">
        <v>2019</v>
      </c>
      <c r="D236" s="871"/>
      <c r="E236" s="871"/>
      <c r="F236" s="872"/>
    </row>
    <row r="237" spans="1:15" ht="25.5" customHeight="1" thickBot="1" x14ac:dyDescent="0.25">
      <c r="A237" s="868"/>
      <c r="B237" s="869"/>
      <c r="C237" s="296" t="s">
        <v>402</v>
      </c>
      <c r="D237" s="296" t="s">
        <v>403</v>
      </c>
      <c r="E237" s="296" t="s">
        <v>404</v>
      </c>
      <c r="F237" s="297" t="s">
        <v>512</v>
      </c>
    </row>
    <row r="238" spans="1:15" ht="21" customHeight="1" x14ac:dyDescent="0.2">
      <c r="A238" s="197" t="s">
        <v>606</v>
      </c>
      <c r="B238" s="207" t="s">
        <v>657</v>
      </c>
      <c r="C238" s="274">
        <v>0</v>
      </c>
      <c r="D238" s="274">
        <f>F238-C238</f>
        <v>1200000</v>
      </c>
      <c r="E238" s="274"/>
      <c r="F238" s="281">
        <f>'[1]Kiadások részletes COFOG'!F381</f>
        <v>1200000</v>
      </c>
    </row>
    <row r="239" spans="1:15" ht="21" customHeight="1" thickBot="1" x14ac:dyDescent="0.25">
      <c r="A239" s="197" t="s">
        <v>557</v>
      </c>
      <c r="B239" s="307" t="s">
        <v>558</v>
      </c>
      <c r="C239" s="274">
        <v>0</v>
      </c>
      <c r="D239" s="274">
        <f>F239-C239</f>
        <v>324000</v>
      </c>
      <c r="E239" s="274"/>
      <c r="F239" s="281">
        <f>'[1]Kiadások részletes COFOG'!F382</f>
        <v>324000</v>
      </c>
    </row>
    <row r="240" spans="1:15" ht="19.5" customHeight="1" thickBot="1" x14ac:dyDescent="0.25">
      <c r="A240" s="845" t="s">
        <v>590</v>
      </c>
      <c r="B240" s="845"/>
      <c r="C240" s="210">
        <f>C238+C239</f>
        <v>0</v>
      </c>
      <c r="D240" s="210">
        <f>D238+D239</f>
        <v>1524000</v>
      </c>
      <c r="E240" s="210"/>
      <c r="F240" s="212">
        <f>F238+F239</f>
        <v>1524000</v>
      </c>
    </row>
    <row r="241" spans="1:12" ht="22.5" customHeight="1" thickBot="1" x14ac:dyDescent="0.25">
      <c r="A241" s="853" t="s">
        <v>658</v>
      </c>
      <c r="B241" s="853"/>
      <c r="C241" s="853"/>
      <c r="D241" s="853"/>
      <c r="E241" s="853"/>
      <c r="F241" s="853"/>
    </row>
    <row r="242" spans="1:12" ht="19.5" customHeight="1" thickBot="1" x14ac:dyDescent="0.25">
      <c r="A242" s="868" t="s">
        <v>399</v>
      </c>
      <c r="B242" s="869" t="s">
        <v>400</v>
      </c>
      <c r="C242" s="870">
        <v>2019</v>
      </c>
      <c r="D242" s="871"/>
      <c r="E242" s="871"/>
      <c r="F242" s="872"/>
    </row>
    <row r="243" spans="1:12" ht="21.75" customHeight="1" thickBot="1" x14ac:dyDescent="0.25">
      <c r="A243" s="868"/>
      <c r="B243" s="869"/>
      <c r="C243" s="296" t="s">
        <v>402</v>
      </c>
      <c r="D243" s="296" t="s">
        <v>403</v>
      </c>
      <c r="E243" s="296" t="s">
        <v>404</v>
      </c>
      <c r="F243" s="297" t="s">
        <v>512</v>
      </c>
    </row>
    <row r="244" spans="1:12" ht="19.5" customHeight="1" x14ac:dyDescent="0.2">
      <c r="A244" s="303" t="s">
        <v>606</v>
      </c>
      <c r="B244" s="351" t="s">
        <v>607</v>
      </c>
      <c r="C244" s="268">
        <v>27559</v>
      </c>
      <c r="D244" s="268">
        <f>F244-C244</f>
        <v>0</v>
      </c>
      <c r="E244" s="280">
        <f>F244/C244*100</f>
        <v>100</v>
      </c>
      <c r="F244" s="269">
        <f>'[1]Kiadások részletes COFOG'!F392</f>
        <v>27559</v>
      </c>
    </row>
    <row r="245" spans="1:12" ht="19.5" customHeight="1" thickBot="1" x14ac:dyDescent="0.25">
      <c r="A245" s="303" t="s">
        <v>557</v>
      </c>
      <c r="B245" s="351" t="s">
        <v>558</v>
      </c>
      <c r="C245" s="268">
        <v>7441</v>
      </c>
      <c r="D245" s="268">
        <f>F245-C245</f>
        <v>-6.9999999999708962E-2</v>
      </c>
      <c r="E245" s="280">
        <f>F245/C245*100</f>
        <v>99.999059266227661</v>
      </c>
      <c r="F245" s="269">
        <f>'[1]Kiadások részletes COFOG'!F393</f>
        <v>7440.93</v>
      </c>
    </row>
    <row r="246" spans="1:12" ht="19.5" customHeight="1" thickBot="1" x14ac:dyDescent="0.25">
      <c r="A246" s="845" t="s">
        <v>590</v>
      </c>
      <c r="B246" s="845"/>
      <c r="C246" s="210">
        <f>SUM(C244:C245)</f>
        <v>35000</v>
      </c>
      <c r="D246" s="210">
        <f>SUM(D244:D245)</f>
        <v>-6.9999999999708962E-2</v>
      </c>
      <c r="E246" s="211">
        <f>F246/C246*100</f>
        <v>99.999800000000008</v>
      </c>
      <c r="F246" s="212">
        <f>SUM(F244:F245)</f>
        <v>34999.93</v>
      </c>
    </row>
    <row r="247" spans="1:12" ht="23.25" customHeight="1" thickBot="1" x14ac:dyDescent="0.25">
      <c r="A247" s="853" t="s">
        <v>506</v>
      </c>
      <c r="B247" s="853"/>
      <c r="C247" s="853"/>
      <c r="D247" s="853"/>
      <c r="E247" s="853"/>
      <c r="F247" s="853"/>
    </row>
    <row r="248" spans="1:12" ht="16.5" customHeight="1" thickBot="1" x14ac:dyDescent="0.25">
      <c r="A248" s="868" t="s">
        <v>399</v>
      </c>
      <c r="B248" s="869" t="s">
        <v>400</v>
      </c>
      <c r="C248" s="870">
        <v>2019</v>
      </c>
      <c r="D248" s="871"/>
      <c r="E248" s="871"/>
      <c r="F248" s="872"/>
    </row>
    <row r="249" spans="1:12" ht="25.5" customHeight="1" thickBot="1" x14ac:dyDescent="0.25">
      <c r="A249" s="868"/>
      <c r="B249" s="869"/>
      <c r="C249" s="296" t="s">
        <v>402</v>
      </c>
      <c r="D249" s="296" t="s">
        <v>403</v>
      </c>
      <c r="E249" s="296" t="s">
        <v>404</v>
      </c>
      <c r="F249" s="297" t="s">
        <v>512</v>
      </c>
    </row>
    <row r="250" spans="1:12" ht="25.5" customHeight="1" thickBot="1" x14ac:dyDescent="0.25">
      <c r="A250" s="308" t="s">
        <v>659</v>
      </c>
      <c r="B250" s="309" t="s">
        <v>660</v>
      </c>
      <c r="C250" s="352">
        <v>0</v>
      </c>
      <c r="D250" s="310">
        <f>F250-C250</f>
        <v>103500</v>
      </c>
      <c r="E250" s="275"/>
      <c r="F250" s="353">
        <f>'[1]Kiadások részletes COFOG'!F387</f>
        <v>103500</v>
      </c>
    </row>
    <row r="251" spans="1:12" ht="21" customHeight="1" thickBot="1" x14ac:dyDescent="0.25">
      <c r="A251" s="845" t="s">
        <v>590</v>
      </c>
      <c r="B251" s="845"/>
      <c r="C251" s="210">
        <f>C250</f>
        <v>0</v>
      </c>
      <c r="D251" s="210">
        <f>SUM(D250:D250)</f>
        <v>103500</v>
      </c>
      <c r="E251" s="211"/>
      <c r="F251" s="212">
        <f>SUM(F250:F250)</f>
        <v>103500</v>
      </c>
    </row>
    <row r="252" spans="1:12" ht="24.75" customHeight="1" thickBot="1" x14ac:dyDescent="0.25">
      <c r="A252" s="853" t="s">
        <v>661</v>
      </c>
      <c r="B252" s="853"/>
      <c r="C252" s="853"/>
      <c r="D252" s="853"/>
      <c r="E252" s="853"/>
      <c r="F252" s="853"/>
    </row>
    <row r="253" spans="1:12" ht="15.75" customHeight="1" thickBot="1" x14ac:dyDescent="0.25">
      <c r="A253" s="868" t="s">
        <v>399</v>
      </c>
      <c r="B253" s="869" t="s">
        <v>400</v>
      </c>
      <c r="C253" s="870">
        <v>2019</v>
      </c>
      <c r="D253" s="871"/>
      <c r="E253" s="871"/>
      <c r="F253" s="872"/>
    </row>
    <row r="254" spans="1:12" ht="24" customHeight="1" thickBot="1" x14ac:dyDescent="0.25">
      <c r="A254" s="868"/>
      <c r="B254" s="869"/>
      <c r="C254" s="296" t="s">
        <v>402</v>
      </c>
      <c r="D254" s="296" t="s">
        <v>403</v>
      </c>
      <c r="E254" s="296" t="s">
        <v>404</v>
      </c>
      <c r="F254" s="297" t="s">
        <v>512</v>
      </c>
    </row>
    <row r="255" spans="1:12" ht="24" customHeight="1" x14ac:dyDescent="0.2">
      <c r="A255" s="195" t="s">
        <v>551</v>
      </c>
      <c r="B255" s="191" t="s">
        <v>552</v>
      </c>
      <c r="C255" s="283">
        <v>25500</v>
      </c>
      <c r="D255" s="283">
        <v>0</v>
      </c>
      <c r="E255" s="354"/>
      <c r="F255" s="284">
        <f>'[1]Kiadások részletes COFOG'!F398</f>
        <v>25500</v>
      </c>
    </row>
    <row r="256" spans="1:12" ht="24.75" customHeight="1" thickBot="1" x14ac:dyDescent="0.25">
      <c r="A256" s="197" t="s">
        <v>655</v>
      </c>
      <c r="B256" s="207" t="s">
        <v>662</v>
      </c>
      <c r="C256" s="343">
        <v>400000</v>
      </c>
      <c r="D256" s="343">
        <f>F256-C256</f>
        <v>0</v>
      </c>
      <c r="E256" s="355">
        <f>F256/C256*100</f>
        <v>100</v>
      </c>
      <c r="F256" s="344">
        <f>'[1]Kiadások részletes COFOG'!F399</f>
        <v>400000</v>
      </c>
      <c r="G256" s="314"/>
      <c r="L256" s="181"/>
    </row>
    <row r="257" spans="1:15" ht="21.75" customHeight="1" thickBot="1" x14ac:dyDescent="0.25">
      <c r="A257" s="845" t="s">
        <v>590</v>
      </c>
      <c r="B257" s="845"/>
      <c r="C257" s="350">
        <f>SUM(C255:C256)</f>
        <v>425500</v>
      </c>
      <c r="D257" s="350">
        <f>SUM(D255:D256)</f>
        <v>0</v>
      </c>
      <c r="E257" s="356">
        <f>F257/C257*100</f>
        <v>100</v>
      </c>
      <c r="F257" s="347">
        <f>SUM(F255:F256)</f>
        <v>425500</v>
      </c>
    </row>
    <row r="258" spans="1:15" ht="24.75" customHeight="1" thickBot="1" x14ac:dyDescent="0.25">
      <c r="A258" s="852" t="s">
        <v>663</v>
      </c>
      <c r="B258" s="852"/>
      <c r="C258" s="852"/>
      <c r="D258" s="852"/>
      <c r="E258" s="852"/>
      <c r="F258" s="852"/>
    </row>
    <row r="259" spans="1:15" ht="18.75" customHeight="1" thickBot="1" x14ac:dyDescent="0.25">
      <c r="A259" s="868" t="s">
        <v>399</v>
      </c>
      <c r="B259" s="869" t="s">
        <v>400</v>
      </c>
      <c r="C259" s="870">
        <v>2019</v>
      </c>
      <c r="D259" s="871"/>
      <c r="E259" s="871"/>
      <c r="F259" s="872"/>
    </row>
    <row r="260" spans="1:15" ht="25.5" customHeight="1" thickBot="1" x14ac:dyDescent="0.25">
      <c r="A260" s="868"/>
      <c r="B260" s="869"/>
      <c r="C260" s="296" t="s">
        <v>402</v>
      </c>
      <c r="D260" s="296" t="s">
        <v>403</v>
      </c>
      <c r="E260" s="296" t="s">
        <v>404</v>
      </c>
      <c r="F260" s="297" t="s">
        <v>512</v>
      </c>
    </row>
    <row r="261" spans="1:15" ht="21" customHeight="1" x14ac:dyDescent="0.2">
      <c r="A261" s="308" t="s">
        <v>533</v>
      </c>
      <c r="B261" s="309" t="s">
        <v>664</v>
      </c>
      <c r="C261" s="310">
        <v>0</v>
      </c>
      <c r="D261" s="310">
        <f>F261-C261</f>
        <v>2758000</v>
      </c>
      <c r="E261" s="311"/>
      <c r="F261" s="312">
        <f>'[1]Kiadások részletes COFOG'!F404+'[1]Kiadások részletes COFOG'!F405</f>
        <v>2758000</v>
      </c>
    </row>
    <row r="262" spans="1:15" ht="21" customHeight="1" x14ac:dyDescent="0.2">
      <c r="A262" s="308" t="s">
        <v>545</v>
      </c>
      <c r="B262" s="309" t="s">
        <v>546</v>
      </c>
      <c r="C262" s="310">
        <v>0</v>
      </c>
      <c r="D262" s="310">
        <f t="shared" ref="D262:D267" si="23">F262-C262</f>
        <v>0</v>
      </c>
      <c r="E262" s="311"/>
      <c r="F262" s="312">
        <v>0</v>
      </c>
    </row>
    <row r="263" spans="1:15" ht="18.75" customHeight="1" x14ac:dyDescent="0.2">
      <c r="A263" s="308" t="s">
        <v>553</v>
      </c>
      <c r="B263" s="309" t="s">
        <v>665</v>
      </c>
      <c r="C263" s="310">
        <v>0</v>
      </c>
      <c r="D263" s="310">
        <f t="shared" si="23"/>
        <v>500000</v>
      </c>
      <c r="E263" s="311"/>
      <c r="F263" s="312">
        <f>'[1]Kiadások részletes COFOG'!F406</f>
        <v>500000</v>
      </c>
    </row>
    <row r="264" spans="1:15" ht="18" customHeight="1" x14ac:dyDescent="0.2">
      <c r="A264" s="308" t="s">
        <v>557</v>
      </c>
      <c r="B264" s="309" t="s">
        <v>666</v>
      </c>
      <c r="C264" s="310">
        <v>0</v>
      </c>
      <c r="D264" s="310">
        <f t="shared" si="23"/>
        <v>900000</v>
      </c>
      <c r="E264" s="311"/>
      <c r="F264" s="312">
        <f>'[1]Kiadások részletes COFOG'!F407</f>
        <v>900000</v>
      </c>
    </row>
    <row r="265" spans="1:15" ht="18" customHeight="1" x14ac:dyDescent="0.2">
      <c r="A265" s="308" t="s">
        <v>667</v>
      </c>
      <c r="B265" s="309" t="s">
        <v>668</v>
      </c>
      <c r="C265" s="310">
        <v>500000</v>
      </c>
      <c r="D265" s="310">
        <f t="shared" si="23"/>
        <v>0</v>
      </c>
      <c r="E265" s="311">
        <f>F265/C265*100</f>
        <v>100</v>
      </c>
      <c r="F265" s="312">
        <f>'[1]Kiadások részletes COFOG'!F408</f>
        <v>500000</v>
      </c>
    </row>
    <row r="266" spans="1:15" ht="24" customHeight="1" x14ac:dyDescent="0.2">
      <c r="A266" s="195" t="s">
        <v>667</v>
      </c>
      <c r="B266" s="191" t="s">
        <v>669</v>
      </c>
      <c r="C266" s="268">
        <v>5017000</v>
      </c>
      <c r="D266" s="310">
        <f t="shared" si="23"/>
        <v>0</v>
      </c>
      <c r="E266" s="311">
        <f t="shared" ref="E266:E267" si="24">F266/C266*100</f>
        <v>100</v>
      </c>
      <c r="F266" s="269">
        <f>'[1]Kiadások részletes COFOG'!F409</f>
        <v>5017000</v>
      </c>
    </row>
    <row r="267" spans="1:15" ht="21" customHeight="1" thickBot="1" x14ac:dyDescent="0.25">
      <c r="A267" s="197" t="s">
        <v>667</v>
      </c>
      <c r="B267" s="207" t="s">
        <v>670</v>
      </c>
      <c r="C267" s="274">
        <v>5190000</v>
      </c>
      <c r="D267" s="310">
        <f t="shared" si="23"/>
        <v>0</v>
      </c>
      <c r="E267" s="311">
        <f t="shared" si="24"/>
        <v>100</v>
      </c>
      <c r="F267" s="281">
        <f>'[1]Kiadások részletes COFOG'!F411</f>
        <v>5190000</v>
      </c>
      <c r="M267" s="357"/>
      <c r="N267" s="357"/>
      <c r="O267" s="358"/>
    </row>
    <row r="268" spans="1:15" ht="19.5" customHeight="1" thickBot="1" x14ac:dyDescent="0.25">
      <c r="A268" s="845" t="s">
        <v>590</v>
      </c>
      <c r="B268" s="845"/>
      <c r="C268" s="210">
        <f>SUM(C261:C267)</f>
        <v>10707000</v>
      </c>
      <c r="D268" s="210">
        <f>SUM(D261:D267)</f>
        <v>4158000</v>
      </c>
      <c r="E268" s="211">
        <f>SUM(E261:E267)</f>
        <v>300</v>
      </c>
      <c r="F268" s="212">
        <f>SUM(F261:F267)</f>
        <v>14865000</v>
      </c>
      <c r="M268" s="866"/>
      <c r="N268" s="866"/>
      <c r="O268" s="358"/>
    </row>
    <row r="269" spans="1:15" x14ac:dyDescent="0.2">
      <c r="M269" s="866"/>
      <c r="N269" s="866"/>
      <c r="O269" s="358"/>
    </row>
    <row r="270" spans="1:15" ht="6.75" customHeight="1" x14ac:dyDescent="0.2">
      <c r="M270" s="866"/>
      <c r="N270" s="866"/>
      <c r="O270" s="358"/>
    </row>
    <row r="271" spans="1:15" ht="0.75" customHeight="1" thickBot="1" x14ac:dyDescent="0.25">
      <c r="M271" s="866"/>
      <c r="N271" s="866"/>
      <c r="O271" s="358"/>
    </row>
    <row r="272" spans="1:15" ht="21.75" customHeight="1" thickBot="1" x14ac:dyDescent="0.25">
      <c r="A272" s="359" t="s">
        <v>188</v>
      </c>
      <c r="B272" s="360"/>
      <c r="C272" s="361">
        <f>C50+C65+C76+C86+C92+C97+C107+C116+C127+C135+C143+C167+C189+C195+C207+C212+C229+C234+C240+C246+C251+C257+C268</f>
        <v>425416438</v>
      </c>
      <c r="D272" s="361">
        <f>D50+D65+D76+D86+D92+D97+D107+D116+D127+D135+D143+D167+D189+D195+D207+D212+D229+D234+D240+D246+D251+D257+D268</f>
        <v>66946905.93</v>
      </c>
      <c r="E272" s="361">
        <f>E50+E65+E76+E86+E92+E97+E107+E116+E127+E135+E143+E167+E189+E195+E207+E212+E229+E234+E240+E246+E251+E257+E268</f>
        <v>2809.2951303790992</v>
      </c>
      <c r="F272" s="361">
        <f>F50+F65+F76+F86+F92+F97+F107+F116+F127+F135+F143+F167+F189+F195+F207+F212+F229+F234+F240+F246+F251+F257+F268</f>
        <v>492363343.93000001</v>
      </c>
      <c r="M272" s="867"/>
      <c r="N272" s="867"/>
      <c r="O272" s="358"/>
    </row>
    <row r="273" spans="3:15" x14ac:dyDescent="0.2">
      <c r="O273" s="358"/>
    </row>
    <row r="274" spans="3:15" x14ac:dyDescent="0.2">
      <c r="C274" s="292"/>
      <c r="D274" s="292"/>
      <c r="E274" s="292"/>
      <c r="F274" s="292">
        <f>F272-'[1]Kiadások részletes COFOG'!F424</f>
        <v>0</v>
      </c>
    </row>
    <row r="277" spans="3:15" x14ac:dyDescent="0.2">
      <c r="K277" s="3"/>
    </row>
    <row r="280" spans="3:15" x14ac:dyDescent="0.2">
      <c r="K280" s="3"/>
    </row>
    <row r="283" spans="3:15" x14ac:dyDescent="0.2">
      <c r="K283" s="3"/>
    </row>
    <row r="285" spans="3:15" x14ac:dyDescent="0.2">
      <c r="N285" s="3"/>
    </row>
    <row r="286" spans="3:15" x14ac:dyDescent="0.2">
      <c r="N286" s="3"/>
    </row>
    <row r="290" spans="11:12" x14ac:dyDescent="0.2">
      <c r="L290" s="3"/>
    </row>
    <row r="293" spans="11:12" x14ac:dyDescent="0.2">
      <c r="L293" s="3"/>
    </row>
    <row r="297" spans="11:12" x14ac:dyDescent="0.2">
      <c r="K297" s="3"/>
    </row>
  </sheetData>
  <mergeCells count="127">
    <mergeCell ref="I75:J75"/>
    <mergeCell ref="A40:A42"/>
    <mergeCell ref="A50:B50"/>
    <mergeCell ref="A51:F51"/>
    <mergeCell ref="A52:A53"/>
    <mergeCell ref="B52:B53"/>
    <mergeCell ref="C52:F52"/>
    <mergeCell ref="E1:F1"/>
    <mergeCell ref="A2:F2"/>
    <mergeCell ref="A3:F3"/>
    <mergeCell ref="A5:F5"/>
    <mergeCell ref="A7:F7"/>
    <mergeCell ref="A8:A9"/>
    <mergeCell ref="B8:B9"/>
    <mergeCell ref="C8:F8"/>
    <mergeCell ref="A76:B76"/>
    <mergeCell ref="A77:F77"/>
    <mergeCell ref="A78:A79"/>
    <mergeCell ref="B78:B79"/>
    <mergeCell ref="C78:F78"/>
    <mergeCell ref="A86:B86"/>
    <mergeCell ref="A65:B65"/>
    <mergeCell ref="A66:F66"/>
    <mergeCell ref="A67:A68"/>
    <mergeCell ref="B67:B68"/>
    <mergeCell ref="C67:F67"/>
    <mergeCell ref="A94:A95"/>
    <mergeCell ref="B94:B95"/>
    <mergeCell ref="C94:F94"/>
    <mergeCell ref="A97:B97"/>
    <mergeCell ref="A98:F98"/>
    <mergeCell ref="A99:A100"/>
    <mergeCell ref="B99:B100"/>
    <mergeCell ref="C99:F99"/>
    <mergeCell ref="A87:F87"/>
    <mergeCell ref="A88:A89"/>
    <mergeCell ref="B88:B89"/>
    <mergeCell ref="C88:F88"/>
    <mergeCell ref="A92:B92"/>
    <mergeCell ref="A93:F93"/>
    <mergeCell ref="A117:F117"/>
    <mergeCell ref="A118:A119"/>
    <mergeCell ref="B118:B119"/>
    <mergeCell ref="C118:F118"/>
    <mergeCell ref="I125:J125"/>
    <mergeCell ref="A127:B127"/>
    <mergeCell ref="A107:B107"/>
    <mergeCell ref="A108:F108"/>
    <mergeCell ref="A109:A110"/>
    <mergeCell ref="B109:B110"/>
    <mergeCell ref="C109:F109"/>
    <mergeCell ref="A116:B116"/>
    <mergeCell ref="A137:A138"/>
    <mergeCell ref="B137:B138"/>
    <mergeCell ref="C137:F137"/>
    <mergeCell ref="A143:B143"/>
    <mergeCell ref="A144:F144"/>
    <mergeCell ref="A145:A146"/>
    <mergeCell ref="B145:B146"/>
    <mergeCell ref="C145:F145"/>
    <mergeCell ref="A128:F128"/>
    <mergeCell ref="A129:A130"/>
    <mergeCell ref="B129:B130"/>
    <mergeCell ref="C129:F129"/>
    <mergeCell ref="A135:B135"/>
    <mergeCell ref="A136:F136"/>
    <mergeCell ref="A190:F190"/>
    <mergeCell ref="A191:A192"/>
    <mergeCell ref="B191:B192"/>
    <mergeCell ref="C191:F191"/>
    <mergeCell ref="A195:B195"/>
    <mergeCell ref="A196:F196"/>
    <mergeCell ref="A167:B167"/>
    <mergeCell ref="A168:F168"/>
    <mergeCell ref="A169:A170"/>
    <mergeCell ref="B169:B170"/>
    <mergeCell ref="C169:F169"/>
    <mergeCell ref="A189:B189"/>
    <mergeCell ref="A212:B212"/>
    <mergeCell ref="A213:F213"/>
    <mergeCell ref="A214:A215"/>
    <mergeCell ref="B214:B215"/>
    <mergeCell ref="C214:F214"/>
    <mergeCell ref="A229:B229"/>
    <mergeCell ref="A197:A198"/>
    <mergeCell ref="B197:B198"/>
    <mergeCell ref="C197:F197"/>
    <mergeCell ref="A207:B207"/>
    <mergeCell ref="A208:F208"/>
    <mergeCell ref="A209:A210"/>
    <mergeCell ref="B209:B210"/>
    <mergeCell ref="C209:F209"/>
    <mergeCell ref="A236:A237"/>
    <mergeCell ref="B236:B237"/>
    <mergeCell ref="C236:F236"/>
    <mergeCell ref="A240:B240"/>
    <mergeCell ref="A241:F241"/>
    <mergeCell ref="A242:A243"/>
    <mergeCell ref="B242:B243"/>
    <mergeCell ref="C242:F242"/>
    <mergeCell ref="A230:F230"/>
    <mergeCell ref="A231:A232"/>
    <mergeCell ref="B231:B232"/>
    <mergeCell ref="C231:F231"/>
    <mergeCell ref="A234:B234"/>
    <mergeCell ref="A235:F235"/>
    <mergeCell ref="A252:F252"/>
    <mergeCell ref="A253:A254"/>
    <mergeCell ref="B253:B254"/>
    <mergeCell ref="C253:F253"/>
    <mergeCell ref="A257:B257"/>
    <mergeCell ref="A258:F258"/>
    <mergeCell ref="A246:B246"/>
    <mergeCell ref="A247:F247"/>
    <mergeCell ref="A248:A249"/>
    <mergeCell ref="B248:B249"/>
    <mergeCell ref="C248:F248"/>
    <mergeCell ref="A251:B251"/>
    <mergeCell ref="M270:N270"/>
    <mergeCell ref="M271:N271"/>
    <mergeCell ref="M272:N272"/>
    <mergeCell ref="A259:A260"/>
    <mergeCell ref="B259:B260"/>
    <mergeCell ref="C259:F259"/>
    <mergeCell ref="A268:B268"/>
    <mergeCell ref="M268:N268"/>
    <mergeCell ref="M269:N269"/>
  </mergeCells>
  <pageMargins left="0.7" right="0.7" top="0.75" bottom="0.75" header="0.3" footer="0.3"/>
  <pageSetup paperSize="9" scale="77" orientation="portrait" r:id="rId1"/>
  <rowBreaks count="5" manualBreakCount="5">
    <brk id="50" max="5" man="1"/>
    <brk id="96" max="5" man="1"/>
    <brk id="143" max="5" man="1"/>
    <brk id="195" max="5" man="1"/>
    <brk id="240" max="5" man="1"/>
  </rowBreaks>
  <colBreaks count="1" manualBreakCount="1">
    <brk id="6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F22"/>
  <sheetViews>
    <sheetView tabSelected="1" zoomScaleNormal="100" workbookViewId="0">
      <selection activeCell="I15" sqref="I15"/>
    </sheetView>
  </sheetViews>
  <sheetFormatPr defaultRowHeight="12.75" x14ac:dyDescent="0.2"/>
  <cols>
    <col min="1" max="1" width="5.28515625" customWidth="1"/>
    <col min="2" max="2" width="64.5703125" customWidth="1"/>
  </cols>
  <sheetData>
    <row r="1" spans="1:6" ht="15" x14ac:dyDescent="0.2">
      <c r="A1" s="987" t="s">
        <v>388</v>
      </c>
      <c r="B1" s="987"/>
      <c r="C1" s="987"/>
      <c r="D1" s="987"/>
      <c r="E1" s="987"/>
      <c r="F1" s="12"/>
    </row>
    <row r="2" spans="1:6" ht="15" x14ac:dyDescent="0.2">
      <c r="B2" s="11"/>
      <c r="C2" s="11"/>
      <c r="D2" s="11"/>
      <c r="E2" s="11"/>
      <c r="F2" s="11"/>
    </row>
    <row r="3" spans="1:6" ht="42" customHeight="1" x14ac:dyDescent="0.2">
      <c r="B3" s="1071" t="s">
        <v>268</v>
      </c>
      <c r="C3" s="1071"/>
      <c r="D3" s="1071"/>
      <c r="E3" s="1071"/>
    </row>
    <row r="4" spans="1:6" ht="15" thickBot="1" x14ac:dyDescent="0.25">
      <c r="B4" s="96"/>
      <c r="C4" s="96"/>
      <c r="D4" s="97"/>
      <c r="E4" s="98" t="s">
        <v>11</v>
      </c>
    </row>
    <row r="5" spans="1:6" ht="18.75" customHeight="1" thickBot="1" x14ac:dyDescent="0.3">
      <c r="A5" s="100"/>
      <c r="B5" s="101" t="s">
        <v>8</v>
      </c>
      <c r="C5" s="101">
        <v>2019</v>
      </c>
      <c r="D5" s="102">
        <v>2020</v>
      </c>
      <c r="E5" s="103">
        <v>2021</v>
      </c>
    </row>
    <row r="6" spans="1:6" ht="18.75" customHeight="1" x14ac:dyDescent="0.25">
      <c r="A6" s="112" t="s">
        <v>15</v>
      </c>
      <c r="B6" s="104" t="s">
        <v>269</v>
      </c>
      <c r="C6" s="121">
        <v>79500</v>
      </c>
      <c r="D6" s="121">
        <f t="shared" ref="D6:E6" si="0">D7+D8+D9+D10+D11+D12</f>
        <v>60300</v>
      </c>
      <c r="E6" s="123">
        <f t="shared" si="0"/>
        <v>61200</v>
      </c>
    </row>
    <row r="7" spans="1:6" ht="18.75" customHeight="1" x14ac:dyDescent="0.25">
      <c r="A7" s="113" t="s">
        <v>271</v>
      </c>
      <c r="B7" s="105" t="s">
        <v>270</v>
      </c>
      <c r="C7" s="106">
        <v>79300</v>
      </c>
      <c r="D7" s="106">
        <v>60000</v>
      </c>
      <c r="E7" s="114">
        <v>61000</v>
      </c>
    </row>
    <row r="8" spans="1:6" ht="35.25" customHeight="1" x14ac:dyDescent="0.25">
      <c r="A8" s="113" t="s">
        <v>273</v>
      </c>
      <c r="B8" s="105" t="s">
        <v>272</v>
      </c>
      <c r="C8" s="152"/>
      <c r="D8" s="152"/>
      <c r="E8" s="153"/>
    </row>
    <row r="9" spans="1:6" ht="19.5" customHeight="1" x14ac:dyDescent="0.25">
      <c r="A9" s="113" t="s">
        <v>274</v>
      </c>
      <c r="B9" s="105" t="s">
        <v>275</v>
      </c>
      <c r="C9" s="152"/>
      <c r="D9" s="152"/>
      <c r="E9" s="153"/>
    </row>
    <row r="10" spans="1:6" ht="32.25" customHeight="1" x14ac:dyDescent="0.25">
      <c r="A10" s="113" t="s">
        <v>276</v>
      </c>
      <c r="B10" s="105" t="s">
        <v>277</v>
      </c>
      <c r="C10" s="152"/>
      <c r="D10" s="152"/>
      <c r="E10" s="153"/>
    </row>
    <row r="11" spans="1:6" ht="18.75" customHeight="1" x14ac:dyDescent="0.25">
      <c r="A11" s="113" t="s">
        <v>278</v>
      </c>
      <c r="B11" s="105" t="s">
        <v>279</v>
      </c>
      <c r="C11" s="106">
        <v>200</v>
      </c>
      <c r="D11" s="106">
        <v>300</v>
      </c>
      <c r="E11" s="114">
        <v>200</v>
      </c>
    </row>
    <row r="12" spans="1:6" ht="18.75" customHeight="1" x14ac:dyDescent="0.25">
      <c r="A12" s="113" t="s">
        <v>280</v>
      </c>
      <c r="B12" s="105" t="s">
        <v>281</v>
      </c>
      <c r="C12" s="106"/>
      <c r="D12" s="106"/>
      <c r="E12" s="114"/>
    </row>
    <row r="13" spans="1:6" ht="18.75" customHeight="1" x14ac:dyDescent="0.25">
      <c r="A13" s="115" t="s">
        <v>37</v>
      </c>
      <c r="B13" s="107" t="s">
        <v>282</v>
      </c>
      <c r="C13" s="106"/>
      <c r="D13" s="106"/>
      <c r="E13" s="114"/>
    </row>
    <row r="14" spans="1:6" ht="18.75" customHeight="1" x14ac:dyDescent="0.25">
      <c r="A14" s="115" t="s">
        <v>38</v>
      </c>
      <c r="B14" s="108" t="s">
        <v>283</v>
      </c>
      <c r="C14" s="122">
        <f>C15+C16+C17+C18+C19+C20+C21</f>
        <v>0</v>
      </c>
      <c r="D14" s="122">
        <f t="shared" ref="D14:E14" si="1">D15+D16+D17+D18+D19+D20+D21</f>
        <v>0</v>
      </c>
      <c r="E14" s="124">
        <f t="shared" si="1"/>
        <v>0</v>
      </c>
    </row>
    <row r="15" spans="1:6" ht="18.75" customHeight="1" x14ac:dyDescent="0.25">
      <c r="A15" s="113" t="s">
        <v>284</v>
      </c>
      <c r="B15" s="105" t="s">
        <v>285</v>
      </c>
      <c r="C15" s="109">
        <v>0</v>
      </c>
      <c r="D15" s="109">
        <v>0</v>
      </c>
      <c r="E15" s="116">
        <v>0</v>
      </c>
    </row>
    <row r="16" spans="1:6" ht="24" customHeight="1" x14ac:dyDescent="0.25">
      <c r="A16" s="113" t="s">
        <v>286</v>
      </c>
      <c r="B16" s="110" t="s">
        <v>287</v>
      </c>
      <c r="C16" s="109">
        <v>0</v>
      </c>
      <c r="D16" s="109">
        <v>0</v>
      </c>
      <c r="E16" s="116">
        <v>0</v>
      </c>
    </row>
    <row r="17" spans="1:5" ht="22.5" customHeight="1" x14ac:dyDescent="0.25">
      <c r="A17" s="113" t="s">
        <v>288</v>
      </c>
      <c r="B17" s="105" t="s">
        <v>289</v>
      </c>
      <c r="C17" s="109">
        <v>0</v>
      </c>
      <c r="D17" s="109">
        <v>0</v>
      </c>
      <c r="E17" s="116">
        <v>0</v>
      </c>
    </row>
    <row r="18" spans="1:5" ht="15.75" x14ac:dyDescent="0.25">
      <c r="A18" s="113" t="s">
        <v>291</v>
      </c>
      <c r="B18" s="111" t="s">
        <v>290</v>
      </c>
      <c r="C18" s="111">
        <v>0</v>
      </c>
      <c r="D18" s="111">
        <v>0</v>
      </c>
      <c r="E18" s="117">
        <v>0</v>
      </c>
    </row>
    <row r="19" spans="1:5" ht="15.75" x14ac:dyDescent="0.25">
      <c r="A19" s="113" t="s">
        <v>292</v>
      </c>
      <c r="B19" s="111" t="s">
        <v>293</v>
      </c>
      <c r="C19" s="111">
        <v>0</v>
      </c>
      <c r="D19" s="111">
        <v>0</v>
      </c>
      <c r="E19" s="117">
        <v>0</v>
      </c>
    </row>
    <row r="20" spans="1:5" ht="15.75" x14ac:dyDescent="0.25">
      <c r="A20" s="113" t="s">
        <v>294</v>
      </c>
      <c r="B20" s="111" t="s">
        <v>295</v>
      </c>
      <c r="C20" s="111">
        <v>0</v>
      </c>
      <c r="D20" s="111">
        <v>0</v>
      </c>
      <c r="E20" s="117">
        <v>0</v>
      </c>
    </row>
    <row r="21" spans="1:5" ht="16.5" thickBot="1" x14ac:dyDescent="0.3">
      <c r="A21" s="118" t="s">
        <v>296</v>
      </c>
      <c r="B21" s="119" t="s">
        <v>297</v>
      </c>
      <c r="C21" s="119">
        <v>0</v>
      </c>
      <c r="D21" s="119">
        <v>0</v>
      </c>
      <c r="E21" s="120">
        <v>0</v>
      </c>
    </row>
    <row r="22" spans="1:5" x14ac:dyDescent="0.2">
      <c r="A22" s="99"/>
    </row>
  </sheetData>
  <mergeCells count="2">
    <mergeCell ref="B3:E3"/>
    <mergeCell ref="A1:E1"/>
  </mergeCells>
  <pageMargins left="0.78740157480314965" right="0.59055118110236227" top="0.94488188976377963" bottom="0.7480314960629921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D0DF8-C670-4C29-A07C-19F118ECBF42}">
  <dimension ref="A1:F27"/>
  <sheetViews>
    <sheetView view="pageBreakPreview" zoomScale="60" zoomScaleNormal="100" workbookViewId="0">
      <selection activeCell="M22" sqref="M22"/>
    </sheetView>
  </sheetViews>
  <sheetFormatPr defaultRowHeight="12.75" x14ac:dyDescent="0.2"/>
  <cols>
    <col min="1" max="1" width="12.28515625" customWidth="1"/>
    <col min="2" max="2" width="37.28515625" customWidth="1"/>
    <col min="3" max="3" width="11.85546875" customWidth="1"/>
    <col min="4" max="4" width="11.7109375" customWidth="1"/>
    <col min="5" max="5" width="11.42578125" customWidth="1"/>
    <col min="6" max="6" width="12.28515625" customWidth="1"/>
  </cols>
  <sheetData>
    <row r="1" spans="1:6" x14ac:dyDescent="0.2">
      <c r="E1" s="5"/>
      <c r="F1" s="5"/>
    </row>
    <row r="2" spans="1:6" ht="15.75" x14ac:dyDescent="0.25">
      <c r="A2" s="863" t="s">
        <v>671</v>
      </c>
      <c r="B2" s="863"/>
      <c r="C2" s="863"/>
      <c r="D2" s="863"/>
      <c r="E2" s="863"/>
      <c r="F2" s="863"/>
    </row>
    <row r="3" spans="1:6" ht="15.75" x14ac:dyDescent="0.25">
      <c r="A3" s="863" t="s">
        <v>254</v>
      </c>
      <c r="B3" s="863"/>
      <c r="C3" s="863"/>
      <c r="D3" s="863"/>
      <c r="E3" s="863"/>
      <c r="F3" s="863"/>
    </row>
    <row r="4" spans="1:6" ht="13.5" thickBot="1" x14ac:dyDescent="0.25">
      <c r="F4" s="294" t="s">
        <v>396</v>
      </c>
    </row>
    <row r="5" spans="1:6" ht="15.75" x14ac:dyDescent="0.25">
      <c r="A5" s="893" t="s">
        <v>672</v>
      </c>
      <c r="B5" s="894"/>
      <c r="C5" s="894"/>
      <c r="D5" s="894"/>
      <c r="E5" s="894"/>
      <c r="F5" s="895"/>
    </row>
    <row r="6" spans="1:6" ht="15" x14ac:dyDescent="0.2">
      <c r="A6" s="896" t="s">
        <v>399</v>
      </c>
      <c r="B6" s="898" t="s">
        <v>400</v>
      </c>
      <c r="C6" s="900">
        <v>2019</v>
      </c>
      <c r="D6" s="900"/>
      <c r="E6" s="900"/>
      <c r="F6" s="362">
        <v>2019</v>
      </c>
    </row>
    <row r="7" spans="1:6" ht="13.5" thickBot="1" x14ac:dyDescent="0.25">
      <c r="A7" s="897"/>
      <c r="B7" s="899"/>
      <c r="C7" s="363" t="s">
        <v>673</v>
      </c>
      <c r="D7" s="363" t="s">
        <v>403</v>
      </c>
      <c r="E7" s="363" t="s">
        <v>404</v>
      </c>
      <c r="F7" s="364" t="s">
        <v>674</v>
      </c>
    </row>
    <row r="8" spans="1:6" ht="24" x14ac:dyDescent="0.2">
      <c r="A8" s="381" t="s">
        <v>474</v>
      </c>
      <c r="B8" s="382" t="s">
        <v>475</v>
      </c>
      <c r="C8" s="383">
        <v>816000</v>
      </c>
      <c r="D8" s="383">
        <f>F8-C8</f>
        <v>868</v>
      </c>
      <c r="E8" s="384">
        <f>F8/C8*100</f>
        <v>100.10637254901962</v>
      </c>
      <c r="F8" s="385">
        <v>816868</v>
      </c>
    </row>
    <row r="9" spans="1:6" x14ac:dyDescent="0.2">
      <c r="A9" s="901" t="s">
        <v>675</v>
      </c>
      <c r="B9" s="386" t="s">
        <v>676</v>
      </c>
      <c r="C9" s="387">
        <f>C10+C12+C11</f>
        <v>64890800</v>
      </c>
      <c r="D9" s="383">
        <f>F9-C9</f>
        <v>7507600</v>
      </c>
      <c r="E9" s="384">
        <f t="shared" ref="E9:E12" si="0">F9/C9*100</f>
        <v>111.56959075862834</v>
      </c>
      <c r="F9" s="388">
        <f>F10+F12+F11</f>
        <v>72398400</v>
      </c>
    </row>
    <row r="10" spans="1:6" x14ac:dyDescent="0.2">
      <c r="A10" s="902"/>
      <c r="B10" s="389" t="s">
        <v>677</v>
      </c>
      <c r="C10" s="390">
        <f>57295800+2095000</f>
        <v>59390800</v>
      </c>
      <c r="D10" s="391">
        <f t="shared" ref="D10:D12" si="1">F10-C10</f>
        <v>0</v>
      </c>
      <c r="E10" s="392">
        <f t="shared" si="0"/>
        <v>100</v>
      </c>
      <c r="F10" s="393">
        <f>57295800+2095000</f>
        <v>59390800</v>
      </c>
    </row>
    <row r="11" spans="1:6" x14ac:dyDescent="0.2">
      <c r="A11" s="902"/>
      <c r="B11" s="389" t="s">
        <v>678</v>
      </c>
      <c r="C11" s="394">
        <v>0</v>
      </c>
      <c r="D11" s="391">
        <f t="shared" si="1"/>
        <v>9507600</v>
      </c>
      <c r="E11" s="392"/>
      <c r="F11" s="395">
        <v>9507600</v>
      </c>
    </row>
    <row r="12" spans="1:6" ht="13.5" thickBot="1" x14ac:dyDescent="0.25">
      <c r="A12" s="902"/>
      <c r="B12" s="396" t="s">
        <v>679</v>
      </c>
      <c r="C12" s="394">
        <v>5500000</v>
      </c>
      <c r="D12" s="391">
        <f t="shared" si="1"/>
        <v>-2000000</v>
      </c>
      <c r="E12" s="392">
        <f t="shared" si="0"/>
        <v>63.636363636363633</v>
      </c>
      <c r="F12" s="395">
        <v>3500000</v>
      </c>
    </row>
    <row r="13" spans="1:6" ht="16.5" thickBot="1" x14ac:dyDescent="0.3">
      <c r="A13" s="889" t="s">
        <v>83</v>
      </c>
      <c r="B13" s="890"/>
      <c r="C13" s="365">
        <f>C8+C9</f>
        <v>65706800</v>
      </c>
      <c r="D13" s="366">
        <f>SUM(D8:D9)</f>
        <v>7508468</v>
      </c>
      <c r="E13" s="367">
        <f>F13/C13*100</f>
        <v>111.42723127591057</v>
      </c>
      <c r="F13" s="365">
        <f>SUM(F8:F9)</f>
        <v>73215268</v>
      </c>
    </row>
    <row r="14" spans="1:6" ht="15.75" x14ac:dyDescent="0.25">
      <c r="A14" s="893" t="s">
        <v>680</v>
      </c>
      <c r="B14" s="894"/>
      <c r="C14" s="894"/>
      <c r="D14" s="894"/>
      <c r="E14" s="894"/>
      <c r="F14" s="895"/>
    </row>
    <row r="15" spans="1:6" ht="15" x14ac:dyDescent="0.2">
      <c r="A15" s="896" t="s">
        <v>399</v>
      </c>
      <c r="B15" s="898" t="s">
        <v>400</v>
      </c>
      <c r="C15" s="900">
        <v>2019</v>
      </c>
      <c r="D15" s="900"/>
      <c r="E15" s="900"/>
      <c r="F15" s="362">
        <v>2019</v>
      </c>
    </row>
    <row r="16" spans="1:6" ht="13.5" thickBot="1" x14ac:dyDescent="0.25">
      <c r="A16" s="897"/>
      <c r="B16" s="899"/>
      <c r="C16" s="363" t="s">
        <v>673</v>
      </c>
      <c r="D16" s="363" t="s">
        <v>403</v>
      </c>
      <c r="E16" s="363" t="s">
        <v>404</v>
      </c>
      <c r="F16" s="364" t="s">
        <v>674</v>
      </c>
    </row>
    <row r="17" spans="1:6" ht="24" x14ac:dyDescent="0.2">
      <c r="A17" s="368" t="s">
        <v>409</v>
      </c>
      <c r="B17" s="369" t="s">
        <v>681</v>
      </c>
      <c r="C17" s="370">
        <v>5500000</v>
      </c>
      <c r="D17" s="397">
        <f>F17-C17</f>
        <v>-2000000</v>
      </c>
      <c r="E17" s="384">
        <f>F17/C17*100</f>
        <v>63.636363636363633</v>
      </c>
      <c r="F17" s="371">
        <v>3500000</v>
      </c>
    </row>
    <row r="18" spans="1:6" ht="24" x14ac:dyDescent="0.2">
      <c r="A18" s="372" t="s">
        <v>682</v>
      </c>
      <c r="B18" s="373" t="s">
        <v>683</v>
      </c>
      <c r="C18" s="374">
        <v>0</v>
      </c>
      <c r="D18" s="397">
        <f>F18-C18</f>
        <v>50000</v>
      </c>
      <c r="E18" s="397"/>
      <c r="F18" s="375">
        <v>50000</v>
      </c>
    </row>
    <row r="19" spans="1:6" ht="13.5" thickBot="1" x14ac:dyDescent="0.25">
      <c r="A19" s="381" t="s">
        <v>684</v>
      </c>
      <c r="B19" s="382" t="s">
        <v>685</v>
      </c>
      <c r="C19" s="397">
        <v>0</v>
      </c>
      <c r="D19" s="397">
        <f>F19-C19</f>
        <v>5659</v>
      </c>
      <c r="E19" s="397"/>
      <c r="F19" s="398">
        <v>5659</v>
      </c>
    </row>
    <row r="20" spans="1:6" ht="16.5" thickBot="1" x14ac:dyDescent="0.3">
      <c r="A20" s="891" t="s">
        <v>83</v>
      </c>
      <c r="B20" s="892"/>
      <c r="C20" s="376">
        <f>SUM(C17:C19)</f>
        <v>5500000</v>
      </c>
      <c r="D20" s="376">
        <f>SUM(D17:D19)</f>
        <v>-1944341</v>
      </c>
      <c r="E20" s="377">
        <f>F20/C20*100</f>
        <v>64.648345454545449</v>
      </c>
      <c r="F20" s="376">
        <f>SUM(F17:F19)</f>
        <v>3555659</v>
      </c>
    </row>
    <row r="21" spans="1:6" ht="15.75" x14ac:dyDescent="0.25">
      <c r="A21" s="893" t="s">
        <v>686</v>
      </c>
      <c r="B21" s="894"/>
      <c r="C21" s="894"/>
      <c r="D21" s="894"/>
      <c r="E21" s="894"/>
      <c r="F21" s="895"/>
    </row>
    <row r="22" spans="1:6" ht="15" x14ac:dyDescent="0.2">
      <c r="A22" s="896" t="s">
        <v>399</v>
      </c>
      <c r="B22" s="898" t="s">
        <v>400</v>
      </c>
      <c r="C22" s="900">
        <v>2019</v>
      </c>
      <c r="D22" s="900"/>
      <c r="E22" s="900"/>
      <c r="F22" s="362">
        <v>2019</v>
      </c>
    </row>
    <row r="23" spans="1:6" ht="13.5" thickBot="1" x14ac:dyDescent="0.25">
      <c r="A23" s="897"/>
      <c r="B23" s="899"/>
      <c r="C23" s="363" t="s">
        <v>673</v>
      </c>
      <c r="D23" s="363" t="s">
        <v>403</v>
      </c>
      <c r="E23" s="363" t="s">
        <v>404</v>
      </c>
      <c r="F23" s="364" t="s">
        <v>674</v>
      </c>
    </row>
    <row r="24" spans="1:6" ht="24.75" thickBot="1" x14ac:dyDescent="0.25">
      <c r="A24" s="368" t="s">
        <v>409</v>
      </c>
      <c r="B24" s="369" t="s">
        <v>687</v>
      </c>
      <c r="C24" s="370">
        <v>0</v>
      </c>
      <c r="D24" s="397">
        <f>F24-C24</f>
        <v>1169073</v>
      </c>
      <c r="E24" s="384"/>
      <c r="F24" s="371">
        <v>1169073</v>
      </c>
    </row>
    <row r="25" spans="1:6" ht="16.5" thickBot="1" x14ac:dyDescent="0.3">
      <c r="A25" s="889" t="s">
        <v>83</v>
      </c>
      <c r="B25" s="890"/>
      <c r="C25" s="365">
        <f>SUM(C24:C24)</f>
        <v>0</v>
      </c>
      <c r="D25" s="365">
        <f>SUM(D24:D24)</f>
        <v>1169073</v>
      </c>
      <c r="E25" s="367"/>
      <c r="F25" s="365">
        <f>SUM(F24:F24)</f>
        <v>1169073</v>
      </c>
    </row>
    <row r="26" spans="1:6" ht="16.5" thickBot="1" x14ac:dyDescent="0.3">
      <c r="A26" s="378"/>
      <c r="B26" s="378"/>
      <c r="C26" s="291"/>
      <c r="D26" s="291"/>
      <c r="E26" s="379"/>
      <c r="F26" s="291"/>
    </row>
    <row r="27" spans="1:6" ht="16.5" thickBot="1" x14ac:dyDescent="0.3">
      <c r="A27" s="889" t="s">
        <v>688</v>
      </c>
      <c r="B27" s="890"/>
      <c r="C27" s="365">
        <f>C13+C20+C25</f>
        <v>71206800</v>
      </c>
      <c r="D27" s="365">
        <f t="shared" ref="D27" si="2">D13+D20+D25</f>
        <v>6733200</v>
      </c>
      <c r="E27" s="380">
        <f>F27/C27*100</f>
        <v>109.45583848733548</v>
      </c>
      <c r="F27" s="365">
        <f>F13+F20+F25</f>
        <v>77940000</v>
      </c>
    </row>
  </sheetData>
  <mergeCells count="19">
    <mergeCell ref="A2:F2"/>
    <mergeCell ref="A3:F3"/>
    <mergeCell ref="A5:F5"/>
    <mergeCell ref="A6:A7"/>
    <mergeCell ref="B6:B7"/>
    <mergeCell ref="C6:E6"/>
    <mergeCell ref="A9:A12"/>
    <mergeCell ref="A13:B13"/>
    <mergeCell ref="A14:F14"/>
    <mergeCell ref="A15:A16"/>
    <mergeCell ref="B15:B16"/>
    <mergeCell ref="C15:E15"/>
    <mergeCell ref="A27:B27"/>
    <mergeCell ref="A20:B20"/>
    <mergeCell ref="A21:F21"/>
    <mergeCell ref="A22:A23"/>
    <mergeCell ref="B22:B23"/>
    <mergeCell ref="C22:E22"/>
    <mergeCell ref="A25:B25"/>
  </mergeCells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90A71-1359-4B1B-A878-234A984DF445}">
  <dimension ref="A1:N51"/>
  <sheetViews>
    <sheetView view="pageBreakPreview" zoomScale="60" zoomScaleNormal="100" workbookViewId="0">
      <selection activeCell="I34" sqref="I33:I34"/>
    </sheetView>
  </sheetViews>
  <sheetFormatPr defaultRowHeight="12.75" x14ac:dyDescent="0.2"/>
  <cols>
    <col min="1" max="1" width="11.5703125" customWidth="1"/>
    <col min="2" max="2" width="39.140625" customWidth="1"/>
    <col min="3" max="3" width="13.140625" customWidth="1"/>
    <col min="4" max="4" width="11.42578125" customWidth="1"/>
    <col min="5" max="5" width="9.85546875" customWidth="1"/>
    <col min="6" max="6" width="17.42578125" customWidth="1"/>
    <col min="7" max="7" width="11.42578125" bestFit="1" customWidth="1"/>
    <col min="8" max="8" width="12.42578125" bestFit="1" customWidth="1"/>
    <col min="9" max="9" width="11.42578125" bestFit="1" customWidth="1"/>
    <col min="10" max="11" width="15.28515625" bestFit="1" customWidth="1"/>
    <col min="12" max="12" width="13.7109375" bestFit="1" customWidth="1"/>
    <col min="13" max="13" width="12.5703125" bestFit="1" customWidth="1"/>
    <col min="14" max="14" width="15.28515625" bestFit="1" customWidth="1"/>
  </cols>
  <sheetData>
    <row r="1" spans="1:14" x14ac:dyDescent="0.2">
      <c r="C1" s="920"/>
      <c r="D1" s="885"/>
      <c r="E1" s="885"/>
      <c r="F1" s="885"/>
    </row>
    <row r="2" spans="1:14" ht="15.75" x14ac:dyDescent="0.25">
      <c r="A2" s="863" t="s">
        <v>671</v>
      </c>
      <c r="B2" s="863"/>
      <c r="C2" s="863"/>
      <c r="D2" s="863"/>
      <c r="E2" s="863"/>
      <c r="F2" s="863"/>
    </row>
    <row r="3" spans="1:14" ht="15.75" x14ac:dyDescent="0.25">
      <c r="A3" s="863" t="s">
        <v>254</v>
      </c>
      <c r="B3" s="863"/>
      <c r="C3" s="863"/>
      <c r="D3" s="863"/>
      <c r="E3" s="863"/>
      <c r="F3" s="863"/>
    </row>
    <row r="4" spans="1:14" x14ac:dyDescent="0.2">
      <c r="F4" s="294" t="s">
        <v>396</v>
      </c>
    </row>
    <row r="5" spans="1:14" ht="13.5" thickBot="1" x14ac:dyDescent="0.25">
      <c r="A5" s="921" t="s">
        <v>511</v>
      </c>
      <c r="B5" s="921"/>
      <c r="C5" s="921"/>
      <c r="D5" s="921"/>
      <c r="E5" s="921"/>
      <c r="F5" s="921"/>
      <c r="J5" s="399"/>
      <c r="K5" s="399"/>
      <c r="L5" s="399"/>
    </row>
    <row r="6" spans="1:14" x14ac:dyDescent="0.2">
      <c r="A6" s="922" t="s">
        <v>398</v>
      </c>
      <c r="B6" s="923"/>
      <c r="C6" s="923"/>
      <c r="D6" s="923"/>
      <c r="E6" s="923"/>
      <c r="F6" s="924"/>
      <c r="H6" s="290"/>
    </row>
    <row r="7" spans="1:14" x14ac:dyDescent="0.2">
      <c r="A7" s="918" t="s">
        <v>399</v>
      </c>
      <c r="B7" s="919" t="s">
        <v>689</v>
      </c>
      <c r="C7" s="917">
        <v>2019</v>
      </c>
      <c r="D7" s="917"/>
      <c r="E7" s="917"/>
      <c r="F7" s="400">
        <v>2019</v>
      </c>
    </row>
    <row r="8" spans="1:14" ht="13.5" thickBot="1" x14ac:dyDescent="0.25">
      <c r="A8" s="914"/>
      <c r="B8" s="916"/>
      <c r="C8" s="401" t="s">
        <v>673</v>
      </c>
      <c r="D8" s="401" t="s">
        <v>403</v>
      </c>
      <c r="E8" s="401" t="s">
        <v>404</v>
      </c>
      <c r="F8" s="402" t="s">
        <v>674</v>
      </c>
    </row>
    <row r="9" spans="1:14" x14ac:dyDescent="0.2">
      <c r="A9" s="403" t="s">
        <v>513</v>
      </c>
      <c r="B9" s="404" t="s">
        <v>638</v>
      </c>
      <c r="C9" s="405">
        <v>41152225</v>
      </c>
      <c r="D9" s="406">
        <f>F9-C9</f>
        <v>10647775</v>
      </c>
      <c r="E9" s="407">
        <f>F9/C9*100</f>
        <v>125.87411737761445</v>
      </c>
      <c r="F9" s="408">
        <v>51800000</v>
      </c>
      <c r="H9" s="273"/>
      <c r="I9" s="178"/>
      <c r="J9" s="409"/>
      <c r="K9" s="410"/>
      <c r="L9" s="410"/>
      <c r="M9" s="410"/>
      <c r="N9" s="411"/>
    </row>
    <row r="10" spans="1:14" x14ac:dyDescent="0.2">
      <c r="A10" s="412" t="s">
        <v>515</v>
      </c>
      <c r="B10" s="413" t="s">
        <v>516</v>
      </c>
      <c r="C10" s="414">
        <v>0</v>
      </c>
      <c r="D10" s="406">
        <f t="shared" ref="D10:D22" si="0">F10-C10</f>
        <v>0</v>
      </c>
      <c r="E10" s="407"/>
      <c r="F10" s="415">
        <v>0</v>
      </c>
      <c r="H10" s="273"/>
      <c r="I10" s="178"/>
      <c r="J10" s="178"/>
    </row>
    <row r="11" spans="1:14" x14ac:dyDescent="0.2">
      <c r="A11" s="416" t="s">
        <v>690</v>
      </c>
      <c r="B11" s="413" t="s">
        <v>691</v>
      </c>
      <c r="C11" s="414">
        <v>0</v>
      </c>
      <c r="D11" s="406">
        <f t="shared" si="0"/>
        <v>1238000</v>
      </c>
      <c r="E11" s="407"/>
      <c r="F11" s="415">
        <f>238000+1000000</f>
        <v>1238000</v>
      </c>
      <c r="H11" s="273"/>
      <c r="I11" s="178"/>
      <c r="J11" s="178"/>
    </row>
    <row r="12" spans="1:14" ht="21" x14ac:dyDescent="0.2">
      <c r="A12" s="416" t="s">
        <v>639</v>
      </c>
      <c r="B12" s="413" t="s">
        <v>692</v>
      </c>
      <c r="C12" s="414">
        <v>500000</v>
      </c>
      <c r="D12" s="406">
        <f t="shared" si="0"/>
        <v>-500000</v>
      </c>
      <c r="E12" s="407">
        <f t="shared" ref="E12:E21" si="1">F12/C12*100</f>
        <v>0</v>
      </c>
      <c r="F12" s="415">
        <v>0</v>
      </c>
      <c r="H12" s="273"/>
      <c r="I12" s="178"/>
      <c r="J12" s="178"/>
    </row>
    <row r="13" spans="1:14" x14ac:dyDescent="0.2">
      <c r="A13" s="416" t="s">
        <v>693</v>
      </c>
      <c r="B13" s="413" t="s">
        <v>694</v>
      </c>
      <c r="C13" s="414">
        <v>2823468</v>
      </c>
      <c r="D13" s="406">
        <f t="shared" si="0"/>
        <v>441532</v>
      </c>
      <c r="E13" s="407">
        <f t="shared" si="1"/>
        <v>115.63793179168313</v>
      </c>
      <c r="F13" s="415">
        <v>3265000</v>
      </c>
    </row>
    <row r="14" spans="1:14" x14ac:dyDescent="0.2">
      <c r="A14" s="416" t="s">
        <v>641</v>
      </c>
      <c r="B14" s="413" t="s">
        <v>695</v>
      </c>
      <c r="C14" s="414">
        <v>2812000</v>
      </c>
      <c r="D14" s="406">
        <f t="shared" si="0"/>
        <v>-312000</v>
      </c>
      <c r="E14" s="407">
        <f t="shared" si="1"/>
        <v>88.904694167852057</v>
      </c>
      <c r="F14" s="415">
        <v>2500000</v>
      </c>
    </row>
    <row r="15" spans="1:14" x14ac:dyDescent="0.2">
      <c r="A15" s="416" t="s">
        <v>517</v>
      </c>
      <c r="B15" s="413" t="s">
        <v>518</v>
      </c>
      <c r="C15" s="414">
        <v>550000</v>
      </c>
      <c r="D15" s="406">
        <f t="shared" si="0"/>
        <v>-400000</v>
      </c>
      <c r="E15" s="407">
        <f t="shared" si="1"/>
        <v>27.27272727272727</v>
      </c>
      <c r="F15" s="415">
        <v>150000</v>
      </c>
    </row>
    <row r="16" spans="1:14" x14ac:dyDescent="0.2">
      <c r="A16" s="412" t="s">
        <v>626</v>
      </c>
      <c r="B16" s="413" t="s">
        <v>627</v>
      </c>
      <c r="C16" s="414">
        <v>156000</v>
      </c>
      <c r="D16" s="406">
        <f t="shared" si="0"/>
        <v>0</v>
      </c>
      <c r="E16" s="407">
        <f t="shared" si="1"/>
        <v>100</v>
      </c>
      <c r="F16" s="415">
        <v>156000</v>
      </c>
    </row>
    <row r="17" spans="1:9" s="99" customFormat="1" x14ac:dyDescent="0.2">
      <c r="A17" s="416" t="s">
        <v>696</v>
      </c>
      <c r="B17" s="417" t="s">
        <v>520</v>
      </c>
      <c r="C17" s="418">
        <v>100000</v>
      </c>
      <c r="D17" s="406">
        <f t="shared" si="0"/>
        <v>0</v>
      </c>
      <c r="E17" s="407">
        <f t="shared" si="1"/>
        <v>100</v>
      </c>
      <c r="F17" s="415">
        <v>100000</v>
      </c>
    </row>
    <row r="18" spans="1:9" x14ac:dyDescent="0.2">
      <c r="A18" s="412" t="s">
        <v>618</v>
      </c>
      <c r="B18" s="413" t="s">
        <v>619</v>
      </c>
      <c r="C18" s="414">
        <v>0</v>
      </c>
      <c r="D18" s="406">
        <f t="shared" si="0"/>
        <v>1563800</v>
      </c>
      <c r="E18" s="407"/>
      <c r="F18" s="415">
        <v>1563800</v>
      </c>
    </row>
    <row r="19" spans="1:9" s="99" customFormat="1" ht="21.75" thickBot="1" x14ac:dyDescent="0.25">
      <c r="A19" s="419" t="s">
        <v>523</v>
      </c>
      <c r="B19" s="420" t="s">
        <v>524</v>
      </c>
      <c r="C19" s="421">
        <v>8400000</v>
      </c>
      <c r="D19" s="422">
        <f t="shared" si="0"/>
        <v>-7720000</v>
      </c>
      <c r="E19" s="423">
        <f t="shared" si="1"/>
        <v>8.0952380952380949</v>
      </c>
      <c r="F19" s="424">
        <v>680000</v>
      </c>
    </row>
    <row r="20" spans="1:9" s="99" customFormat="1" ht="13.5" thickBot="1" x14ac:dyDescent="0.25">
      <c r="A20" s="903" t="s">
        <v>3</v>
      </c>
      <c r="B20" s="908"/>
      <c r="C20" s="425">
        <f>SUM(C9:C19)</f>
        <v>56493693</v>
      </c>
      <c r="D20" s="425">
        <f>SUM(D9:D19)</f>
        <v>4959107</v>
      </c>
      <c r="E20" s="426">
        <f>F20/C20*100</f>
        <v>108.77816042226165</v>
      </c>
      <c r="F20" s="427">
        <f>SUM(F9:F19)</f>
        <v>61452800</v>
      </c>
    </row>
    <row r="21" spans="1:9" x14ac:dyDescent="0.2">
      <c r="A21" s="403" t="s">
        <v>527</v>
      </c>
      <c r="B21" s="404" t="s">
        <v>528</v>
      </c>
      <c r="C21" s="428">
        <v>11579939</v>
      </c>
      <c r="D21" s="406">
        <f t="shared" si="0"/>
        <v>-91980</v>
      </c>
      <c r="E21" s="407">
        <f t="shared" si="1"/>
        <v>99.205695297704082</v>
      </c>
      <c r="F21" s="408">
        <v>11487959</v>
      </c>
    </row>
    <row r="22" spans="1:9" ht="13.5" thickBot="1" x14ac:dyDescent="0.25">
      <c r="A22" s="429" t="s">
        <v>529</v>
      </c>
      <c r="B22" s="430" t="s">
        <v>530</v>
      </c>
      <c r="C22" s="421">
        <v>0</v>
      </c>
      <c r="D22" s="422">
        <f t="shared" si="0"/>
        <v>280000</v>
      </c>
      <c r="E22" s="423"/>
      <c r="F22" s="424">
        <v>280000</v>
      </c>
    </row>
    <row r="23" spans="1:9" ht="13.5" thickBot="1" x14ac:dyDescent="0.25">
      <c r="A23" s="909" t="s">
        <v>697</v>
      </c>
      <c r="B23" s="908"/>
      <c r="C23" s="425">
        <f>SUM(C21:C22)</f>
        <v>11579939</v>
      </c>
      <c r="D23" s="425">
        <f>SUM(D21:D22)</f>
        <v>188020</v>
      </c>
      <c r="E23" s="426"/>
      <c r="F23" s="427">
        <f>SUM(F21:F22)</f>
        <v>11767959</v>
      </c>
    </row>
    <row r="24" spans="1:9" x14ac:dyDescent="0.2">
      <c r="A24" s="431" t="s">
        <v>531</v>
      </c>
      <c r="B24" s="432" t="s">
        <v>629</v>
      </c>
      <c r="C24" s="433">
        <v>100000</v>
      </c>
      <c r="D24" s="433">
        <f t="shared" ref="D24:D34" si="2">F24-C24</f>
        <v>0</v>
      </c>
      <c r="E24" s="434">
        <f>F24/C24*100</f>
        <v>100</v>
      </c>
      <c r="F24" s="415">
        <v>100000</v>
      </c>
    </row>
    <row r="25" spans="1:9" x14ac:dyDescent="0.2">
      <c r="A25" s="412" t="s">
        <v>533</v>
      </c>
      <c r="B25" s="432" t="s">
        <v>534</v>
      </c>
      <c r="C25" s="433">
        <v>100000</v>
      </c>
      <c r="D25" s="433">
        <f t="shared" si="2"/>
        <v>0</v>
      </c>
      <c r="E25" s="434">
        <f>F25/C25*100</f>
        <v>100</v>
      </c>
      <c r="F25" s="415">
        <v>100000</v>
      </c>
      <c r="G25" s="435"/>
    </row>
    <row r="26" spans="1:9" x14ac:dyDescent="0.2">
      <c r="A26" s="416" t="s">
        <v>644</v>
      </c>
      <c r="B26" s="432" t="s">
        <v>698</v>
      </c>
      <c r="C26" s="433">
        <v>435000</v>
      </c>
      <c r="D26" s="433">
        <f t="shared" si="2"/>
        <v>0</v>
      </c>
      <c r="E26" s="434"/>
      <c r="F26" s="415">
        <v>435000</v>
      </c>
      <c r="G26" s="435"/>
    </row>
    <row r="27" spans="1:9" x14ac:dyDescent="0.2">
      <c r="A27" s="436" t="s">
        <v>537</v>
      </c>
      <c r="B27" s="437" t="s">
        <v>699</v>
      </c>
      <c r="C27" s="433">
        <v>40000</v>
      </c>
      <c r="D27" s="438">
        <f t="shared" si="2"/>
        <v>0</v>
      </c>
      <c r="E27" s="434">
        <f>F27/C27*100</f>
        <v>100</v>
      </c>
      <c r="F27" s="415">
        <v>40000</v>
      </c>
    </row>
    <row r="28" spans="1:9" x14ac:dyDescent="0.2">
      <c r="A28" s="412" t="s">
        <v>551</v>
      </c>
      <c r="B28" s="437" t="s">
        <v>552</v>
      </c>
      <c r="C28" s="433">
        <v>1000000</v>
      </c>
      <c r="D28" s="433">
        <f t="shared" si="2"/>
        <v>633168</v>
      </c>
      <c r="E28" s="434">
        <f>F28/C28*100</f>
        <v>163.3168</v>
      </c>
      <c r="F28" s="415">
        <v>1633168</v>
      </c>
      <c r="G28" s="293"/>
      <c r="H28" s="293"/>
    </row>
    <row r="29" spans="1:9" x14ac:dyDescent="0.2">
      <c r="A29" s="412" t="s">
        <v>553</v>
      </c>
      <c r="B29" s="432" t="s">
        <v>554</v>
      </c>
      <c r="C29" s="433">
        <v>400000</v>
      </c>
      <c r="D29" s="433">
        <f t="shared" si="2"/>
        <v>160000</v>
      </c>
      <c r="E29" s="434">
        <f>F29/C29*100</f>
        <v>140</v>
      </c>
      <c r="F29" s="415">
        <v>560000</v>
      </c>
      <c r="G29" s="293"/>
    </row>
    <row r="30" spans="1:9" x14ac:dyDescent="0.2">
      <c r="A30" s="403" t="s">
        <v>608</v>
      </c>
      <c r="B30" s="437" t="s">
        <v>609</v>
      </c>
      <c r="C30" s="433">
        <v>0</v>
      </c>
      <c r="D30" s="433">
        <f t="shared" si="2"/>
        <v>250000</v>
      </c>
      <c r="E30" s="434"/>
      <c r="F30" s="415">
        <v>250000</v>
      </c>
      <c r="H30" s="435"/>
      <c r="I30" s="42"/>
    </row>
    <row r="31" spans="1:9" ht="21" x14ac:dyDescent="0.2">
      <c r="A31" s="412" t="s">
        <v>557</v>
      </c>
      <c r="B31" s="437" t="s">
        <v>558</v>
      </c>
      <c r="C31" s="433">
        <v>425000</v>
      </c>
      <c r="D31" s="433">
        <f t="shared" si="2"/>
        <v>0</v>
      </c>
      <c r="E31" s="434">
        <f>F31/C31*100</f>
        <v>100</v>
      </c>
      <c r="F31" s="415">
        <v>425000</v>
      </c>
      <c r="H31" s="435"/>
      <c r="I31" s="435"/>
    </row>
    <row r="32" spans="1:9" ht="13.5" thickBot="1" x14ac:dyDescent="0.25">
      <c r="A32" s="429" t="s">
        <v>563</v>
      </c>
      <c r="B32" s="439" t="s">
        <v>700</v>
      </c>
      <c r="C32" s="440">
        <v>0</v>
      </c>
      <c r="D32" s="440">
        <f t="shared" si="2"/>
        <v>7000</v>
      </c>
      <c r="E32" s="441"/>
      <c r="F32" s="424">
        <v>7000</v>
      </c>
    </row>
    <row r="33" spans="1:8" ht="13.5" thickBot="1" x14ac:dyDescent="0.25">
      <c r="A33" s="909" t="s">
        <v>5</v>
      </c>
      <c r="B33" s="905"/>
      <c r="C33" s="442">
        <f>SUM(C24:C32)</f>
        <v>2500000</v>
      </c>
      <c r="D33" s="442">
        <f t="shared" si="2"/>
        <v>1050168</v>
      </c>
      <c r="E33" s="426">
        <f>F33/C33*100</f>
        <v>142.00672</v>
      </c>
      <c r="F33" s="427">
        <f>SUM(F24:F32)</f>
        <v>3550168</v>
      </c>
    </row>
    <row r="34" spans="1:8" ht="13.5" thickBot="1" x14ac:dyDescent="0.25">
      <c r="A34" s="443" t="s">
        <v>573</v>
      </c>
      <c r="B34" s="444" t="s">
        <v>701</v>
      </c>
      <c r="C34" s="445">
        <v>633168</v>
      </c>
      <c r="D34" s="445">
        <f t="shared" si="2"/>
        <v>-633168</v>
      </c>
      <c r="E34" s="407">
        <f>F34/C34*100</f>
        <v>0</v>
      </c>
      <c r="F34" s="408">
        <v>0</v>
      </c>
      <c r="H34" s="293"/>
    </row>
    <row r="35" spans="1:8" ht="13.5" thickBot="1" x14ac:dyDescent="0.25">
      <c r="A35" s="906" t="s">
        <v>590</v>
      </c>
      <c r="B35" s="907"/>
      <c r="C35" s="446">
        <f>C20+C23+C33+C34</f>
        <v>71206800</v>
      </c>
      <c r="D35" s="446">
        <f>D20+D23+D33</f>
        <v>6197295</v>
      </c>
      <c r="E35" s="447">
        <f>F35/C35*100</f>
        <v>107.8140388277524</v>
      </c>
      <c r="F35" s="446">
        <f>F20+F23+F33</f>
        <v>76770927</v>
      </c>
      <c r="H35" s="158"/>
    </row>
    <row r="36" spans="1:8" ht="13.5" thickBot="1" x14ac:dyDescent="0.25">
      <c r="A36" s="910" t="s">
        <v>702</v>
      </c>
      <c r="B36" s="911"/>
      <c r="C36" s="911"/>
      <c r="D36" s="911"/>
      <c r="E36" s="911"/>
      <c r="F36" s="912"/>
      <c r="G36" s="448"/>
    </row>
    <row r="37" spans="1:8" x14ac:dyDescent="0.2">
      <c r="A37" s="913" t="s">
        <v>399</v>
      </c>
      <c r="B37" s="915" t="s">
        <v>689</v>
      </c>
      <c r="C37" s="917">
        <v>2019</v>
      </c>
      <c r="D37" s="917"/>
      <c r="E37" s="917"/>
      <c r="F37" s="400">
        <v>2019</v>
      </c>
    </row>
    <row r="38" spans="1:8" ht="13.5" thickBot="1" x14ac:dyDescent="0.25">
      <c r="A38" s="914"/>
      <c r="B38" s="916"/>
      <c r="C38" s="401" t="s">
        <v>673</v>
      </c>
      <c r="D38" s="401" t="s">
        <v>403</v>
      </c>
      <c r="E38" s="401" t="s">
        <v>404</v>
      </c>
      <c r="F38" s="402" t="s">
        <v>674</v>
      </c>
    </row>
    <row r="39" spans="1:8" x14ac:dyDescent="0.2">
      <c r="A39" s="443" t="s">
        <v>618</v>
      </c>
      <c r="B39" s="444" t="s">
        <v>619</v>
      </c>
      <c r="C39" s="445">
        <v>0</v>
      </c>
      <c r="D39" s="445">
        <f>F39-C39</f>
        <v>536380</v>
      </c>
      <c r="E39" s="407"/>
      <c r="F39" s="408">
        <v>536380</v>
      </c>
    </row>
    <row r="40" spans="1:8" ht="21" x14ac:dyDescent="0.2">
      <c r="A40" s="416" t="s">
        <v>523</v>
      </c>
      <c r="B40" s="437" t="s">
        <v>524</v>
      </c>
      <c r="C40" s="445">
        <v>0</v>
      </c>
      <c r="D40" s="445">
        <f>F40-C40</f>
        <v>0</v>
      </c>
      <c r="E40" s="407"/>
      <c r="F40" s="415">
        <v>0</v>
      </c>
    </row>
    <row r="41" spans="1:8" ht="13.5" thickBot="1" x14ac:dyDescent="0.25">
      <c r="A41" s="419" t="s">
        <v>525</v>
      </c>
      <c r="B41" s="439" t="s">
        <v>703</v>
      </c>
      <c r="C41" s="449">
        <v>0</v>
      </c>
      <c r="D41" s="449">
        <f>F41-C41</f>
        <v>409000</v>
      </c>
      <c r="E41" s="423"/>
      <c r="F41" s="424">
        <v>409000</v>
      </c>
    </row>
    <row r="42" spans="1:8" ht="13.5" thickBot="1" x14ac:dyDescent="0.25">
      <c r="A42" s="903" t="s">
        <v>3</v>
      </c>
      <c r="B42" s="904"/>
      <c r="C42" s="442">
        <f>SUM(C39:C41)</f>
        <v>0</v>
      </c>
      <c r="D42" s="442"/>
      <c r="E42" s="426"/>
      <c r="F42" s="427">
        <f>SUM(F39:F41)</f>
        <v>945380</v>
      </c>
    </row>
    <row r="43" spans="1:8" x14ac:dyDescent="0.2">
      <c r="A43" s="450" t="s">
        <v>704</v>
      </c>
      <c r="B43" s="451" t="s">
        <v>528</v>
      </c>
      <c r="C43" s="452">
        <v>0</v>
      </c>
      <c r="D43" s="452">
        <f>F43-C43</f>
        <v>190537</v>
      </c>
      <c r="E43" s="453"/>
      <c r="F43" s="454">
        <v>190537</v>
      </c>
    </row>
    <row r="44" spans="1:8" ht="21.75" thickBot="1" x14ac:dyDescent="0.25">
      <c r="A44" s="419" t="s">
        <v>705</v>
      </c>
      <c r="B44" s="439" t="s">
        <v>706</v>
      </c>
      <c r="C44" s="449">
        <v>0</v>
      </c>
      <c r="D44" s="449">
        <f>F44-C44</f>
        <v>0</v>
      </c>
      <c r="E44" s="423"/>
      <c r="F44" s="424">
        <v>0</v>
      </c>
    </row>
    <row r="45" spans="1:8" ht="13.5" thickBot="1" x14ac:dyDescent="0.25">
      <c r="A45" s="903" t="s">
        <v>707</v>
      </c>
      <c r="B45" s="905"/>
      <c r="C45" s="442">
        <f>SUM(C43:C44)</f>
        <v>0</v>
      </c>
      <c r="D45" s="442"/>
      <c r="E45" s="426"/>
      <c r="F45" s="427">
        <f>SUM(F43:F44)</f>
        <v>190537</v>
      </c>
    </row>
    <row r="46" spans="1:8" x14ac:dyDescent="0.2">
      <c r="A46" s="443" t="s">
        <v>533</v>
      </c>
      <c r="B46" s="444" t="s">
        <v>534</v>
      </c>
      <c r="C46" s="445">
        <v>0</v>
      </c>
      <c r="D46" s="445"/>
      <c r="E46" s="407"/>
      <c r="F46" s="408">
        <v>26106</v>
      </c>
    </row>
    <row r="47" spans="1:8" ht="21.75" thickBot="1" x14ac:dyDescent="0.25">
      <c r="A47" s="419" t="s">
        <v>557</v>
      </c>
      <c r="B47" s="439" t="s">
        <v>558</v>
      </c>
      <c r="C47" s="455">
        <v>0</v>
      </c>
      <c r="D47" s="455"/>
      <c r="E47" s="441"/>
      <c r="F47" s="424">
        <v>7050</v>
      </c>
    </row>
    <row r="48" spans="1:8" ht="13.5" thickBot="1" x14ac:dyDescent="0.25">
      <c r="A48" s="903" t="s">
        <v>5</v>
      </c>
      <c r="B48" s="905"/>
      <c r="C48" s="456">
        <f>SUM(C46:C47)</f>
        <v>0</v>
      </c>
      <c r="D48" s="456"/>
      <c r="E48" s="426"/>
      <c r="F48" s="427">
        <f>SUM(F46:F47)</f>
        <v>33156</v>
      </c>
    </row>
    <row r="49" spans="1:7" ht="13.5" thickBot="1" x14ac:dyDescent="0.25">
      <c r="A49" s="906" t="s">
        <v>590</v>
      </c>
      <c r="B49" s="907"/>
      <c r="C49" s="446">
        <f>C42+C45+C48</f>
        <v>0</v>
      </c>
      <c r="D49" s="446">
        <f>SUM(D39:D44)</f>
        <v>1135917</v>
      </c>
      <c r="E49" s="457"/>
      <c r="F49" s="446">
        <f>F42+F45+F48</f>
        <v>1169073</v>
      </c>
      <c r="G49" s="42"/>
    </row>
    <row r="50" spans="1:7" ht="13.5" thickBot="1" x14ac:dyDescent="0.25">
      <c r="A50" s="458"/>
      <c r="C50" s="3"/>
      <c r="D50" s="3"/>
      <c r="E50" s="3"/>
      <c r="F50" s="459"/>
    </row>
    <row r="51" spans="1:7" ht="13.5" thickBot="1" x14ac:dyDescent="0.25">
      <c r="A51" s="460" t="s">
        <v>708</v>
      </c>
      <c r="B51" s="461"/>
      <c r="C51" s="462">
        <f>C35+C49</f>
        <v>71206800</v>
      </c>
      <c r="D51" s="462">
        <f>D35+D49</f>
        <v>7333212</v>
      </c>
      <c r="E51" s="463">
        <f>F51/C51*100</f>
        <v>109.45583848733548</v>
      </c>
      <c r="F51" s="464">
        <f>F35+F49</f>
        <v>77940000</v>
      </c>
    </row>
  </sheetData>
  <mergeCells count="20">
    <mergeCell ref="A7:A8"/>
    <mergeCell ref="B7:B8"/>
    <mergeCell ref="C7:E7"/>
    <mergeCell ref="C1:F1"/>
    <mergeCell ref="A2:F2"/>
    <mergeCell ref="A3:F3"/>
    <mergeCell ref="A5:F5"/>
    <mergeCell ref="A6:F6"/>
    <mergeCell ref="A42:B42"/>
    <mergeCell ref="A45:B45"/>
    <mergeCell ref="A48:B48"/>
    <mergeCell ref="A49:B49"/>
    <mergeCell ref="A20:B20"/>
    <mergeCell ref="A23:B23"/>
    <mergeCell ref="A33:B33"/>
    <mergeCell ref="A35:B35"/>
    <mergeCell ref="A36:F36"/>
    <mergeCell ref="A37:A38"/>
    <mergeCell ref="B37:B38"/>
    <mergeCell ref="C37:E37"/>
  </mergeCells>
  <pageMargins left="0.7" right="0.7" top="0.75" bottom="0.75" header="0.3" footer="0.3"/>
  <pageSetup paperSize="9" scale="87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6007-824E-4B9A-BD4C-2900C98641CD}">
  <dimension ref="A1:F21"/>
  <sheetViews>
    <sheetView view="pageBreakPreview" zoomScale="60" zoomScaleNormal="100" workbookViewId="0">
      <selection activeCell="F24" sqref="F24"/>
    </sheetView>
  </sheetViews>
  <sheetFormatPr defaultRowHeight="12.75" x14ac:dyDescent="0.2"/>
  <cols>
    <col min="1" max="1" width="12.28515625" customWidth="1"/>
    <col min="2" max="2" width="37.28515625" customWidth="1"/>
    <col min="3" max="3" width="11.85546875" customWidth="1"/>
    <col min="4" max="4" width="11.7109375" customWidth="1"/>
    <col min="5" max="5" width="11.42578125" customWidth="1"/>
    <col min="6" max="6" width="12.28515625" customWidth="1"/>
  </cols>
  <sheetData>
    <row r="1" spans="1:6" x14ac:dyDescent="0.2">
      <c r="E1" s="5"/>
      <c r="F1" s="5"/>
    </row>
    <row r="2" spans="1:6" x14ac:dyDescent="0.2">
      <c r="A2" s="937" t="s">
        <v>671</v>
      </c>
      <c r="B2" s="937"/>
      <c r="C2" s="937"/>
      <c r="D2" s="937"/>
      <c r="E2" s="937"/>
      <c r="F2" s="937"/>
    </row>
    <row r="3" spans="1:6" x14ac:dyDescent="0.2">
      <c r="A3" s="937" t="s">
        <v>709</v>
      </c>
      <c r="B3" s="937"/>
      <c r="C3" s="937"/>
      <c r="D3" s="937"/>
      <c r="E3" s="937"/>
      <c r="F3" s="937"/>
    </row>
    <row r="4" spans="1:6" x14ac:dyDescent="0.2">
      <c r="A4" s="465"/>
      <c r="B4" s="465"/>
      <c r="C4" s="465"/>
      <c r="D4" s="465"/>
      <c r="E4" s="465"/>
      <c r="F4" s="466" t="s">
        <v>396</v>
      </c>
    </row>
    <row r="5" spans="1:6" ht="13.5" thickBot="1" x14ac:dyDescent="0.25">
      <c r="A5" s="938" t="s">
        <v>397</v>
      </c>
      <c r="B5" s="938"/>
      <c r="C5" s="938"/>
      <c r="D5" s="938"/>
      <c r="E5" s="938"/>
      <c r="F5" s="938"/>
    </row>
    <row r="6" spans="1:6" x14ac:dyDescent="0.2">
      <c r="A6" s="929" t="s">
        <v>472</v>
      </c>
      <c r="B6" s="930"/>
      <c r="C6" s="930"/>
      <c r="D6" s="930"/>
      <c r="E6" s="930"/>
      <c r="F6" s="931"/>
    </row>
    <row r="7" spans="1:6" x14ac:dyDescent="0.2">
      <c r="A7" s="932" t="s">
        <v>399</v>
      </c>
      <c r="B7" s="934" t="s">
        <v>400</v>
      </c>
      <c r="C7" s="936">
        <v>2019</v>
      </c>
      <c r="D7" s="936"/>
      <c r="E7" s="936"/>
      <c r="F7" s="467">
        <v>2019</v>
      </c>
    </row>
    <row r="8" spans="1:6" ht="13.5" thickBot="1" x14ac:dyDescent="0.25">
      <c r="A8" s="933"/>
      <c r="B8" s="935"/>
      <c r="C8" s="468" t="s">
        <v>673</v>
      </c>
      <c r="D8" s="468" t="s">
        <v>403</v>
      </c>
      <c r="E8" s="468" t="s">
        <v>404</v>
      </c>
      <c r="F8" s="469" t="s">
        <v>674</v>
      </c>
    </row>
    <row r="9" spans="1:6" ht="21" x14ac:dyDescent="0.2">
      <c r="A9" s="477" t="s">
        <v>474</v>
      </c>
      <c r="B9" s="478" t="s">
        <v>475</v>
      </c>
      <c r="C9" s="479">
        <v>102000</v>
      </c>
      <c r="D9" s="479">
        <f>F9-C9</f>
        <v>1089</v>
      </c>
      <c r="E9" s="480">
        <f>F9/C9*100</f>
        <v>101.06764705882354</v>
      </c>
      <c r="F9" s="481">
        <v>103089</v>
      </c>
    </row>
    <row r="10" spans="1:6" x14ac:dyDescent="0.2">
      <c r="A10" s="927" t="s">
        <v>675</v>
      </c>
      <c r="B10" s="482" t="s">
        <v>676</v>
      </c>
      <c r="C10" s="483">
        <f>C11+C12</f>
        <v>13566400</v>
      </c>
      <c r="D10" s="479">
        <f>F10-C10</f>
        <v>0</v>
      </c>
      <c r="E10" s="480">
        <f t="shared" ref="E10:E12" si="0">F10/C10*100</f>
        <v>100</v>
      </c>
      <c r="F10" s="484">
        <f>F11+F12</f>
        <v>13566400</v>
      </c>
    </row>
    <row r="11" spans="1:6" x14ac:dyDescent="0.2">
      <c r="A11" s="928"/>
      <c r="B11" s="485" t="s">
        <v>677</v>
      </c>
      <c r="C11" s="486">
        <v>3017740</v>
      </c>
      <c r="D11" s="487">
        <f t="shared" ref="D11:D12" si="1">F11-C11</f>
        <v>0</v>
      </c>
      <c r="E11" s="488">
        <f t="shared" si="0"/>
        <v>100</v>
      </c>
      <c r="F11" s="489">
        <v>3017740</v>
      </c>
    </row>
    <row r="12" spans="1:6" ht="21.75" thickBot="1" x14ac:dyDescent="0.25">
      <c r="A12" s="928"/>
      <c r="B12" s="490" t="s">
        <v>710</v>
      </c>
      <c r="C12" s="491">
        <v>10548660</v>
      </c>
      <c r="D12" s="487">
        <f t="shared" si="1"/>
        <v>0</v>
      </c>
      <c r="E12" s="488">
        <f t="shared" si="0"/>
        <v>100</v>
      </c>
      <c r="F12" s="492">
        <v>10548660</v>
      </c>
    </row>
    <row r="13" spans="1:6" ht="13.5" thickBot="1" x14ac:dyDescent="0.25">
      <c r="A13" s="925" t="s">
        <v>83</v>
      </c>
      <c r="B13" s="926"/>
      <c r="C13" s="470">
        <f>C9+C10</f>
        <v>13668400</v>
      </c>
      <c r="D13" s="471">
        <f>SUM(D9:D10)</f>
        <v>1089</v>
      </c>
      <c r="E13" s="472">
        <f>F13/C13*100</f>
        <v>100.00796728219836</v>
      </c>
      <c r="F13" s="470">
        <f>SUM(F9:F10)</f>
        <v>13669489</v>
      </c>
    </row>
    <row r="14" spans="1:6" x14ac:dyDescent="0.2">
      <c r="A14" s="929" t="s">
        <v>711</v>
      </c>
      <c r="B14" s="930"/>
      <c r="C14" s="930"/>
      <c r="D14" s="930"/>
      <c r="E14" s="930"/>
      <c r="F14" s="931"/>
    </row>
    <row r="15" spans="1:6" x14ac:dyDescent="0.2">
      <c r="A15" s="932" t="s">
        <v>399</v>
      </c>
      <c r="B15" s="934" t="s">
        <v>400</v>
      </c>
      <c r="C15" s="936">
        <v>2019</v>
      </c>
      <c r="D15" s="936"/>
      <c r="E15" s="936"/>
      <c r="F15" s="467">
        <v>2019</v>
      </c>
    </row>
    <row r="16" spans="1:6" ht="13.5" thickBot="1" x14ac:dyDescent="0.25">
      <c r="A16" s="933"/>
      <c r="B16" s="935"/>
      <c r="C16" s="468" t="s">
        <v>673</v>
      </c>
      <c r="D16" s="468" t="s">
        <v>403</v>
      </c>
      <c r="E16" s="468" t="s">
        <v>404</v>
      </c>
      <c r="F16" s="469" t="s">
        <v>674</v>
      </c>
    </row>
    <row r="17" spans="1:6" x14ac:dyDescent="0.2">
      <c r="A17" s="477" t="s">
        <v>416</v>
      </c>
      <c r="B17" s="493" t="s">
        <v>354</v>
      </c>
      <c r="C17" s="494">
        <v>100000</v>
      </c>
      <c r="D17" s="494">
        <f>F17-C17</f>
        <v>-2600</v>
      </c>
      <c r="E17" s="494"/>
      <c r="F17" s="495">
        <v>97400</v>
      </c>
    </row>
    <row r="18" spans="1:6" ht="13.5" thickBot="1" x14ac:dyDescent="0.25">
      <c r="A18" s="477" t="s">
        <v>684</v>
      </c>
      <c r="B18" s="478" t="s">
        <v>685</v>
      </c>
      <c r="C18" s="494">
        <v>0</v>
      </c>
      <c r="D18" s="494">
        <f>F18-C18</f>
        <v>1511</v>
      </c>
      <c r="E18" s="494"/>
      <c r="F18" s="495">
        <v>1511</v>
      </c>
    </row>
    <row r="19" spans="1:6" ht="13.5" thickBot="1" x14ac:dyDescent="0.25">
      <c r="A19" s="925" t="s">
        <v>83</v>
      </c>
      <c r="B19" s="926"/>
      <c r="C19" s="470">
        <f>SUM(C17:C18)</f>
        <v>100000</v>
      </c>
      <c r="D19" s="470">
        <f>SUM(D17:D18)</f>
        <v>-1089</v>
      </c>
      <c r="E19" s="472">
        <f>F19/C19*100</f>
        <v>98.911000000000001</v>
      </c>
      <c r="F19" s="470">
        <f>SUM(F17:F18)</f>
        <v>98911</v>
      </c>
    </row>
    <row r="20" spans="1:6" ht="13.5" thickBot="1" x14ac:dyDescent="0.25">
      <c r="A20" s="473"/>
      <c r="B20" s="473"/>
      <c r="C20" s="474"/>
      <c r="D20" s="474"/>
      <c r="E20" s="475"/>
      <c r="F20" s="474"/>
    </row>
    <row r="21" spans="1:6" ht="13.5" thickBot="1" x14ac:dyDescent="0.25">
      <c r="A21" s="925" t="s">
        <v>688</v>
      </c>
      <c r="B21" s="926"/>
      <c r="C21" s="470">
        <f>C13+C19</f>
        <v>13768400</v>
      </c>
      <c r="D21" s="470">
        <f>D13+D19</f>
        <v>0</v>
      </c>
      <c r="E21" s="476">
        <f>F21/C21*100</f>
        <v>100</v>
      </c>
      <c r="F21" s="470">
        <f>F13+F19</f>
        <v>13768400</v>
      </c>
    </row>
  </sheetData>
  <mergeCells count="15">
    <mergeCell ref="A2:F2"/>
    <mergeCell ref="A3:F3"/>
    <mergeCell ref="A5:F5"/>
    <mergeCell ref="A6:F6"/>
    <mergeCell ref="A7:A8"/>
    <mergeCell ref="B7:B8"/>
    <mergeCell ref="C7:E7"/>
    <mergeCell ref="A19:B19"/>
    <mergeCell ref="A21:B21"/>
    <mergeCell ref="A10:A12"/>
    <mergeCell ref="A13:B13"/>
    <mergeCell ref="A14:F14"/>
    <mergeCell ref="A15:A16"/>
    <mergeCell ref="B15:B16"/>
    <mergeCell ref="C15:E15"/>
  </mergeCells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A2864-A6DF-4AB6-A8D7-D81D1B3F87A4}">
  <dimension ref="A1:L58"/>
  <sheetViews>
    <sheetView view="pageBreakPreview" topLeftCell="A37" zoomScale="60" zoomScaleNormal="100" workbookViewId="0">
      <selection activeCell="G14" sqref="G14:J53"/>
    </sheetView>
  </sheetViews>
  <sheetFormatPr defaultRowHeight="12.75" x14ac:dyDescent="0.2"/>
  <cols>
    <col min="1" max="1" width="11.5703125" customWidth="1"/>
    <col min="2" max="2" width="39.140625" customWidth="1"/>
    <col min="3" max="3" width="13.140625" customWidth="1"/>
    <col min="4" max="4" width="11.42578125" customWidth="1"/>
    <col min="5" max="5" width="9.85546875" customWidth="1"/>
    <col min="6" max="6" width="17.42578125" customWidth="1"/>
    <col min="7" max="7" width="11.42578125" bestFit="1" customWidth="1"/>
    <col min="8" max="8" width="12.42578125" style="293" bestFit="1" customWidth="1"/>
    <col min="9" max="9" width="11.42578125" style="293" bestFit="1" customWidth="1"/>
    <col min="10" max="11" width="15.28515625" style="293" bestFit="1" customWidth="1"/>
    <col min="12" max="12" width="13.7109375" style="293" bestFit="1" customWidth="1"/>
    <col min="13" max="13" width="12.5703125" bestFit="1" customWidth="1"/>
    <col min="14" max="14" width="15.28515625" bestFit="1" customWidth="1"/>
  </cols>
  <sheetData>
    <row r="1" spans="1:12" x14ac:dyDescent="0.2">
      <c r="C1" s="920"/>
      <c r="D1" s="885"/>
      <c r="E1" s="885"/>
      <c r="F1" s="885"/>
    </row>
    <row r="2" spans="1:12" x14ac:dyDescent="0.2">
      <c r="A2" s="937" t="s">
        <v>671</v>
      </c>
      <c r="B2" s="937"/>
      <c r="C2" s="937"/>
      <c r="D2" s="937"/>
      <c r="E2" s="937"/>
      <c r="F2" s="937"/>
    </row>
    <row r="3" spans="1:12" x14ac:dyDescent="0.2">
      <c r="A3" s="937" t="s">
        <v>709</v>
      </c>
      <c r="B3" s="937"/>
      <c r="C3" s="937"/>
      <c r="D3" s="937"/>
      <c r="E3" s="937"/>
      <c r="F3" s="937"/>
    </row>
    <row r="4" spans="1:12" x14ac:dyDescent="0.2">
      <c r="F4" s="294" t="s">
        <v>396</v>
      </c>
    </row>
    <row r="5" spans="1:12" ht="21.95" customHeight="1" thickBot="1" x14ac:dyDescent="0.25">
      <c r="A5" s="941" t="s">
        <v>511</v>
      </c>
      <c r="B5" s="941"/>
      <c r="C5" s="941"/>
      <c r="D5" s="941"/>
      <c r="E5" s="941"/>
      <c r="F5" s="941"/>
      <c r="J5" s="496"/>
      <c r="K5" s="496"/>
      <c r="L5" s="496"/>
    </row>
    <row r="6" spans="1:12" ht="21.95" customHeight="1" x14ac:dyDescent="0.2">
      <c r="A6" s="922" t="s">
        <v>712</v>
      </c>
      <c r="B6" s="923"/>
      <c r="C6" s="923"/>
      <c r="D6" s="923"/>
      <c r="E6" s="923"/>
      <c r="F6" s="924"/>
      <c r="H6" s="497"/>
    </row>
    <row r="7" spans="1:12" ht="18.75" customHeight="1" x14ac:dyDescent="0.2">
      <c r="A7" s="918" t="s">
        <v>399</v>
      </c>
      <c r="B7" s="919" t="s">
        <v>689</v>
      </c>
      <c r="C7" s="917">
        <v>2019</v>
      </c>
      <c r="D7" s="917"/>
      <c r="E7" s="917"/>
      <c r="F7" s="400">
        <v>2019</v>
      </c>
    </row>
    <row r="8" spans="1:12" ht="25.5" customHeight="1" thickBot="1" x14ac:dyDescent="0.25">
      <c r="A8" s="914"/>
      <c r="B8" s="916"/>
      <c r="C8" s="401" t="s">
        <v>673</v>
      </c>
      <c r="D8" s="401" t="s">
        <v>403</v>
      </c>
      <c r="E8" s="401" t="s">
        <v>404</v>
      </c>
      <c r="F8" s="402" t="s">
        <v>674</v>
      </c>
    </row>
    <row r="9" spans="1:12" ht="21.95" customHeight="1" x14ac:dyDescent="0.2">
      <c r="A9" s="431" t="s">
        <v>531</v>
      </c>
      <c r="B9" s="432" t="s">
        <v>629</v>
      </c>
      <c r="C9" s="433">
        <v>250000</v>
      </c>
      <c r="D9" s="433">
        <f t="shared" ref="D9:D11" si="0">F9-C9</f>
        <v>-87500</v>
      </c>
      <c r="E9" s="434">
        <f>F9/C9*100</f>
        <v>65</v>
      </c>
      <c r="F9" s="415">
        <v>162500</v>
      </c>
    </row>
    <row r="10" spans="1:12" ht="21.95" customHeight="1" x14ac:dyDescent="0.2">
      <c r="A10" s="412" t="s">
        <v>553</v>
      </c>
      <c r="B10" s="432" t="s">
        <v>554</v>
      </c>
      <c r="C10" s="433">
        <v>0</v>
      </c>
      <c r="D10" s="433">
        <f t="shared" si="0"/>
        <v>0</v>
      </c>
      <c r="E10" s="434"/>
      <c r="F10" s="415">
        <v>0</v>
      </c>
      <c r="G10" s="293"/>
    </row>
    <row r="11" spans="1:12" ht="21.95" customHeight="1" thickBot="1" x14ac:dyDescent="0.25">
      <c r="A11" s="412" t="s">
        <v>557</v>
      </c>
      <c r="B11" s="437" t="s">
        <v>558</v>
      </c>
      <c r="C11" s="433">
        <v>12500</v>
      </c>
      <c r="D11" s="433">
        <f t="shared" si="0"/>
        <v>0</v>
      </c>
      <c r="E11" s="434">
        <f>F11/C11*100</f>
        <v>100</v>
      </c>
      <c r="F11" s="415">
        <v>12500</v>
      </c>
      <c r="H11" s="498"/>
      <c r="I11" s="498"/>
    </row>
    <row r="12" spans="1:12" ht="21.95" customHeight="1" thickBot="1" x14ac:dyDescent="0.25">
      <c r="A12" s="906" t="s">
        <v>590</v>
      </c>
      <c r="B12" s="907"/>
      <c r="C12" s="446">
        <f>SUM(C9:C11)</f>
        <v>262500</v>
      </c>
      <c r="D12" s="446">
        <f>SUM(D9:D11)</f>
        <v>-87500</v>
      </c>
      <c r="E12" s="447">
        <f>F12/C12*100</f>
        <v>66.666666666666657</v>
      </c>
      <c r="F12" s="446">
        <f>SUM(F9:F11)</f>
        <v>175000</v>
      </c>
      <c r="H12" s="499"/>
    </row>
    <row r="13" spans="1:12" ht="26.25" customHeight="1" thickBot="1" x14ac:dyDescent="0.25">
      <c r="A13" s="910" t="s">
        <v>713</v>
      </c>
      <c r="B13" s="911"/>
      <c r="C13" s="911"/>
      <c r="D13" s="911"/>
      <c r="E13" s="911"/>
      <c r="F13" s="912"/>
      <c r="G13" s="448"/>
    </row>
    <row r="14" spans="1:12" ht="24.95" customHeight="1" x14ac:dyDescent="0.2">
      <c r="A14" s="913" t="s">
        <v>399</v>
      </c>
      <c r="B14" s="915" t="s">
        <v>689</v>
      </c>
      <c r="C14" s="917">
        <v>2019</v>
      </c>
      <c r="D14" s="917"/>
      <c r="E14" s="917"/>
      <c r="F14" s="400">
        <v>2019</v>
      </c>
    </row>
    <row r="15" spans="1:12" ht="24.95" customHeight="1" thickBot="1" x14ac:dyDescent="0.25">
      <c r="A15" s="914"/>
      <c r="B15" s="916"/>
      <c r="C15" s="401" t="s">
        <v>673</v>
      </c>
      <c r="D15" s="401" t="s">
        <v>403</v>
      </c>
      <c r="E15" s="401" t="s">
        <v>404</v>
      </c>
      <c r="F15" s="402" t="s">
        <v>674</v>
      </c>
    </row>
    <row r="16" spans="1:12" ht="21.95" customHeight="1" thickBot="1" x14ac:dyDescent="0.25">
      <c r="A16" s="416" t="s">
        <v>523</v>
      </c>
      <c r="B16" s="437" t="s">
        <v>524</v>
      </c>
      <c r="C16" s="445">
        <v>720000</v>
      </c>
      <c r="D16" s="445">
        <f>F16-C16</f>
        <v>0</v>
      </c>
      <c r="E16" s="407">
        <f>F16/C16*100</f>
        <v>100</v>
      </c>
      <c r="F16" s="415">
        <v>720000</v>
      </c>
    </row>
    <row r="17" spans="1:6" ht="21.95" customHeight="1" thickBot="1" x14ac:dyDescent="0.25">
      <c r="A17" s="903" t="s">
        <v>3</v>
      </c>
      <c r="B17" s="904"/>
      <c r="C17" s="442">
        <f>SUM(C16:C16)</f>
        <v>720000</v>
      </c>
      <c r="D17" s="442">
        <f>SUM(D16:D16)</f>
        <v>0</v>
      </c>
      <c r="E17" s="426"/>
      <c r="F17" s="427">
        <f>SUM(F16:F16)</f>
        <v>720000</v>
      </c>
    </row>
    <row r="18" spans="1:6" ht="21.95" customHeight="1" x14ac:dyDescent="0.2">
      <c r="A18" s="450" t="s">
        <v>704</v>
      </c>
      <c r="B18" s="451" t="s">
        <v>528</v>
      </c>
      <c r="C18" s="452">
        <v>158400</v>
      </c>
      <c r="D18" s="452">
        <f>F18-C18</f>
        <v>0</v>
      </c>
      <c r="E18" s="453">
        <f>F18/C18*100</f>
        <v>100</v>
      </c>
      <c r="F18" s="454">
        <v>158400</v>
      </c>
    </row>
    <row r="19" spans="1:6" ht="21.95" customHeight="1" thickBot="1" x14ac:dyDescent="0.25">
      <c r="A19" s="419" t="s">
        <v>705</v>
      </c>
      <c r="B19" s="439" t="s">
        <v>706</v>
      </c>
      <c r="C19" s="449">
        <v>0</v>
      </c>
      <c r="D19" s="449">
        <f>F19-C19</f>
        <v>0</v>
      </c>
      <c r="E19" s="423"/>
      <c r="F19" s="424">
        <v>0</v>
      </c>
    </row>
    <row r="20" spans="1:6" ht="21.95" customHeight="1" thickBot="1" x14ac:dyDescent="0.25">
      <c r="A20" s="903" t="s">
        <v>707</v>
      </c>
      <c r="B20" s="905"/>
      <c r="C20" s="442">
        <f>SUM(C18:C19)</f>
        <v>158400</v>
      </c>
      <c r="D20" s="442">
        <f>SUM(D18:D19)</f>
        <v>0</v>
      </c>
      <c r="E20" s="426">
        <f>F20/C20*100</f>
        <v>100</v>
      </c>
      <c r="F20" s="427">
        <f>SUM(F18:F19)</f>
        <v>158400</v>
      </c>
    </row>
    <row r="21" spans="1:6" ht="21.95" customHeight="1" x14ac:dyDescent="0.2">
      <c r="A21" s="443" t="s">
        <v>531</v>
      </c>
      <c r="B21" s="444" t="s">
        <v>629</v>
      </c>
      <c r="C21" s="445">
        <v>311000</v>
      </c>
      <c r="D21" s="445">
        <f>F21-C21</f>
        <v>-311000</v>
      </c>
      <c r="E21" s="407">
        <f>F21/C21*100</f>
        <v>0</v>
      </c>
      <c r="F21" s="408">
        <v>0</v>
      </c>
    </row>
    <row r="22" spans="1:6" ht="21.95" customHeight="1" x14ac:dyDescent="0.2">
      <c r="A22" s="416" t="s">
        <v>533</v>
      </c>
      <c r="B22" s="437" t="s">
        <v>534</v>
      </c>
      <c r="C22" s="433">
        <v>20000</v>
      </c>
      <c r="D22" s="433">
        <f t="shared" ref="D22:D24" si="1">F22-C22</f>
        <v>-20000</v>
      </c>
      <c r="E22" s="407">
        <f t="shared" ref="E22:E24" si="2">F22/C22*100</f>
        <v>0</v>
      </c>
      <c r="F22" s="415">
        <v>0</v>
      </c>
    </row>
    <row r="23" spans="1:6" ht="21.95" customHeight="1" x14ac:dyDescent="0.2">
      <c r="A23" s="416" t="s">
        <v>547</v>
      </c>
      <c r="B23" s="437" t="s">
        <v>714</v>
      </c>
      <c r="C23" s="433">
        <v>124000</v>
      </c>
      <c r="D23" s="433">
        <f t="shared" si="1"/>
        <v>-124000</v>
      </c>
      <c r="E23" s="407">
        <f t="shared" si="2"/>
        <v>0</v>
      </c>
      <c r="F23" s="415">
        <v>0</v>
      </c>
    </row>
    <row r="24" spans="1:6" ht="21.95" customHeight="1" thickBot="1" x14ac:dyDescent="0.25">
      <c r="A24" s="419" t="s">
        <v>557</v>
      </c>
      <c r="B24" s="439" t="s">
        <v>558</v>
      </c>
      <c r="C24" s="440">
        <v>123000</v>
      </c>
      <c r="D24" s="440">
        <f t="shared" si="1"/>
        <v>-123000</v>
      </c>
      <c r="E24" s="407">
        <f t="shared" si="2"/>
        <v>0</v>
      </c>
      <c r="F24" s="424">
        <v>0</v>
      </c>
    </row>
    <row r="25" spans="1:6" ht="21.95" customHeight="1" thickBot="1" x14ac:dyDescent="0.25">
      <c r="A25" s="903" t="s">
        <v>5</v>
      </c>
      <c r="B25" s="905"/>
      <c r="C25" s="456">
        <f>SUM(C21:C24)</f>
        <v>578000</v>
      </c>
      <c r="D25" s="456">
        <f>SUM(D21:D24)</f>
        <v>-578000</v>
      </c>
      <c r="E25" s="426">
        <f>F25/C25*100</f>
        <v>0</v>
      </c>
      <c r="F25" s="427">
        <f>SUM(F21:F24)</f>
        <v>0</v>
      </c>
    </row>
    <row r="26" spans="1:6" ht="21.95" customHeight="1" thickBot="1" x14ac:dyDescent="0.25">
      <c r="A26" s="906" t="s">
        <v>590</v>
      </c>
      <c r="B26" s="907"/>
      <c r="C26" s="446">
        <f>C17+C20+C25</f>
        <v>1456400</v>
      </c>
      <c r="D26" s="446">
        <f>D17+D20+D25</f>
        <v>-578000</v>
      </c>
      <c r="E26" s="457">
        <f>F26/C26*100</f>
        <v>60.313100796484484</v>
      </c>
      <c r="F26" s="446">
        <f>F17+F20+F25</f>
        <v>878400</v>
      </c>
    </row>
    <row r="27" spans="1:6" ht="21.95" customHeight="1" x14ac:dyDescent="0.2">
      <c r="A27" s="922" t="s">
        <v>715</v>
      </c>
      <c r="B27" s="923"/>
      <c r="C27" s="923"/>
      <c r="D27" s="923"/>
      <c r="E27" s="923"/>
      <c r="F27" s="924"/>
    </row>
    <row r="28" spans="1:6" ht="21.95" customHeight="1" x14ac:dyDescent="0.2">
      <c r="A28" s="918" t="s">
        <v>399</v>
      </c>
      <c r="B28" s="919" t="s">
        <v>689</v>
      </c>
      <c r="C28" s="917">
        <v>2019</v>
      </c>
      <c r="D28" s="917"/>
      <c r="E28" s="917"/>
      <c r="F28" s="400">
        <v>2019</v>
      </c>
    </row>
    <row r="29" spans="1:6" ht="21.95" customHeight="1" thickBot="1" x14ac:dyDescent="0.25">
      <c r="A29" s="914"/>
      <c r="B29" s="916"/>
      <c r="C29" s="401" t="s">
        <v>673</v>
      </c>
      <c r="D29" s="401" t="s">
        <v>403</v>
      </c>
      <c r="E29" s="401" t="s">
        <v>404</v>
      </c>
      <c r="F29" s="402" t="s">
        <v>674</v>
      </c>
    </row>
    <row r="30" spans="1:6" ht="21.95" customHeight="1" x14ac:dyDescent="0.2">
      <c r="A30" s="403" t="s">
        <v>513</v>
      </c>
      <c r="B30" s="404" t="s">
        <v>638</v>
      </c>
      <c r="C30" s="405">
        <v>6100000</v>
      </c>
      <c r="D30" s="406">
        <f>F30-C30</f>
        <v>3000</v>
      </c>
      <c r="E30" s="407">
        <f>F30/C30*100</f>
        <v>100.04918032786885</v>
      </c>
      <c r="F30" s="408">
        <v>6103000</v>
      </c>
    </row>
    <row r="31" spans="1:6" ht="21.95" customHeight="1" x14ac:dyDescent="0.2">
      <c r="A31" s="416" t="s">
        <v>641</v>
      </c>
      <c r="B31" s="413" t="s">
        <v>695</v>
      </c>
      <c r="C31" s="414">
        <v>48000</v>
      </c>
      <c r="D31" s="406">
        <f t="shared" ref="D31:D35" si="3">F31-C31</f>
        <v>0</v>
      </c>
      <c r="E31" s="407">
        <f t="shared" ref="E31:E35" si="4">F31/C31*100</f>
        <v>100</v>
      </c>
      <c r="F31" s="415">
        <v>48000</v>
      </c>
    </row>
    <row r="32" spans="1:6" ht="21.95" customHeight="1" x14ac:dyDescent="0.2">
      <c r="A32" s="416" t="s">
        <v>517</v>
      </c>
      <c r="B32" s="413" t="s">
        <v>518</v>
      </c>
      <c r="C32" s="414">
        <v>120000</v>
      </c>
      <c r="D32" s="406">
        <f>F32-C32</f>
        <v>-120000</v>
      </c>
      <c r="E32" s="407">
        <f t="shared" si="4"/>
        <v>0</v>
      </c>
      <c r="F32" s="415">
        <v>0</v>
      </c>
    </row>
    <row r="33" spans="1:6" ht="21.95" customHeight="1" x14ac:dyDescent="0.2">
      <c r="A33" s="412" t="s">
        <v>626</v>
      </c>
      <c r="B33" s="413" t="s">
        <v>627</v>
      </c>
      <c r="C33" s="414">
        <v>24000</v>
      </c>
      <c r="D33" s="406">
        <f t="shared" si="3"/>
        <v>0</v>
      </c>
      <c r="E33" s="407">
        <f t="shared" si="4"/>
        <v>100</v>
      </c>
      <c r="F33" s="415">
        <v>24000</v>
      </c>
    </row>
    <row r="34" spans="1:6" ht="21.95" customHeight="1" x14ac:dyDescent="0.2">
      <c r="A34" s="412" t="s">
        <v>618</v>
      </c>
      <c r="B34" s="413" t="s">
        <v>619</v>
      </c>
      <c r="C34" s="414">
        <v>84000</v>
      </c>
      <c r="D34" s="406">
        <f t="shared" si="3"/>
        <v>0</v>
      </c>
      <c r="E34" s="407">
        <f t="shared" si="4"/>
        <v>100</v>
      </c>
      <c r="F34" s="415">
        <v>84000</v>
      </c>
    </row>
    <row r="35" spans="1:6" ht="21.95" customHeight="1" thickBot="1" x14ac:dyDescent="0.25">
      <c r="A35" s="419" t="s">
        <v>523</v>
      </c>
      <c r="B35" s="420" t="s">
        <v>524</v>
      </c>
      <c r="C35" s="421">
        <v>200000</v>
      </c>
      <c r="D35" s="422">
        <f t="shared" si="3"/>
        <v>-29000</v>
      </c>
      <c r="E35" s="423">
        <f t="shared" si="4"/>
        <v>85.5</v>
      </c>
      <c r="F35" s="424">
        <v>171000</v>
      </c>
    </row>
    <row r="36" spans="1:6" ht="21.95" customHeight="1" thickBot="1" x14ac:dyDescent="0.25">
      <c r="A36" s="903" t="s">
        <v>3</v>
      </c>
      <c r="B36" s="908"/>
      <c r="C36" s="425">
        <f>SUM(C30:C35)</f>
        <v>6576000</v>
      </c>
      <c r="D36" s="425">
        <f>SUM(D30:D35)</f>
        <v>-146000</v>
      </c>
      <c r="E36" s="426">
        <f>F36/C36*100</f>
        <v>97.77980535279805</v>
      </c>
      <c r="F36" s="427">
        <f>SUM(F30:F35)</f>
        <v>6430000</v>
      </c>
    </row>
    <row r="37" spans="1:6" ht="21.95" customHeight="1" x14ac:dyDescent="0.2">
      <c r="A37" s="403" t="s">
        <v>527</v>
      </c>
      <c r="B37" s="404" t="s">
        <v>528</v>
      </c>
      <c r="C37" s="428">
        <v>1189500</v>
      </c>
      <c r="D37" s="406">
        <f t="shared" ref="D37:D38" si="5">F37-C37</f>
        <v>10500</v>
      </c>
      <c r="E37" s="407">
        <f t="shared" ref="E37:E38" si="6">F37/C37*100</f>
        <v>100.88272383354351</v>
      </c>
      <c r="F37" s="408">
        <v>1200000</v>
      </c>
    </row>
    <row r="38" spans="1:6" ht="21.95" customHeight="1" thickBot="1" x14ac:dyDescent="0.25">
      <c r="A38" s="429" t="s">
        <v>529</v>
      </c>
      <c r="B38" s="430" t="s">
        <v>530</v>
      </c>
      <c r="C38" s="421">
        <v>20000</v>
      </c>
      <c r="D38" s="422">
        <f t="shared" si="5"/>
        <v>-10500</v>
      </c>
      <c r="E38" s="423">
        <f t="shared" si="6"/>
        <v>47.5</v>
      </c>
      <c r="F38" s="424">
        <v>9500</v>
      </c>
    </row>
    <row r="39" spans="1:6" ht="21.95" customHeight="1" thickBot="1" x14ac:dyDescent="0.25">
      <c r="A39" s="909" t="s">
        <v>697</v>
      </c>
      <c r="B39" s="908"/>
      <c r="C39" s="425">
        <f>SUM(C37:C38)</f>
        <v>1209500</v>
      </c>
      <c r="D39" s="425">
        <f>SUM(D37:D38)</f>
        <v>0</v>
      </c>
      <c r="E39" s="426"/>
      <c r="F39" s="427">
        <f>SUM(F37:F38)</f>
        <v>1209500</v>
      </c>
    </row>
    <row r="40" spans="1:6" ht="21.95" customHeight="1" x14ac:dyDescent="0.2">
      <c r="A40" s="431" t="s">
        <v>531</v>
      </c>
      <c r="B40" s="432" t="s">
        <v>629</v>
      </c>
      <c r="C40" s="433">
        <v>300000</v>
      </c>
      <c r="D40" s="433">
        <f t="shared" ref="D40:D52" si="7">F40-C40</f>
        <v>0</v>
      </c>
      <c r="E40" s="434">
        <f t="shared" ref="E40:E48" si="8">F40/C40*100</f>
        <v>100</v>
      </c>
      <c r="F40" s="415">
        <v>300000</v>
      </c>
    </row>
    <row r="41" spans="1:6" ht="21.95" customHeight="1" x14ac:dyDescent="0.2">
      <c r="A41" s="412" t="s">
        <v>533</v>
      </c>
      <c r="B41" s="432" t="s">
        <v>534</v>
      </c>
      <c r="C41" s="433">
        <v>446000</v>
      </c>
      <c r="D41" s="433">
        <f t="shared" si="7"/>
        <v>0</v>
      </c>
      <c r="E41" s="434">
        <f t="shared" si="8"/>
        <v>100</v>
      </c>
      <c r="F41" s="415">
        <v>446000</v>
      </c>
    </row>
    <row r="42" spans="1:6" ht="21.95" customHeight="1" x14ac:dyDescent="0.2">
      <c r="A42" s="416" t="s">
        <v>644</v>
      </c>
      <c r="B42" s="432" t="s">
        <v>698</v>
      </c>
      <c r="C42" s="433">
        <v>80000</v>
      </c>
      <c r="D42" s="433">
        <f t="shared" si="7"/>
        <v>0</v>
      </c>
      <c r="E42" s="434">
        <f t="shared" si="8"/>
        <v>100</v>
      </c>
      <c r="F42" s="415">
        <v>80000</v>
      </c>
    </row>
    <row r="43" spans="1:6" ht="21.95" customHeight="1" x14ac:dyDescent="0.2">
      <c r="A43" s="436" t="s">
        <v>537</v>
      </c>
      <c r="B43" s="437" t="s">
        <v>699</v>
      </c>
      <c r="C43" s="433">
        <v>60000</v>
      </c>
      <c r="D43" s="433">
        <f t="shared" si="7"/>
        <v>1500</v>
      </c>
      <c r="E43" s="434">
        <f t="shared" si="8"/>
        <v>102.49999999999999</v>
      </c>
      <c r="F43" s="415">
        <v>61500</v>
      </c>
    </row>
    <row r="44" spans="1:6" ht="21.95" customHeight="1" x14ac:dyDescent="0.2">
      <c r="A44" s="419" t="s">
        <v>539</v>
      </c>
      <c r="B44" s="437" t="s">
        <v>540</v>
      </c>
      <c r="C44" s="433">
        <v>100000</v>
      </c>
      <c r="D44" s="433">
        <f t="shared" si="7"/>
        <v>0</v>
      </c>
      <c r="E44" s="434">
        <f t="shared" si="8"/>
        <v>100</v>
      </c>
      <c r="F44" s="415">
        <v>100000</v>
      </c>
    </row>
    <row r="45" spans="1:6" ht="21.95" customHeight="1" x14ac:dyDescent="0.2">
      <c r="A45" s="416" t="s">
        <v>541</v>
      </c>
      <c r="B45" s="437" t="s">
        <v>542</v>
      </c>
      <c r="C45" s="433">
        <v>1100000</v>
      </c>
      <c r="D45" s="433">
        <f t="shared" si="7"/>
        <v>0</v>
      </c>
      <c r="E45" s="434">
        <f t="shared" si="8"/>
        <v>100</v>
      </c>
      <c r="F45" s="415">
        <v>1100000</v>
      </c>
    </row>
    <row r="46" spans="1:6" ht="21.95" customHeight="1" x14ac:dyDescent="0.2">
      <c r="A46" s="500" t="s">
        <v>592</v>
      </c>
      <c r="B46" s="437" t="s">
        <v>716</v>
      </c>
      <c r="C46" s="433">
        <v>130000</v>
      </c>
      <c r="D46" s="433">
        <f t="shared" si="7"/>
        <v>0</v>
      </c>
      <c r="E46" s="434">
        <f t="shared" si="8"/>
        <v>100</v>
      </c>
      <c r="F46" s="415">
        <v>130000</v>
      </c>
    </row>
    <row r="47" spans="1:6" ht="21.95" customHeight="1" x14ac:dyDescent="0.2">
      <c r="A47" s="416" t="s">
        <v>547</v>
      </c>
      <c r="B47" s="437" t="s">
        <v>714</v>
      </c>
      <c r="C47" s="433">
        <v>450000</v>
      </c>
      <c r="D47" s="433">
        <f t="shared" si="7"/>
        <v>0</v>
      </c>
      <c r="E47" s="434">
        <f t="shared" si="8"/>
        <v>100</v>
      </c>
      <c r="F47" s="415">
        <v>450000</v>
      </c>
    </row>
    <row r="48" spans="1:6" ht="21.95" customHeight="1" x14ac:dyDescent="0.2">
      <c r="A48" s="412" t="s">
        <v>553</v>
      </c>
      <c r="B48" s="432" t="s">
        <v>554</v>
      </c>
      <c r="C48" s="433">
        <v>600000</v>
      </c>
      <c r="D48" s="433">
        <f t="shared" si="7"/>
        <v>-5000</v>
      </c>
      <c r="E48" s="434">
        <f t="shared" si="8"/>
        <v>99.166666666666671</v>
      </c>
      <c r="F48" s="415">
        <v>595000</v>
      </c>
    </row>
    <row r="49" spans="1:7" ht="21.95" customHeight="1" x14ac:dyDescent="0.2">
      <c r="A49" s="403" t="s">
        <v>608</v>
      </c>
      <c r="B49" s="437" t="s">
        <v>609</v>
      </c>
      <c r="C49" s="433">
        <v>0</v>
      </c>
      <c r="D49" s="433">
        <f t="shared" si="7"/>
        <v>175000</v>
      </c>
      <c r="E49" s="434"/>
      <c r="F49" s="415">
        <v>175000</v>
      </c>
    </row>
    <row r="50" spans="1:7" ht="21.95" customHeight="1" x14ac:dyDescent="0.2">
      <c r="A50" s="412" t="s">
        <v>557</v>
      </c>
      <c r="B50" s="437" t="s">
        <v>558</v>
      </c>
      <c r="C50" s="433">
        <v>617000</v>
      </c>
      <c r="D50" s="433">
        <f t="shared" si="7"/>
        <v>0</v>
      </c>
      <c r="E50" s="434">
        <f>F50/C50*100</f>
        <v>100</v>
      </c>
      <c r="F50" s="415">
        <v>617000</v>
      </c>
    </row>
    <row r="51" spans="1:7" ht="21.75" customHeight="1" thickBot="1" x14ac:dyDescent="0.25">
      <c r="A51" s="429" t="s">
        <v>563</v>
      </c>
      <c r="B51" s="439" t="s">
        <v>700</v>
      </c>
      <c r="C51" s="440">
        <v>0</v>
      </c>
      <c r="D51" s="440">
        <f t="shared" si="7"/>
        <v>5000</v>
      </c>
      <c r="E51" s="441"/>
      <c r="F51" s="424">
        <v>5000</v>
      </c>
    </row>
    <row r="52" spans="1:7" ht="21.95" customHeight="1" thickBot="1" x14ac:dyDescent="0.25">
      <c r="A52" s="909" t="s">
        <v>5</v>
      </c>
      <c r="B52" s="905"/>
      <c r="C52" s="442">
        <f>SUM(C40:C51)</f>
        <v>3883000</v>
      </c>
      <c r="D52" s="442">
        <f t="shared" si="7"/>
        <v>176500</v>
      </c>
      <c r="E52" s="426">
        <f>F52/C52*100</f>
        <v>104.54545454545455</v>
      </c>
      <c r="F52" s="427">
        <f>SUM(F40:F51)</f>
        <v>4059500</v>
      </c>
    </row>
    <row r="53" spans="1:7" ht="21.95" customHeight="1" x14ac:dyDescent="0.2">
      <c r="A53" s="450" t="s">
        <v>580</v>
      </c>
      <c r="B53" s="501" t="s">
        <v>717</v>
      </c>
      <c r="C53" s="452">
        <v>300000</v>
      </c>
      <c r="D53" s="452">
        <f>F53-C53</f>
        <v>500000</v>
      </c>
      <c r="E53" s="453">
        <f>F53/C53*100</f>
        <v>266.66666666666663</v>
      </c>
      <c r="F53" s="502">
        <v>800000</v>
      </c>
      <c r="G53" s="293"/>
    </row>
    <row r="54" spans="1:7" ht="21.95" customHeight="1" thickBot="1" x14ac:dyDescent="0.25">
      <c r="A54" s="416" t="s">
        <v>582</v>
      </c>
      <c r="B54" s="437" t="s">
        <v>718</v>
      </c>
      <c r="C54" s="433">
        <v>81000</v>
      </c>
      <c r="D54" s="445">
        <f>F54-C54</f>
        <v>135000</v>
      </c>
      <c r="E54" s="407">
        <f>F54/C54*100</f>
        <v>266.66666666666663</v>
      </c>
      <c r="F54" s="415">
        <v>216000</v>
      </c>
    </row>
    <row r="55" spans="1:7" ht="21.95" customHeight="1" thickBot="1" x14ac:dyDescent="0.25">
      <c r="A55" s="909" t="s">
        <v>719</v>
      </c>
      <c r="B55" s="905"/>
      <c r="C55" s="442">
        <f>SUM(C53:C54)</f>
        <v>381000</v>
      </c>
      <c r="D55" s="442">
        <f>SUM(D53:D54)</f>
        <v>635000</v>
      </c>
      <c r="E55" s="426">
        <f>F55/C55*100</f>
        <v>266.66666666666663</v>
      </c>
      <c r="F55" s="427">
        <f>SUM(F53:F54)</f>
        <v>1016000</v>
      </c>
    </row>
    <row r="56" spans="1:7" ht="21.95" customHeight="1" thickBot="1" x14ac:dyDescent="0.25">
      <c r="A56" s="939" t="s">
        <v>590</v>
      </c>
      <c r="B56" s="940"/>
      <c r="C56" s="503">
        <f>C36+C39+C52+C55</f>
        <v>12049500</v>
      </c>
      <c r="D56" s="503">
        <f>D36+D39+D52+D55</f>
        <v>665500</v>
      </c>
      <c r="E56" s="504">
        <f>F56/C56*100</f>
        <v>105.52305074899373</v>
      </c>
      <c r="F56" s="503">
        <f>F36+F39+F52+F55</f>
        <v>12715000</v>
      </c>
    </row>
    <row r="57" spans="1:7" ht="21.95" customHeight="1" thickBot="1" x14ac:dyDescent="0.25">
      <c r="A57" s="458"/>
      <c r="C57" s="3"/>
      <c r="D57" s="3"/>
      <c r="E57" s="3"/>
      <c r="F57" s="459"/>
    </row>
    <row r="58" spans="1:7" ht="21.95" customHeight="1" thickBot="1" x14ac:dyDescent="0.25">
      <c r="A58" s="460" t="s">
        <v>708</v>
      </c>
      <c r="B58" s="461"/>
      <c r="C58" s="462">
        <f>C12+C26+C56</f>
        <v>13768400</v>
      </c>
      <c r="D58" s="462">
        <f>D12+D26+D56</f>
        <v>0</v>
      </c>
      <c r="E58" s="505">
        <f>F58/C58*100</f>
        <v>100</v>
      </c>
      <c r="F58" s="462">
        <f>F12+F26+F56</f>
        <v>13768400</v>
      </c>
    </row>
  </sheetData>
  <mergeCells count="26">
    <mergeCell ref="A17:B17"/>
    <mergeCell ref="C1:F1"/>
    <mergeCell ref="A2:F2"/>
    <mergeCell ref="A3:F3"/>
    <mergeCell ref="A5:F5"/>
    <mergeCell ref="A6:F6"/>
    <mergeCell ref="A7:A8"/>
    <mergeCell ref="B7:B8"/>
    <mergeCell ref="C7:E7"/>
    <mergeCell ref="A12:B12"/>
    <mergeCell ref="A13:F13"/>
    <mergeCell ref="A14:A15"/>
    <mergeCell ref="B14:B15"/>
    <mergeCell ref="C14:E14"/>
    <mergeCell ref="A20:B20"/>
    <mergeCell ref="A25:B25"/>
    <mergeCell ref="A26:B26"/>
    <mergeCell ref="A27:F27"/>
    <mergeCell ref="A28:A29"/>
    <mergeCell ref="B28:B29"/>
    <mergeCell ref="C28:E28"/>
    <mergeCell ref="A36:B36"/>
    <mergeCell ref="A39:B39"/>
    <mergeCell ref="A52:B52"/>
    <mergeCell ref="A55:B55"/>
    <mergeCell ref="A56:B56"/>
  </mergeCells>
  <pageMargins left="0.7" right="0.7" top="0.75" bottom="0.75" header="0.3" footer="0.3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86DE1-E812-4E6E-BB41-E39A21F4228D}">
  <dimension ref="A1:F25"/>
  <sheetViews>
    <sheetView view="pageBreakPreview" zoomScale="60" zoomScaleNormal="100" workbookViewId="0">
      <selection activeCell="E12" sqref="E12"/>
    </sheetView>
  </sheetViews>
  <sheetFormatPr defaultRowHeight="12.75" x14ac:dyDescent="0.2"/>
  <cols>
    <col min="1" max="1" width="12.28515625" customWidth="1"/>
    <col min="2" max="2" width="37.28515625" customWidth="1"/>
    <col min="3" max="3" width="11.85546875" customWidth="1"/>
    <col min="4" max="4" width="11.7109375" customWidth="1"/>
    <col min="5" max="5" width="11.42578125" customWidth="1"/>
    <col min="6" max="6" width="12.28515625" customWidth="1"/>
  </cols>
  <sheetData>
    <row r="1" spans="1:6" x14ac:dyDescent="0.2">
      <c r="E1" s="5"/>
      <c r="F1" s="5"/>
    </row>
    <row r="2" spans="1:6" x14ac:dyDescent="0.2">
      <c r="A2" s="937" t="s">
        <v>671</v>
      </c>
      <c r="B2" s="937"/>
      <c r="C2" s="937"/>
      <c r="D2" s="937"/>
      <c r="E2" s="937"/>
      <c r="F2" s="937"/>
    </row>
    <row r="3" spans="1:6" x14ac:dyDescent="0.2">
      <c r="A3" s="937" t="s">
        <v>720</v>
      </c>
      <c r="B3" s="937"/>
      <c r="C3" s="937"/>
      <c r="D3" s="937"/>
      <c r="E3" s="937"/>
      <c r="F3" s="937"/>
    </row>
    <row r="4" spans="1:6" x14ac:dyDescent="0.2">
      <c r="A4" s="465"/>
      <c r="B4" s="465"/>
      <c r="C4" s="465"/>
      <c r="D4" s="465"/>
      <c r="E4" s="465"/>
      <c r="F4" s="466" t="s">
        <v>396</v>
      </c>
    </row>
    <row r="5" spans="1:6" ht="13.5" thickBot="1" x14ac:dyDescent="0.25">
      <c r="A5" s="938" t="s">
        <v>397</v>
      </c>
      <c r="B5" s="938"/>
      <c r="C5" s="938"/>
      <c r="D5" s="938"/>
      <c r="E5" s="938"/>
      <c r="F5" s="938"/>
    </row>
    <row r="6" spans="1:6" x14ac:dyDescent="0.2">
      <c r="A6" s="929" t="s">
        <v>472</v>
      </c>
      <c r="B6" s="930"/>
      <c r="C6" s="930"/>
      <c r="D6" s="930"/>
      <c r="E6" s="930"/>
      <c r="F6" s="931"/>
    </row>
    <row r="7" spans="1:6" x14ac:dyDescent="0.2">
      <c r="A7" s="932" t="s">
        <v>399</v>
      </c>
      <c r="B7" s="934" t="s">
        <v>400</v>
      </c>
      <c r="C7" s="936">
        <v>2019</v>
      </c>
      <c r="D7" s="936"/>
      <c r="E7" s="936"/>
      <c r="F7" s="467">
        <v>2019</v>
      </c>
    </row>
    <row r="8" spans="1:6" ht="13.5" thickBot="1" x14ac:dyDescent="0.25">
      <c r="A8" s="933"/>
      <c r="B8" s="935"/>
      <c r="C8" s="468" t="s">
        <v>673</v>
      </c>
      <c r="D8" s="468" t="s">
        <v>403</v>
      </c>
      <c r="E8" s="468" t="s">
        <v>404</v>
      </c>
      <c r="F8" s="469" t="s">
        <v>674</v>
      </c>
    </row>
    <row r="9" spans="1:6" ht="21" x14ac:dyDescent="0.2">
      <c r="A9" s="477" t="s">
        <v>474</v>
      </c>
      <c r="B9" s="478" t="s">
        <v>475</v>
      </c>
      <c r="C9" s="479">
        <v>298000</v>
      </c>
      <c r="D9" s="479">
        <f>F9-C9</f>
        <v>687</v>
      </c>
      <c r="E9" s="480">
        <f>F9/C9*100</f>
        <v>100.23053691275167</v>
      </c>
      <c r="F9" s="481">
        <v>298687</v>
      </c>
    </row>
    <row r="10" spans="1:6" x14ac:dyDescent="0.2">
      <c r="A10" s="927" t="s">
        <v>675</v>
      </c>
      <c r="B10" s="482" t="s">
        <v>676</v>
      </c>
      <c r="C10" s="483">
        <f>C11+C12</f>
        <v>63412301</v>
      </c>
      <c r="D10" s="479">
        <f>F10-C10</f>
        <v>0</v>
      </c>
      <c r="E10" s="480">
        <f t="shared" ref="E10:E11" si="0">F10/C10*100</f>
        <v>100</v>
      </c>
      <c r="F10" s="484">
        <f>F11+F12</f>
        <v>63412301</v>
      </c>
    </row>
    <row r="11" spans="1:6" x14ac:dyDescent="0.2">
      <c r="A11" s="928"/>
      <c r="B11" s="485" t="s">
        <v>677</v>
      </c>
      <c r="C11" s="486">
        <v>63412301</v>
      </c>
      <c r="D11" s="487">
        <f t="shared" ref="D11:D12" si="1">F11-C11</f>
        <v>-5577823</v>
      </c>
      <c r="E11" s="488">
        <f t="shared" si="0"/>
        <v>91.203878566084512</v>
      </c>
      <c r="F11" s="489">
        <v>57834478</v>
      </c>
    </row>
    <row r="12" spans="1:6" ht="21.75" thickBot="1" x14ac:dyDescent="0.25">
      <c r="A12" s="928"/>
      <c r="B12" s="490" t="s">
        <v>710</v>
      </c>
      <c r="C12" s="491">
        <v>0</v>
      </c>
      <c r="D12" s="487">
        <f t="shared" si="1"/>
        <v>5577823</v>
      </c>
      <c r="E12" s="488"/>
      <c r="F12" s="492">
        <v>5577823</v>
      </c>
    </row>
    <row r="13" spans="1:6" ht="13.5" thickBot="1" x14ac:dyDescent="0.25">
      <c r="A13" s="925" t="s">
        <v>83</v>
      </c>
      <c r="B13" s="926"/>
      <c r="C13" s="470">
        <f>C9+C10</f>
        <v>63710301</v>
      </c>
      <c r="D13" s="471">
        <f>SUM(D9:D10)</f>
        <v>687</v>
      </c>
      <c r="E13" s="472">
        <f>F13/C13*100</f>
        <v>100.00107831855951</v>
      </c>
      <c r="F13" s="470">
        <f>SUM(F9:F10)</f>
        <v>63710988</v>
      </c>
    </row>
    <row r="14" spans="1:6" x14ac:dyDescent="0.2">
      <c r="A14" s="929" t="s">
        <v>721</v>
      </c>
      <c r="B14" s="930"/>
      <c r="C14" s="930"/>
      <c r="D14" s="930"/>
      <c r="E14" s="930"/>
      <c r="F14" s="931"/>
    </row>
    <row r="15" spans="1:6" x14ac:dyDescent="0.2">
      <c r="A15" s="932" t="s">
        <v>399</v>
      </c>
      <c r="B15" s="934" t="s">
        <v>400</v>
      </c>
      <c r="C15" s="936">
        <v>2019</v>
      </c>
      <c r="D15" s="936"/>
      <c r="E15" s="936"/>
      <c r="F15" s="467">
        <v>2019</v>
      </c>
    </row>
    <row r="16" spans="1:6" ht="13.5" thickBot="1" x14ac:dyDescent="0.25">
      <c r="A16" s="933"/>
      <c r="B16" s="935"/>
      <c r="C16" s="468" t="s">
        <v>673</v>
      </c>
      <c r="D16" s="468" t="s">
        <v>403</v>
      </c>
      <c r="E16" s="468" t="s">
        <v>404</v>
      </c>
      <c r="F16" s="469" t="s">
        <v>674</v>
      </c>
    </row>
    <row r="17" spans="1:6" ht="21" x14ac:dyDescent="0.2">
      <c r="A17" s="506" t="s">
        <v>409</v>
      </c>
      <c r="B17" s="507" t="s">
        <v>722</v>
      </c>
      <c r="C17" s="508">
        <v>0</v>
      </c>
      <c r="D17" s="494">
        <f>F17-C17</f>
        <v>0</v>
      </c>
      <c r="E17" s="480"/>
      <c r="F17" s="509"/>
    </row>
    <row r="18" spans="1:6" x14ac:dyDescent="0.2">
      <c r="A18" s="477" t="s">
        <v>416</v>
      </c>
      <c r="B18" s="493" t="s">
        <v>354</v>
      </c>
      <c r="C18" s="494">
        <v>0</v>
      </c>
      <c r="D18" s="494">
        <f>F18-C18</f>
        <v>28000</v>
      </c>
      <c r="E18" s="494"/>
      <c r="F18" s="495">
        <v>28000</v>
      </c>
    </row>
    <row r="19" spans="1:6" ht="13.5" thickBot="1" x14ac:dyDescent="0.25">
      <c r="A19" s="477" t="s">
        <v>684</v>
      </c>
      <c r="B19" s="478" t="s">
        <v>685</v>
      </c>
      <c r="C19" s="494">
        <v>0</v>
      </c>
      <c r="D19" s="494">
        <f>F19-C19</f>
        <v>1370012</v>
      </c>
      <c r="E19" s="494"/>
      <c r="F19" s="495">
        <v>1370012</v>
      </c>
    </row>
    <row r="20" spans="1:6" ht="13.5" thickBot="1" x14ac:dyDescent="0.25">
      <c r="A20" s="925" t="s">
        <v>83</v>
      </c>
      <c r="B20" s="926"/>
      <c r="C20" s="470">
        <f>SUM(C17:C19)</f>
        <v>0</v>
      </c>
      <c r="D20" s="470">
        <f>SUM(D17:D19)</f>
        <v>1398012</v>
      </c>
      <c r="E20" s="472"/>
      <c r="F20" s="470">
        <f>SUM(F17:F19)</f>
        <v>1398012</v>
      </c>
    </row>
    <row r="21" spans="1:6" ht="13.5" thickBot="1" x14ac:dyDescent="0.25">
      <c r="A21" s="473"/>
      <c r="B21" s="473"/>
      <c r="C21" s="474"/>
      <c r="D21" s="474"/>
      <c r="E21" s="475"/>
      <c r="F21" s="474"/>
    </row>
    <row r="22" spans="1:6" ht="13.5" thickBot="1" x14ac:dyDescent="0.25">
      <c r="A22" s="925" t="s">
        <v>688</v>
      </c>
      <c r="B22" s="926"/>
      <c r="C22" s="470">
        <f>C13+C20</f>
        <v>63710301</v>
      </c>
      <c r="D22" s="470">
        <f>D13+D20</f>
        <v>1398699</v>
      </c>
      <c r="E22" s="476">
        <f>F22/C22*100</f>
        <v>102.1954047901924</v>
      </c>
      <c r="F22" s="470">
        <f>F13+F20</f>
        <v>65109000</v>
      </c>
    </row>
    <row r="25" spans="1:6" x14ac:dyDescent="0.2">
      <c r="F25" s="3">
        <f>F22-'[2]Kiadások COFOG szerint'!F83</f>
        <v>0</v>
      </c>
    </row>
  </sheetData>
  <mergeCells count="15">
    <mergeCell ref="A2:F2"/>
    <mergeCell ref="A3:F3"/>
    <mergeCell ref="A5:F5"/>
    <mergeCell ref="A6:F6"/>
    <mergeCell ref="A7:A8"/>
    <mergeCell ref="B7:B8"/>
    <mergeCell ref="C7:E7"/>
    <mergeCell ref="A20:B20"/>
    <mergeCell ref="A22:B22"/>
    <mergeCell ref="A10:A12"/>
    <mergeCell ref="A13:B13"/>
    <mergeCell ref="A14:F14"/>
    <mergeCell ref="A15:A16"/>
    <mergeCell ref="B15:B16"/>
    <mergeCell ref="C15:E15"/>
  </mergeCells>
  <pageMargins left="0.7" right="0.7" top="0.75" bottom="0.75" header="0.3" footer="0.3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D77C-60CA-4936-A668-8AA801DC298A}">
  <dimension ref="A1:L83"/>
  <sheetViews>
    <sheetView view="pageBreakPreview" topLeftCell="A7" zoomScale="60" zoomScaleNormal="100" workbookViewId="0">
      <selection activeCell="G7" sqref="G7:J79"/>
    </sheetView>
  </sheetViews>
  <sheetFormatPr defaultRowHeight="12.75" x14ac:dyDescent="0.2"/>
  <cols>
    <col min="1" max="1" width="11.5703125" customWidth="1"/>
    <col min="2" max="2" width="39.140625" customWidth="1"/>
    <col min="3" max="3" width="13.140625" customWidth="1"/>
    <col min="4" max="4" width="11.42578125" customWidth="1"/>
    <col min="5" max="5" width="9.85546875" customWidth="1"/>
    <col min="6" max="6" width="17.42578125" customWidth="1"/>
    <col min="7" max="7" width="11.42578125" bestFit="1" customWidth="1"/>
    <col min="8" max="8" width="12.42578125" style="293" bestFit="1" customWidth="1"/>
    <col min="9" max="9" width="11.42578125" style="293" bestFit="1" customWidth="1"/>
    <col min="10" max="11" width="15.28515625" style="293" bestFit="1" customWidth="1"/>
    <col min="12" max="12" width="13.7109375" style="293" bestFit="1" customWidth="1"/>
    <col min="13" max="13" width="12.5703125" bestFit="1" customWidth="1"/>
    <col min="14" max="14" width="15.28515625" bestFit="1" customWidth="1"/>
  </cols>
  <sheetData>
    <row r="1" spans="1:12" x14ac:dyDescent="0.2">
      <c r="C1" s="920"/>
      <c r="D1" s="885"/>
      <c r="E1" s="885"/>
      <c r="F1" s="885"/>
    </row>
    <row r="2" spans="1:12" x14ac:dyDescent="0.2">
      <c r="A2" s="937" t="s">
        <v>671</v>
      </c>
      <c r="B2" s="937"/>
      <c r="C2" s="937"/>
      <c r="D2" s="937"/>
      <c r="E2" s="937"/>
      <c r="F2" s="937"/>
    </row>
    <row r="3" spans="1:12" x14ac:dyDescent="0.2">
      <c r="A3" s="937" t="s">
        <v>720</v>
      </c>
      <c r="B3" s="937"/>
      <c r="C3" s="937"/>
      <c r="D3" s="937"/>
      <c r="E3" s="937"/>
      <c r="F3" s="937"/>
    </row>
    <row r="4" spans="1:12" x14ac:dyDescent="0.2">
      <c r="F4" s="294" t="s">
        <v>396</v>
      </c>
    </row>
    <row r="5" spans="1:12" ht="21.95" customHeight="1" thickBot="1" x14ac:dyDescent="0.25">
      <c r="A5" s="941" t="s">
        <v>511</v>
      </c>
      <c r="B5" s="941"/>
      <c r="C5" s="941"/>
      <c r="D5" s="941"/>
      <c r="E5" s="941"/>
      <c r="F5" s="941"/>
      <c r="J5" s="496"/>
      <c r="K5" s="496"/>
      <c r="L5" s="496"/>
    </row>
    <row r="6" spans="1:12" ht="21.95" customHeight="1" x14ac:dyDescent="0.2">
      <c r="A6" s="922" t="s">
        <v>723</v>
      </c>
      <c r="B6" s="923"/>
      <c r="C6" s="923"/>
      <c r="D6" s="923"/>
      <c r="E6" s="923"/>
      <c r="F6" s="924"/>
      <c r="H6" s="497"/>
    </row>
    <row r="7" spans="1:12" ht="18.75" customHeight="1" x14ac:dyDescent="0.2">
      <c r="A7" s="918" t="s">
        <v>399</v>
      </c>
      <c r="B7" s="919" t="s">
        <v>689</v>
      </c>
      <c r="C7" s="917">
        <v>2019</v>
      </c>
      <c r="D7" s="917"/>
      <c r="E7" s="917"/>
      <c r="F7" s="400">
        <v>2019</v>
      </c>
    </row>
    <row r="8" spans="1:12" ht="25.5" customHeight="1" thickBot="1" x14ac:dyDescent="0.25">
      <c r="A8" s="914"/>
      <c r="B8" s="916"/>
      <c r="C8" s="401" t="s">
        <v>673</v>
      </c>
      <c r="D8" s="401" t="s">
        <v>403</v>
      </c>
      <c r="E8" s="401" t="s">
        <v>404</v>
      </c>
      <c r="F8" s="402" t="s">
        <v>674</v>
      </c>
    </row>
    <row r="9" spans="1:12" ht="21.95" customHeight="1" x14ac:dyDescent="0.2">
      <c r="A9" s="403" t="s">
        <v>513</v>
      </c>
      <c r="B9" s="404" t="s">
        <v>638</v>
      </c>
      <c r="C9" s="405">
        <v>17536698</v>
      </c>
      <c r="D9" s="406">
        <f>F9-C9</f>
        <v>-180000</v>
      </c>
      <c r="E9" s="407">
        <f>F9/C9*100</f>
        <v>98.973581001394905</v>
      </c>
      <c r="F9" s="408">
        <v>17356698</v>
      </c>
    </row>
    <row r="10" spans="1:12" ht="21.95" customHeight="1" x14ac:dyDescent="0.2">
      <c r="A10" s="416" t="s">
        <v>641</v>
      </c>
      <c r="B10" s="413" t="s">
        <v>695</v>
      </c>
      <c r="C10" s="414">
        <v>168000</v>
      </c>
      <c r="D10" s="406">
        <f t="shared" ref="D10" si="0">F10-C10</f>
        <v>280000</v>
      </c>
      <c r="E10" s="407">
        <f t="shared" ref="E10:E13" si="1">F10/C10*100</f>
        <v>266.66666666666663</v>
      </c>
      <c r="F10" s="415">
        <v>448000</v>
      </c>
    </row>
    <row r="11" spans="1:12" ht="21.95" customHeight="1" x14ac:dyDescent="0.2">
      <c r="A11" s="416" t="s">
        <v>517</v>
      </c>
      <c r="B11" s="413" t="s">
        <v>518</v>
      </c>
      <c r="C11" s="414">
        <v>400000</v>
      </c>
      <c r="D11" s="406">
        <f>F11-C11</f>
        <v>-17000</v>
      </c>
      <c r="E11" s="407">
        <f t="shared" si="1"/>
        <v>95.75</v>
      </c>
      <c r="F11" s="415">
        <v>383000</v>
      </c>
    </row>
    <row r="12" spans="1:12" ht="21.95" customHeight="1" x14ac:dyDescent="0.2">
      <c r="A12" s="412" t="s">
        <v>626</v>
      </c>
      <c r="B12" s="413" t="s">
        <v>627</v>
      </c>
      <c r="C12" s="414">
        <v>168000</v>
      </c>
      <c r="D12" s="406">
        <f t="shared" ref="D12:D14" si="2">F12-C12</f>
        <v>0</v>
      </c>
      <c r="E12" s="407">
        <f t="shared" si="1"/>
        <v>100</v>
      </c>
      <c r="F12" s="415">
        <v>168000</v>
      </c>
    </row>
    <row r="13" spans="1:12" ht="21.95" customHeight="1" x14ac:dyDescent="0.2">
      <c r="A13" s="412" t="s">
        <v>618</v>
      </c>
      <c r="B13" s="413" t="s">
        <v>619</v>
      </c>
      <c r="C13" s="414">
        <v>360000</v>
      </c>
      <c r="D13" s="406">
        <f t="shared" si="2"/>
        <v>-83000</v>
      </c>
      <c r="E13" s="407">
        <f t="shared" si="1"/>
        <v>76.944444444444443</v>
      </c>
      <c r="F13" s="415">
        <v>277000</v>
      </c>
    </row>
    <row r="14" spans="1:12" ht="21.95" customHeight="1" thickBot="1" x14ac:dyDescent="0.25">
      <c r="A14" s="419" t="s">
        <v>523</v>
      </c>
      <c r="B14" s="420" t="s">
        <v>524</v>
      </c>
      <c r="C14" s="421">
        <v>0</v>
      </c>
      <c r="D14" s="422">
        <f t="shared" si="2"/>
        <v>0</v>
      </c>
      <c r="E14" s="423"/>
      <c r="F14" s="424">
        <v>0</v>
      </c>
    </row>
    <row r="15" spans="1:12" ht="21.95" customHeight="1" thickBot="1" x14ac:dyDescent="0.25">
      <c r="A15" s="903" t="s">
        <v>3</v>
      </c>
      <c r="B15" s="908"/>
      <c r="C15" s="425">
        <f>SUM(C9:C14)</f>
        <v>18632698</v>
      </c>
      <c r="D15" s="425">
        <f>SUM(D9:D14)</f>
        <v>0</v>
      </c>
      <c r="E15" s="426">
        <f>F15/C15*100</f>
        <v>100</v>
      </c>
      <c r="F15" s="427">
        <f>SUM(F9:F14)</f>
        <v>18632698</v>
      </c>
    </row>
    <row r="16" spans="1:12" ht="21.95" customHeight="1" x14ac:dyDescent="0.2">
      <c r="A16" s="403" t="s">
        <v>527</v>
      </c>
      <c r="B16" s="404" t="s">
        <v>528</v>
      </c>
      <c r="C16" s="428">
        <v>3609001</v>
      </c>
      <c r="D16" s="406">
        <f t="shared" ref="D16:D17" si="3">F16-C16</f>
        <v>-50000</v>
      </c>
      <c r="E16" s="407">
        <f t="shared" ref="E16" si="4">F16/C16*100</f>
        <v>98.614575058305604</v>
      </c>
      <c r="F16" s="408">
        <f>3609001-50000</f>
        <v>3559001</v>
      </c>
    </row>
    <row r="17" spans="1:8" ht="21.95" customHeight="1" thickBot="1" x14ac:dyDescent="0.25">
      <c r="A17" s="429" t="s">
        <v>529</v>
      </c>
      <c r="B17" s="430" t="s">
        <v>530</v>
      </c>
      <c r="C17" s="421">
        <v>0</v>
      </c>
      <c r="D17" s="422">
        <f t="shared" si="3"/>
        <v>50000</v>
      </c>
      <c r="E17" s="423"/>
      <c r="F17" s="424">
        <v>50000</v>
      </c>
    </row>
    <row r="18" spans="1:8" ht="21.95" customHeight="1" thickBot="1" x14ac:dyDescent="0.25">
      <c r="A18" s="909" t="s">
        <v>697</v>
      </c>
      <c r="B18" s="908"/>
      <c r="C18" s="425">
        <f>SUM(C16:C17)</f>
        <v>3609001</v>
      </c>
      <c r="D18" s="425">
        <f>SUM(D16:D17)</f>
        <v>0</v>
      </c>
      <c r="E18" s="426"/>
      <c r="F18" s="427">
        <f>SUM(F16:F17)</f>
        <v>3609001</v>
      </c>
    </row>
    <row r="19" spans="1:8" ht="21.95" customHeight="1" thickBot="1" x14ac:dyDescent="0.25">
      <c r="A19" s="906" t="s">
        <v>590</v>
      </c>
      <c r="B19" s="942"/>
      <c r="C19" s="510">
        <f>C15+C18</f>
        <v>22241699</v>
      </c>
      <c r="D19" s="446">
        <f t="shared" ref="D19:F19" si="5">D15+D18</f>
        <v>0</v>
      </c>
      <c r="E19" s="447">
        <f>F19/C19*100</f>
        <v>100</v>
      </c>
      <c r="F19" s="446">
        <f t="shared" si="5"/>
        <v>22241699</v>
      </c>
      <c r="H19" s="499"/>
    </row>
    <row r="20" spans="1:8" ht="26.25" customHeight="1" thickBot="1" x14ac:dyDescent="0.25">
      <c r="A20" s="910" t="s">
        <v>724</v>
      </c>
      <c r="B20" s="911"/>
      <c r="C20" s="911"/>
      <c r="D20" s="911"/>
      <c r="E20" s="911"/>
      <c r="F20" s="912"/>
      <c r="G20" s="448"/>
    </row>
    <row r="21" spans="1:8" ht="24.95" customHeight="1" x14ac:dyDescent="0.2">
      <c r="A21" s="913" t="s">
        <v>399</v>
      </c>
      <c r="B21" s="915" t="s">
        <v>689</v>
      </c>
      <c r="C21" s="917">
        <v>2019</v>
      </c>
      <c r="D21" s="917"/>
      <c r="E21" s="917"/>
      <c r="F21" s="400">
        <v>2019</v>
      </c>
    </row>
    <row r="22" spans="1:8" ht="24.95" customHeight="1" thickBot="1" x14ac:dyDescent="0.25">
      <c r="A22" s="914"/>
      <c r="B22" s="916"/>
      <c r="C22" s="401" t="s">
        <v>673</v>
      </c>
      <c r="D22" s="401" t="s">
        <v>403</v>
      </c>
      <c r="E22" s="401" t="s">
        <v>404</v>
      </c>
      <c r="F22" s="402" t="s">
        <v>674</v>
      </c>
    </row>
    <row r="23" spans="1:8" ht="21.95" customHeight="1" x14ac:dyDescent="0.2">
      <c r="A23" s="403" t="s">
        <v>513</v>
      </c>
      <c r="B23" s="404" t="s">
        <v>638</v>
      </c>
      <c r="C23" s="405">
        <v>13931471</v>
      </c>
      <c r="D23" s="406">
        <f>F23-C23</f>
        <v>-251471</v>
      </c>
      <c r="E23" s="407">
        <f>F23/C23*100</f>
        <v>98.194942946082293</v>
      </c>
      <c r="F23" s="408">
        <v>13680000</v>
      </c>
    </row>
    <row r="24" spans="1:8" ht="21.95" customHeight="1" x14ac:dyDescent="0.2">
      <c r="A24" s="443" t="s">
        <v>693</v>
      </c>
      <c r="B24" s="404" t="s">
        <v>694</v>
      </c>
      <c r="C24" s="428">
        <v>938080</v>
      </c>
      <c r="D24" s="406">
        <f>F24-C24</f>
        <v>0</v>
      </c>
      <c r="E24" s="407">
        <f>F24/C24*100</f>
        <v>100</v>
      </c>
      <c r="F24" s="408">
        <v>938080</v>
      </c>
    </row>
    <row r="25" spans="1:8" ht="21.95" customHeight="1" x14ac:dyDescent="0.2">
      <c r="A25" s="416" t="s">
        <v>641</v>
      </c>
      <c r="B25" s="413" t="s">
        <v>695</v>
      </c>
      <c r="C25" s="414">
        <v>72000</v>
      </c>
      <c r="D25" s="406">
        <f t="shared" ref="D25" si="6">F25-C25</f>
        <v>326000</v>
      </c>
      <c r="E25" s="407">
        <f t="shared" ref="E25:E27" si="7">F25/C25*100</f>
        <v>552.77777777777771</v>
      </c>
      <c r="F25" s="415">
        <v>398000</v>
      </c>
    </row>
    <row r="26" spans="1:8" ht="21.95" customHeight="1" x14ac:dyDescent="0.2">
      <c r="A26" s="416" t="s">
        <v>517</v>
      </c>
      <c r="B26" s="413" t="s">
        <v>518</v>
      </c>
      <c r="C26" s="414">
        <v>50000</v>
      </c>
      <c r="D26" s="406">
        <f>F26-C26</f>
        <v>0</v>
      </c>
      <c r="E26" s="407">
        <f t="shared" si="7"/>
        <v>100</v>
      </c>
      <c r="F26" s="415">
        <v>50000</v>
      </c>
    </row>
    <row r="27" spans="1:8" ht="21.95" customHeight="1" x14ac:dyDescent="0.2">
      <c r="A27" s="412" t="s">
        <v>626</v>
      </c>
      <c r="B27" s="413" t="s">
        <v>627</v>
      </c>
      <c r="C27" s="414">
        <v>72000</v>
      </c>
      <c r="D27" s="406">
        <f t="shared" ref="D27:D29" si="8">F27-C27</f>
        <v>0</v>
      </c>
      <c r="E27" s="407">
        <f t="shared" si="7"/>
        <v>100</v>
      </c>
      <c r="F27" s="415">
        <v>72000</v>
      </c>
    </row>
    <row r="28" spans="1:8" ht="21.95" customHeight="1" x14ac:dyDescent="0.2">
      <c r="A28" s="412" t="s">
        <v>618</v>
      </c>
      <c r="B28" s="413" t="s">
        <v>619</v>
      </c>
      <c r="C28" s="414">
        <v>0</v>
      </c>
      <c r="D28" s="406">
        <f t="shared" si="8"/>
        <v>0</v>
      </c>
      <c r="E28" s="407"/>
      <c r="F28" s="415">
        <v>0</v>
      </c>
    </row>
    <row r="29" spans="1:8" ht="21.95" customHeight="1" thickBot="1" x14ac:dyDescent="0.25">
      <c r="A29" s="419" t="s">
        <v>523</v>
      </c>
      <c r="B29" s="420" t="s">
        <v>524</v>
      </c>
      <c r="C29" s="421">
        <v>0</v>
      </c>
      <c r="D29" s="422">
        <f t="shared" si="8"/>
        <v>0</v>
      </c>
      <c r="E29" s="423"/>
      <c r="F29" s="424">
        <v>0</v>
      </c>
    </row>
    <row r="30" spans="1:8" ht="21.95" customHeight="1" thickBot="1" x14ac:dyDescent="0.25">
      <c r="A30" s="903" t="s">
        <v>3</v>
      </c>
      <c r="B30" s="908"/>
      <c r="C30" s="425">
        <f>SUM(C23:C29)</f>
        <v>15063551</v>
      </c>
      <c r="D30" s="425">
        <f>SUM(D23:D29)</f>
        <v>74529</v>
      </c>
      <c r="E30" s="426">
        <f>F30/C30*100</f>
        <v>100.49476381764167</v>
      </c>
      <c r="F30" s="427">
        <f>SUM(F23:F29)</f>
        <v>15138080</v>
      </c>
    </row>
    <row r="31" spans="1:8" ht="21.95" customHeight="1" x14ac:dyDescent="0.2">
      <c r="A31" s="403" t="s">
        <v>527</v>
      </c>
      <c r="B31" s="404" t="s">
        <v>528</v>
      </c>
      <c r="C31" s="428">
        <v>3012710</v>
      </c>
      <c r="D31" s="406">
        <f t="shared" ref="D31:D32" si="9">F31-C31</f>
        <v>-134529</v>
      </c>
      <c r="E31" s="407">
        <f t="shared" ref="E31" si="10">F31/C31*100</f>
        <v>95.534618333659722</v>
      </c>
      <c r="F31" s="408">
        <v>2878181</v>
      </c>
    </row>
    <row r="32" spans="1:8" ht="21.95" customHeight="1" thickBot="1" x14ac:dyDescent="0.25">
      <c r="A32" s="429" t="s">
        <v>529</v>
      </c>
      <c r="B32" s="430" t="s">
        <v>530</v>
      </c>
      <c r="C32" s="421">
        <v>0</v>
      </c>
      <c r="D32" s="422">
        <f t="shared" si="9"/>
        <v>60000</v>
      </c>
      <c r="E32" s="423"/>
      <c r="F32" s="424">
        <v>60000</v>
      </c>
    </row>
    <row r="33" spans="1:6" ht="21.95" customHeight="1" thickBot="1" x14ac:dyDescent="0.25">
      <c r="A33" s="909" t="s">
        <v>697</v>
      </c>
      <c r="B33" s="908"/>
      <c r="C33" s="425">
        <f>SUM(C31:C32)</f>
        <v>3012710</v>
      </c>
      <c r="D33" s="425">
        <f>SUM(D31:D32)</f>
        <v>-74529</v>
      </c>
      <c r="E33" s="511">
        <f>F33/C33*100</f>
        <v>97.526180747566144</v>
      </c>
      <c r="F33" s="512">
        <f>SUM(F31:F32)</f>
        <v>2938181</v>
      </c>
    </row>
    <row r="34" spans="1:6" ht="21.95" customHeight="1" thickBot="1" x14ac:dyDescent="0.25">
      <c r="A34" s="906" t="s">
        <v>590</v>
      </c>
      <c r="B34" s="942"/>
      <c r="C34" s="510">
        <f>C30+C33</f>
        <v>18076261</v>
      </c>
      <c r="D34" s="446">
        <f t="shared" ref="D34:F34" si="11">D30+D33</f>
        <v>0</v>
      </c>
      <c r="E34" s="447">
        <f>F34/C34*100</f>
        <v>100</v>
      </c>
      <c r="F34" s="446">
        <f t="shared" si="11"/>
        <v>18076261</v>
      </c>
    </row>
    <row r="35" spans="1:6" ht="21.95" customHeight="1" x14ac:dyDescent="0.2">
      <c r="A35" s="922" t="s">
        <v>721</v>
      </c>
      <c r="B35" s="923"/>
      <c r="C35" s="923"/>
      <c r="D35" s="923"/>
      <c r="E35" s="923"/>
      <c r="F35" s="924"/>
    </row>
    <row r="36" spans="1:6" ht="21.95" customHeight="1" x14ac:dyDescent="0.2">
      <c r="A36" s="918" t="s">
        <v>399</v>
      </c>
      <c r="B36" s="919" t="s">
        <v>689</v>
      </c>
      <c r="C36" s="917">
        <v>2019</v>
      </c>
      <c r="D36" s="917"/>
      <c r="E36" s="917"/>
      <c r="F36" s="400">
        <v>2019</v>
      </c>
    </row>
    <row r="37" spans="1:6" ht="21.95" customHeight="1" thickBot="1" x14ac:dyDescent="0.25">
      <c r="A37" s="914"/>
      <c r="B37" s="916"/>
      <c r="C37" s="401" t="s">
        <v>673</v>
      </c>
      <c r="D37" s="401" t="s">
        <v>403</v>
      </c>
      <c r="E37" s="401" t="s">
        <v>404</v>
      </c>
      <c r="F37" s="402" t="s">
        <v>674</v>
      </c>
    </row>
    <row r="38" spans="1:6" ht="21.95" customHeight="1" x14ac:dyDescent="0.2">
      <c r="A38" s="431" t="s">
        <v>531</v>
      </c>
      <c r="B38" s="432" t="s">
        <v>629</v>
      </c>
      <c r="C38" s="433">
        <v>270000</v>
      </c>
      <c r="D38" s="433">
        <f t="shared" ref="D38:D50" si="12">F38-C38</f>
        <v>0</v>
      </c>
      <c r="E38" s="434">
        <f>F38/C38*100</f>
        <v>100</v>
      </c>
      <c r="F38" s="415">
        <v>270000</v>
      </c>
    </row>
    <row r="39" spans="1:6" ht="21.95" customHeight="1" x14ac:dyDescent="0.2">
      <c r="A39" s="412" t="s">
        <v>533</v>
      </c>
      <c r="B39" s="432" t="s">
        <v>534</v>
      </c>
      <c r="C39" s="433">
        <v>750000</v>
      </c>
      <c r="D39" s="433">
        <f t="shared" si="12"/>
        <v>0</v>
      </c>
      <c r="E39" s="434">
        <f>F39/C39*100</f>
        <v>100</v>
      </c>
      <c r="F39" s="415">
        <v>750000</v>
      </c>
    </row>
    <row r="40" spans="1:6" ht="21.95" customHeight="1" x14ac:dyDescent="0.2">
      <c r="A40" s="416" t="s">
        <v>644</v>
      </c>
      <c r="B40" s="432" t="s">
        <v>698</v>
      </c>
      <c r="C40" s="433">
        <v>100000</v>
      </c>
      <c r="D40" s="433">
        <f t="shared" si="12"/>
        <v>0</v>
      </c>
      <c r="E40" s="434"/>
      <c r="F40" s="415">
        <v>100000</v>
      </c>
    </row>
    <row r="41" spans="1:6" ht="21.95" customHeight="1" x14ac:dyDescent="0.2">
      <c r="A41" s="436" t="s">
        <v>537</v>
      </c>
      <c r="B41" s="437" t="s">
        <v>699</v>
      </c>
      <c r="C41" s="433">
        <v>200000</v>
      </c>
      <c r="D41" s="433">
        <f t="shared" si="12"/>
        <v>-50000</v>
      </c>
      <c r="E41" s="434">
        <f>F41/C41*100</f>
        <v>75</v>
      </c>
      <c r="F41" s="415">
        <v>150000</v>
      </c>
    </row>
    <row r="42" spans="1:6" ht="21.95" customHeight="1" x14ac:dyDescent="0.2">
      <c r="A42" s="419" t="s">
        <v>539</v>
      </c>
      <c r="B42" s="437" t="s">
        <v>540</v>
      </c>
      <c r="C42" s="433">
        <v>150000</v>
      </c>
      <c r="D42" s="433">
        <f t="shared" si="12"/>
        <v>0</v>
      </c>
      <c r="E42" s="434"/>
      <c r="F42" s="415">
        <v>150000</v>
      </c>
    </row>
    <row r="43" spans="1:6" ht="21.95" customHeight="1" x14ac:dyDescent="0.2">
      <c r="A43" s="416" t="s">
        <v>541</v>
      </c>
      <c r="B43" s="437" t="s">
        <v>542</v>
      </c>
      <c r="C43" s="433">
        <v>2000000</v>
      </c>
      <c r="D43" s="433">
        <f t="shared" si="12"/>
        <v>380000</v>
      </c>
      <c r="E43" s="434"/>
      <c r="F43" s="415">
        <v>2380000</v>
      </c>
    </row>
    <row r="44" spans="1:6" ht="21.95" customHeight="1" x14ac:dyDescent="0.2">
      <c r="A44" s="500" t="s">
        <v>592</v>
      </c>
      <c r="B44" s="437" t="s">
        <v>716</v>
      </c>
      <c r="C44" s="433">
        <v>500000</v>
      </c>
      <c r="D44" s="433">
        <f t="shared" si="12"/>
        <v>0</v>
      </c>
      <c r="E44" s="434"/>
      <c r="F44" s="415">
        <v>500000</v>
      </c>
    </row>
    <row r="45" spans="1:6" ht="21.95" customHeight="1" x14ac:dyDescent="0.2">
      <c r="A45" s="416" t="s">
        <v>547</v>
      </c>
      <c r="B45" s="437" t="s">
        <v>714</v>
      </c>
      <c r="C45" s="433">
        <v>1000000</v>
      </c>
      <c r="D45" s="433">
        <f t="shared" si="12"/>
        <v>-300000</v>
      </c>
      <c r="E45" s="434">
        <f>F45/C45*100</f>
        <v>70</v>
      </c>
      <c r="F45" s="415">
        <v>700000</v>
      </c>
    </row>
    <row r="46" spans="1:6" ht="21.95" customHeight="1" x14ac:dyDescent="0.2">
      <c r="A46" s="416" t="s">
        <v>551</v>
      </c>
      <c r="B46" s="432" t="s">
        <v>725</v>
      </c>
      <c r="C46" s="433">
        <v>150000</v>
      </c>
      <c r="D46" s="433">
        <f t="shared" si="12"/>
        <v>50000</v>
      </c>
      <c r="E46" s="434"/>
      <c r="F46" s="415">
        <v>200000</v>
      </c>
    </row>
    <row r="47" spans="1:6" ht="21.95" customHeight="1" x14ac:dyDescent="0.2">
      <c r="A47" s="412" t="s">
        <v>553</v>
      </c>
      <c r="B47" s="432" t="s">
        <v>554</v>
      </c>
      <c r="C47" s="433">
        <v>700000</v>
      </c>
      <c r="D47" s="433">
        <f t="shared" si="12"/>
        <v>-55000</v>
      </c>
      <c r="E47" s="434">
        <f>F47/C47*100</f>
        <v>92.142857142857139</v>
      </c>
      <c r="F47" s="415">
        <v>645000</v>
      </c>
    </row>
    <row r="48" spans="1:6" ht="21.95" customHeight="1" x14ac:dyDescent="0.2">
      <c r="A48" s="403" t="s">
        <v>608</v>
      </c>
      <c r="B48" s="437" t="s">
        <v>609</v>
      </c>
      <c r="C48" s="433">
        <v>50000</v>
      </c>
      <c r="D48" s="433">
        <f t="shared" si="12"/>
        <v>0</v>
      </c>
      <c r="E48" s="434"/>
      <c r="F48" s="415">
        <v>50000</v>
      </c>
    </row>
    <row r="49" spans="1:7" ht="21.95" customHeight="1" x14ac:dyDescent="0.2">
      <c r="A49" s="412" t="s">
        <v>557</v>
      </c>
      <c r="B49" s="437" t="s">
        <v>558</v>
      </c>
      <c r="C49" s="433">
        <v>1584900</v>
      </c>
      <c r="D49" s="433">
        <f t="shared" si="12"/>
        <v>-3301</v>
      </c>
      <c r="E49" s="434">
        <f>F49/C49*100</f>
        <v>99.791721875197169</v>
      </c>
      <c r="F49" s="415">
        <v>1581599</v>
      </c>
      <c r="G49" s="513"/>
    </row>
    <row r="50" spans="1:7" ht="21.75" customHeight="1" thickBot="1" x14ac:dyDescent="0.25">
      <c r="A50" s="429" t="s">
        <v>563</v>
      </c>
      <c r="B50" s="439" t="s">
        <v>700</v>
      </c>
      <c r="C50" s="440">
        <v>0</v>
      </c>
      <c r="D50" s="440">
        <f t="shared" si="12"/>
        <v>7000</v>
      </c>
      <c r="E50" s="441"/>
      <c r="F50" s="424">
        <v>7000</v>
      </c>
    </row>
    <row r="51" spans="1:7" ht="21.95" customHeight="1" thickBot="1" x14ac:dyDescent="0.25">
      <c r="A51" s="909" t="s">
        <v>5</v>
      </c>
      <c r="B51" s="905"/>
      <c r="C51" s="442">
        <f>SUM(C38:C50)</f>
        <v>7454900</v>
      </c>
      <c r="D51" s="442">
        <f>SUM(D38:D50)</f>
        <v>28699</v>
      </c>
      <c r="E51" s="426">
        <f>F51/C51*100</f>
        <v>100.38496827589907</v>
      </c>
      <c r="F51" s="427">
        <f>SUM(F38:F50)</f>
        <v>7483599</v>
      </c>
    </row>
    <row r="52" spans="1:7" ht="21.95" customHeight="1" x14ac:dyDescent="0.2">
      <c r="A52" s="450" t="s">
        <v>580</v>
      </c>
      <c r="B52" s="501" t="s">
        <v>717</v>
      </c>
      <c r="C52" s="452">
        <v>0</v>
      </c>
      <c r="D52" s="452">
        <f>F52-C52</f>
        <v>1110000</v>
      </c>
      <c r="E52" s="453"/>
      <c r="F52" s="502">
        <v>1110000</v>
      </c>
    </row>
    <row r="53" spans="1:7" ht="21.95" customHeight="1" thickBot="1" x14ac:dyDescent="0.25">
      <c r="A53" s="416" t="s">
        <v>582</v>
      </c>
      <c r="B53" s="437" t="s">
        <v>718</v>
      </c>
      <c r="C53" s="433">
        <v>0</v>
      </c>
      <c r="D53" s="445">
        <f>F53-C53</f>
        <v>260000</v>
      </c>
      <c r="E53" s="434"/>
      <c r="F53" s="415">
        <v>260000</v>
      </c>
    </row>
    <row r="54" spans="1:7" ht="21.95" customHeight="1" thickBot="1" x14ac:dyDescent="0.25">
      <c r="A54" s="909" t="s">
        <v>719</v>
      </c>
      <c r="B54" s="905"/>
      <c r="C54" s="442">
        <f>SUM(C52:C53)</f>
        <v>0</v>
      </c>
      <c r="D54" s="442">
        <f>SUM(D52:D53)</f>
        <v>1370000</v>
      </c>
      <c r="E54" s="511"/>
      <c r="F54" s="512">
        <f>SUM(F52:F53)</f>
        <v>1370000</v>
      </c>
    </row>
    <row r="55" spans="1:7" ht="21.95" customHeight="1" thickBot="1" x14ac:dyDescent="0.25">
      <c r="A55" s="939" t="s">
        <v>590</v>
      </c>
      <c r="B55" s="940"/>
      <c r="C55" s="503">
        <f>C51+C54</f>
        <v>7454900</v>
      </c>
      <c r="D55" s="503">
        <f>D51+D54</f>
        <v>1398699</v>
      </c>
      <c r="E55" s="504">
        <f>F55/C55*100</f>
        <v>118.7621430200271</v>
      </c>
      <c r="F55" s="503">
        <f>F51+F54</f>
        <v>8853599</v>
      </c>
    </row>
    <row r="56" spans="1:7" ht="21.95" customHeight="1" x14ac:dyDescent="0.2">
      <c r="A56" s="922" t="s">
        <v>487</v>
      </c>
      <c r="B56" s="923"/>
      <c r="C56" s="923"/>
      <c r="D56" s="923"/>
      <c r="E56" s="923"/>
      <c r="F56" s="924"/>
    </row>
    <row r="57" spans="1:7" ht="21.95" customHeight="1" x14ac:dyDescent="0.2">
      <c r="A57" s="918" t="s">
        <v>399</v>
      </c>
      <c r="B57" s="919" t="s">
        <v>689</v>
      </c>
      <c r="C57" s="917">
        <v>2019</v>
      </c>
      <c r="D57" s="917"/>
      <c r="E57" s="917"/>
      <c r="F57" s="400">
        <v>2019</v>
      </c>
    </row>
    <row r="58" spans="1:7" ht="21.95" customHeight="1" thickBot="1" x14ac:dyDescent="0.25">
      <c r="A58" s="914"/>
      <c r="B58" s="916"/>
      <c r="C58" s="401" t="s">
        <v>673</v>
      </c>
      <c r="D58" s="401" t="s">
        <v>403</v>
      </c>
      <c r="E58" s="401" t="s">
        <v>404</v>
      </c>
      <c r="F58" s="402" t="s">
        <v>674</v>
      </c>
    </row>
    <row r="59" spans="1:7" ht="21.95" customHeight="1" x14ac:dyDescent="0.2">
      <c r="A59" s="403" t="s">
        <v>513</v>
      </c>
      <c r="B59" s="404" t="s">
        <v>638</v>
      </c>
      <c r="C59" s="405">
        <v>2541770</v>
      </c>
      <c r="D59" s="406">
        <f>F59-C59</f>
        <v>-109000</v>
      </c>
      <c r="E59" s="407">
        <f>F59/C59*100</f>
        <v>95.711649755878781</v>
      </c>
      <c r="F59" s="408">
        <v>2432770</v>
      </c>
    </row>
    <row r="60" spans="1:7" ht="21.95" customHeight="1" x14ac:dyDescent="0.2">
      <c r="A60" s="416" t="s">
        <v>641</v>
      </c>
      <c r="B60" s="413" t="s">
        <v>695</v>
      </c>
      <c r="C60" s="414">
        <v>24000</v>
      </c>
      <c r="D60" s="406">
        <f t="shared" ref="D60:D63" si="13">F60-C60</f>
        <v>40000</v>
      </c>
      <c r="E60" s="407">
        <f t="shared" ref="E60:E61" si="14">F60/C60*100</f>
        <v>266.66666666666663</v>
      </c>
      <c r="F60" s="415">
        <v>64000</v>
      </c>
    </row>
    <row r="61" spans="1:7" ht="21.95" customHeight="1" x14ac:dyDescent="0.2">
      <c r="A61" s="412" t="s">
        <v>626</v>
      </c>
      <c r="B61" s="413" t="s">
        <v>627</v>
      </c>
      <c r="C61" s="414">
        <v>24000</v>
      </c>
      <c r="D61" s="406">
        <f t="shared" si="13"/>
        <v>-12000</v>
      </c>
      <c r="E61" s="407">
        <f t="shared" si="14"/>
        <v>50</v>
      </c>
      <c r="F61" s="415">
        <v>12000</v>
      </c>
    </row>
    <row r="62" spans="1:7" ht="21.95" customHeight="1" x14ac:dyDescent="0.2">
      <c r="A62" s="412" t="s">
        <v>618</v>
      </c>
      <c r="B62" s="413" t="s">
        <v>619</v>
      </c>
      <c r="C62" s="414">
        <v>0</v>
      </c>
      <c r="D62" s="406">
        <f t="shared" si="13"/>
        <v>81000</v>
      </c>
      <c r="E62" s="407"/>
      <c r="F62" s="415">
        <v>81000</v>
      </c>
    </row>
    <row r="63" spans="1:7" ht="21.95" customHeight="1" thickBot="1" x14ac:dyDescent="0.25">
      <c r="A63" s="419" t="s">
        <v>523</v>
      </c>
      <c r="B63" s="420" t="s">
        <v>524</v>
      </c>
      <c r="C63" s="421">
        <v>0</v>
      </c>
      <c r="D63" s="422">
        <f t="shared" si="13"/>
        <v>0</v>
      </c>
      <c r="E63" s="423"/>
      <c r="F63" s="424">
        <v>0</v>
      </c>
    </row>
    <row r="64" spans="1:7" ht="21.95" customHeight="1" thickBot="1" x14ac:dyDescent="0.25">
      <c r="A64" s="903" t="s">
        <v>3</v>
      </c>
      <c r="B64" s="908"/>
      <c r="C64" s="425">
        <f>SUM(C59:C63)</f>
        <v>2589770</v>
      </c>
      <c r="D64" s="425">
        <f>SUM(D59:D63)</f>
        <v>0</v>
      </c>
      <c r="E64" s="426">
        <f>F64/C64*100</f>
        <v>100</v>
      </c>
      <c r="F64" s="427">
        <f>SUM(F59:F63)</f>
        <v>2589770</v>
      </c>
    </row>
    <row r="65" spans="1:6" ht="21.95" customHeight="1" x14ac:dyDescent="0.2">
      <c r="A65" s="403" t="s">
        <v>527</v>
      </c>
      <c r="B65" s="404" t="s">
        <v>528</v>
      </c>
      <c r="C65" s="428">
        <v>505005</v>
      </c>
      <c r="D65" s="406">
        <f t="shared" ref="D65:D66" si="15">F65-C65</f>
        <v>-6000</v>
      </c>
      <c r="E65" s="407">
        <f t="shared" ref="E65" si="16">F65/C65*100</f>
        <v>98.811892951554938</v>
      </c>
      <c r="F65" s="408">
        <v>499005</v>
      </c>
    </row>
    <row r="66" spans="1:6" ht="21.95" customHeight="1" thickBot="1" x14ac:dyDescent="0.25">
      <c r="A66" s="429" t="s">
        <v>529</v>
      </c>
      <c r="B66" s="430" t="s">
        <v>530</v>
      </c>
      <c r="C66" s="421">
        <v>0</v>
      </c>
      <c r="D66" s="422">
        <f t="shared" si="15"/>
        <v>6000</v>
      </c>
      <c r="E66" s="423"/>
      <c r="F66" s="424">
        <v>6000</v>
      </c>
    </row>
    <row r="67" spans="1:6" ht="21.95" customHeight="1" thickBot="1" x14ac:dyDescent="0.25">
      <c r="A67" s="909" t="s">
        <v>697</v>
      </c>
      <c r="B67" s="908"/>
      <c r="C67" s="425">
        <f>SUM(C65:C66)</f>
        <v>505005</v>
      </c>
      <c r="D67" s="425">
        <f>SUM(D65:D66)</f>
        <v>0</v>
      </c>
      <c r="E67" s="511"/>
      <c r="F67" s="512">
        <f>SUM(F65:F66)</f>
        <v>505005</v>
      </c>
    </row>
    <row r="68" spans="1:6" ht="21.95" customHeight="1" thickBot="1" x14ac:dyDescent="0.25">
      <c r="A68" s="906" t="s">
        <v>590</v>
      </c>
      <c r="B68" s="942"/>
      <c r="C68" s="510">
        <f>C64+C67</f>
        <v>3094775</v>
      </c>
      <c r="D68" s="446">
        <f t="shared" ref="D68" si="17">D64+D67</f>
        <v>0</v>
      </c>
      <c r="E68" s="447">
        <f>F68/C68*100</f>
        <v>100</v>
      </c>
      <c r="F68" s="446">
        <f t="shared" ref="F68" si="18">F64+F67</f>
        <v>3094775</v>
      </c>
    </row>
    <row r="69" spans="1:6" ht="21.95" customHeight="1" x14ac:dyDescent="0.2">
      <c r="A69" s="922" t="s">
        <v>489</v>
      </c>
      <c r="B69" s="923"/>
      <c r="C69" s="923"/>
      <c r="D69" s="923"/>
      <c r="E69" s="923"/>
      <c r="F69" s="924"/>
    </row>
    <row r="70" spans="1:6" ht="21.95" customHeight="1" x14ac:dyDescent="0.2">
      <c r="A70" s="918" t="s">
        <v>399</v>
      </c>
      <c r="B70" s="919" t="s">
        <v>689</v>
      </c>
      <c r="C70" s="917">
        <v>2019</v>
      </c>
      <c r="D70" s="917"/>
      <c r="E70" s="917"/>
      <c r="F70" s="400">
        <v>2019</v>
      </c>
    </row>
    <row r="71" spans="1:6" ht="21.95" customHeight="1" thickBot="1" x14ac:dyDescent="0.25">
      <c r="A71" s="914"/>
      <c r="B71" s="916"/>
      <c r="C71" s="401" t="s">
        <v>673</v>
      </c>
      <c r="D71" s="401" t="s">
        <v>403</v>
      </c>
      <c r="E71" s="401" t="s">
        <v>404</v>
      </c>
      <c r="F71" s="402" t="s">
        <v>674</v>
      </c>
    </row>
    <row r="72" spans="1:6" ht="21.95" customHeight="1" x14ac:dyDescent="0.2">
      <c r="A72" s="403" t="s">
        <v>513</v>
      </c>
      <c r="B72" s="404" t="s">
        <v>638</v>
      </c>
      <c r="C72" s="405">
        <v>10555001</v>
      </c>
      <c r="D72" s="406">
        <f>F72-C72</f>
        <v>-278000</v>
      </c>
      <c r="E72" s="407">
        <f>F72/C72*100</f>
        <v>97.366177416752492</v>
      </c>
      <c r="F72" s="408">
        <v>10277001</v>
      </c>
    </row>
    <row r="73" spans="1:6" ht="21.95" customHeight="1" x14ac:dyDescent="0.2">
      <c r="A73" s="416" t="s">
        <v>641</v>
      </c>
      <c r="B73" s="413" t="s">
        <v>695</v>
      </c>
      <c r="C73" s="414">
        <v>96000</v>
      </c>
      <c r="D73" s="406">
        <f t="shared" ref="D73:D76" si="19">F73-C73</f>
        <v>178000</v>
      </c>
      <c r="E73" s="407">
        <f t="shared" ref="E73:E74" si="20">F73/C73*100</f>
        <v>285.41666666666663</v>
      </c>
      <c r="F73" s="415">
        <v>274000</v>
      </c>
    </row>
    <row r="74" spans="1:6" ht="21.95" customHeight="1" x14ac:dyDescent="0.2">
      <c r="A74" s="412" t="s">
        <v>626</v>
      </c>
      <c r="B74" s="413" t="s">
        <v>627</v>
      </c>
      <c r="C74" s="414">
        <v>96000</v>
      </c>
      <c r="D74" s="406">
        <f t="shared" si="19"/>
        <v>0</v>
      </c>
      <c r="E74" s="407">
        <f t="shared" si="20"/>
        <v>100</v>
      </c>
      <c r="F74" s="415">
        <v>96000</v>
      </c>
    </row>
    <row r="75" spans="1:6" ht="21.95" customHeight="1" x14ac:dyDescent="0.2">
      <c r="A75" s="412" t="s">
        <v>618</v>
      </c>
      <c r="B75" s="413" t="s">
        <v>619</v>
      </c>
      <c r="C75" s="414"/>
      <c r="D75" s="406">
        <f t="shared" si="19"/>
        <v>122000</v>
      </c>
      <c r="E75" s="407"/>
      <c r="F75" s="415">
        <v>122000</v>
      </c>
    </row>
    <row r="76" spans="1:6" ht="21.95" customHeight="1" thickBot="1" x14ac:dyDescent="0.25">
      <c r="A76" s="419" t="s">
        <v>523</v>
      </c>
      <c r="B76" s="420" t="s">
        <v>524</v>
      </c>
      <c r="C76" s="421">
        <v>0</v>
      </c>
      <c r="D76" s="422">
        <f t="shared" si="19"/>
        <v>0</v>
      </c>
      <c r="E76" s="423"/>
      <c r="F76" s="424">
        <v>0</v>
      </c>
    </row>
    <row r="77" spans="1:6" ht="21.95" customHeight="1" thickBot="1" x14ac:dyDescent="0.25">
      <c r="A77" s="903" t="s">
        <v>3</v>
      </c>
      <c r="B77" s="908"/>
      <c r="C77" s="425">
        <f>SUM(C72:C76)</f>
        <v>10747001</v>
      </c>
      <c r="D77" s="425">
        <f>SUM(D72:D76)</f>
        <v>22000</v>
      </c>
      <c r="E77" s="426">
        <f>F77/C77*100</f>
        <v>100.20470827163783</v>
      </c>
      <c r="F77" s="427">
        <f>SUM(F72:F76)</f>
        <v>10769001</v>
      </c>
    </row>
    <row r="78" spans="1:6" ht="21.95" customHeight="1" x14ac:dyDescent="0.2">
      <c r="A78" s="403" t="s">
        <v>527</v>
      </c>
      <c r="B78" s="404" t="s">
        <v>528</v>
      </c>
      <c r="C78" s="428">
        <v>2095665</v>
      </c>
      <c r="D78" s="406">
        <f t="shared" ref="D78:D79" si="21">F78-C78</f>
        <v>-22000</v>
      </c>
      <c r="E78" s="407">
        <f t="shared" ref="E78" si="22">F78/C78*100</f>
        <v>98.950213893919113</v>
      </c>
      <c r="F78" s="408">
        <v>2073665</v>
      </c>
    </row>
    <row r="79" spans="1:6" ht="21.95" customHeight="1" thickBot="1" x14ac:dyDescent="0.25">
      <c r="A79" s="429" t="s">
        <v>529</v>
      </c>
      <c r="B79" s="430" t="s">
        <v>530</v>
      </c>
      <c r="C79" s="421">
        <v>0</v>
      </c>
      <c r="D79" s="422">
        <f t="shared" si="21"/>
        <v>0</v>
      </c>
      <c r="E79" s="423"/>
      <c r="F79" s="424">
        <v>0</v>
      </c>
    </row>
    <row r="80" spans="1:6" ht="21.95" customHeight="1" thickBot="1" x14ac:dyDescent="0.25">
      <c r="A80" s="909" t="s">
        <v>697</v>
      </c>
      <c r="B80" s="908"/>
      <c r="C80" s="425">
        <f>SUM(C78:C79)</f>
        <v>2095665</v>
      </c>
      <c r="D80" s="425">
        <f>SUM(D78:D79)</f>
        <v>-22000</v>
      </c>
      <c r="E80" s="426"/>
      <c r="F80" s="427">
        <f>SUM(F78:F79)</f>
        <v>2073665</v>
      </c>
    </row>
    <row r="81" spans="1:6" ht="21.95" customHeight="1" thickBot="1" x14ac:dyDescent="0.25">
      <c r="A81" s="906" t="s">
        <v>590</v>
      </c>
      <c r="B81" s="942"/>
      <c r="C81" s="510">
        <f>C77+C80</f>
        <v>12842666</v>
      </c>
      <c r="D81" s="446">
        <f t="shared" ref="D81" si="23">D77+D80</f>
        <v>0</v>
      </c>
      <c r="E81" s="447">
        <f>F81/C81*100</f>
        <v>100</v>
      </c>
      <c r="F81" s="446">
        <f t="shared" ref="F81" si="24">F77+F80</f>
        <v>12842666</v>
      </c>
    </row>
    <row r="82" spans="1:6" ht="21.95" customHeight="1" thickBot="1" x14ac:dyDescent="0.25">
      <c r="A82" s="458"/>
      <c r="C82" s="3"/>
      <c r="D82" s="3"/>
      <c r="E82" s="3"/>
      <c r="F82" s="459"/>
    </row>
    <row r="83" spans="1:6" ht="21.95" customHeight="1" thickBot="1" x14ac:dyDescent="0.25">
      <c r="A83" s="460" t="s">
        <v>708</v>
      </c>
      <c r="B83" s="461"/>
      <c r="C83" s="462">
        <f>C19+C34+C55+C68+C81</f>
        <v>63710301</v>
      </c>
      <c r="D83" s="462">
        <f>D19+D34+D55+D68+D81</f>
        <v>1398699</v>
      </c>
      <c r="E83" s="505">
        <f>F83/C83*100</f>
        <v>102.1954047901924</v>
      </c>
      <c r="F83" s="462">
        <f>F19+F34+F55+F68+F81</f>
        <v>65109000</v>
      </c>
    </row>
  </sheetData>
  <mergeCells count="39">
    <mergeCell ref="A7:A8"/>
    <mergeCell ref="B7:B8"/>
    <mergeCell ref="C7:E7"/>
    <mergeCell ref="C1:F1"/>
    <mergeCell ref="A2:F2"/>
    <mergeCell ref="A3:F3"/>
    <mergeCell ref="A5:F5"/>
    <mergeCell ref="A6:F6"/>
    <mergeCell ref="A15:B15"/>
    <mergeCell ref="A18:B18"/>
    <mergeCell ref="A19:B19"/>
    <mergeCell ref="A20:F20"/>
    <mergeCell ref="A21:A22"/>
    <mergeCell ref="B21:B22"/>
    <mergeCell ref="C21:E21"/>
    <mergeCell ref="A30:B30"/>
    <mergeCell ref="A33:B33"/>
    <mergeCell ref="A34:B34"/>
    <mergeCell ref="A35:F35"/>
    <mergeCell ref="A36:A37"/>
    <mergeCell ref="B36:B37"/>
    <mergeCell ref="C36:E36"/>
    <mergeCell ref="A51:B51"/>
    <mergeCell ref="A54:B54"/>
    <mergeCell ref="A55:B55"/>
    <mergeCell ref="A56:F56"/>
    <mergeCell ref="A57:A58"/>
    <mergeCell ref="B57:B58"/>
    <mergeCell ref="C57:E57"/>
    <mergeCell ref="A77:B77"/>
    <mergeCell ref="A80:B80"/>
    <mergeCell ref="A81:B81"/>
    <mergeCell ref="A64:B64"/>
    <mergeCell ref="A67:B67"/>
    <mergeCell ref="A68:B68"/>
    <mergeCell ref="A69:F69"/>
    <mergeCell ref="A70:A71"/>
    <mergeCell ref="B70:B71"/>
    <mergeCell ref="C70:E70"/>
  </mergeCells>
  <pageMargins left="0.7" right="0.7" top="0.75" bottom="0.75" header="0.3" footer="0.3"/>
  <pageSetup paperSize="9" scale="87" orientation="portrait" r:id="rId1"/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F126"/>
  <sheetViews>
    <sheetView view="pageBreakPreview" zoomScaleNormal="100" zoomScaleSheetLayoutView="100" workbookViewId="0">
      <selection activeCell="D27" sqref="D27"/>
    </sheetView>
  </sheetViews>
  <sheetFormatPr defaultRowHeight="12.75" x14ac:dyDescent="0.2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2" spans="2:4" ht="15" x14ac:dyDescent="0.2">
      <c r="B2" s="943" t="s">
        <v>382</v>
      </c>
      <c r="C2" s="943"/>
      <c r="D2" s="943"/>
    </row>
    <row r="3" spans="2:4" ht="15" x14ac:dyDescent="0.2">
      <c r="B3" s="88"/>
      <c r="C3" s="88"/>
      <c r="D3" s="88"/>
    </row>
    <row r="4" spans="2:4" ht="15" x14ac:dyDescent="0.2">
      <c r="B4" s="88"/>
      <c r="C4" s="88"/>
      <c r="D4" s="88"/>
    </row>
    <row r="5" spans="2:4" ht="15" x14ac:dyDescent="0.2">
      <c r="B5" s="88"/>
      <c r="C5" s="88"/>
      <c r="D5" s="88"/>
    </row>
    <row r="6" spans="2:4" ht="15" x14ac:dyDescent="0.2">
      <c r="B6" s="88"/>
      <c r="C6" s="88"/>
      <c r="D6" s="88"/>
    </row>
    <row r="7" spans="2:4" ht="15" thickBot="1" x14ac:dyDescent="0.25">
      <c r="B7" s="944"/>
      <c r="C7" s="945"/>
      <c r="D7" s="945"/>
    </row>
    <row r="8" spans="2:4" x14ac:dyDescent="0.2">
      <c r="B8" s="514" t="s">
        <v>12</v>
      </c>
      <c r="C8" s="515" t="s">
        <v>13</v>
      </c>
      <c r="D8" s="516" t="s">
        <v>14</v>
      </c>
    </row>
    <row r="9" spans="2:4" x14ac:dyDescent="0.2">
      <c r="B9" s="517" t="s">
        <v>15</v>
      </c>
      <c r="C9" s="518"/>
      <c r="D9" s="519" t="s">
        <v>243</v>
      </c>
    </row>
    <row r="10" spans="2:4" x14ac:dyDescent="0.2">
      <c r="B10" s="517"/>
      <c r="C10" s="520">
        <v>1</v>
      </c>
      <c r="D10" s="521" t="s">
        <v>726</v>
      </c>
    </row>
    <row r="11" spans="2:4" x14ac:dyDescent="0.2">
      <c r="B11" s="517"/>
      <c r="C11" s="520">
        <v>2</v>
      </c>
      <c r="D11" s="522" t="s">
        <v>16</v>
      </c>
    </row>
    <row r="12" spans="2:4" x14ac:dyDescent="0.2">
      <c r="B12" s="517"/>
      <c r="C12" s="520">
        <v>3</v>
      </c>
      <c r="D12" s="521" t="s">
        <v>306</v>
      </c>
    </row>
    <row r="13" spans="2:4" ht="25.5" x14ac:dyDescent="0.2">
      <c r="B13" s="517"/>
      <c r="C13" s="520">
        <v>4</v>
      </c>
      <c r="D13" s="523" t="s">
        <v>307</v>
      </c>
    </row>
    <row r="14" spans="2:4" x14ac:dyDescent="0.2">
      <c r="B14" s="517"/>
      <c r="C14" s="520">
        <v>5</v>
      </c>
      <c r="D14" s="521" t="s">
        <v>308</v>
      </c>
    </row>
    <row r="15" spans="2:4" x14ac:dyDescent="0.2">
      <c r="B15" s="517"/>
      <c r="C15" s="520">
        <v>6</v>
      </c>
      <c r="D15" s="522" t="s">
        <v>19</v>
      </c>
    </row>
    <row r="16" spans="2:4" x14ac:dyDescent="0.2">
      <c r="B16" s="517"/>
      <c r="C16" s="520">
        <v>7</v>
      </c>
      <c r="D16" s="522" t="s">
        <v>309</v>
      </c>
    </row>
    <row r="17" spans="2:4" x14ac:dyDescent="0.2">
      <c r="B17" s="517"/>
      <c r="C17" s="520">
        <v>8</v>
      </c>
      <c r="D17" s="522" t="s">
        <v>310</v>
      </c>
    </row>
    <row r="18" spans="2:4" x14ac:dyDescent="0.2">
      <c r="B18" s="517"/>
      <c r="C18" s="520">
        <v>9</v>
      </c>
      <c r="D18" s="522" t="s">
        <v>324</v>
      </c>
    </row>
    <row r="19" spans="2:4" x14ac:dyDescent="0.2">
      <c r="B19" s="517"/>
      <c r="C19" s="520">
        <v>10</v>
      </c>
      <c r="D19" s="522" t="s">
        <v>380</v>
      </c>
    </row>
    <row r="20" spans="2:4" ht="28.5" customHeight="1" x14ac:dyDescent="0.2">
      <c r="B20" s="517"/>
      <c r="C20" s="520">
        <v>11</v>
      </c>
      <c r="D20" s="522" t="s">
        <v>312</v>
      </c>
    </row>
    <row r="21" spans="2:4" ht="13.5" customHeight="1" x14ac:dyDescent="0.2">
      <c r="B21" s="517"/>
      <c r="C21" s="520">
        <v>12</v>
      </c>
      <c r="D21" s="522" t="s">
        <v>17</v>
      </c>
    </row>
    <row r="22" spans="2:4" ht="13.5" customHeight="1" x14ac:dyDescent="0.2">
      <c r="B22" s="517"/>
      <c r="C22" s="520">
        <v>13</v>
      </c>
      <c r="D22" s="522" t="s">
        <v>18</v>
      </c>
    </row>
    <row r="23" spans="2:4" ht="13.5" customHeight="1" x14ac:dyDescent="0.2">
      <c r="B23" s="517"/>
      <c r="C23" s="520">
        <v>14</v>
      </c>
      <c r="D23" s="522" t="s">
        <v>379</v>
      </c>
    </row>
    <row r="24" spans="2:4" ht="13.5" customHeight="1" x14ac:dyDescent="0.2">
      <c r="B24" s="517"/>
      <c r="C24" s="520">
        <v>15</v>
      </c>
      <c r="D24" s="522" t="s">
        <v>380</v>
      </c>
    </row>
    <row r="25" spans="2:4" x14ac:dyDescent="0.2">
      <c r="B25" s="517"/>
      <c r="C25" s="520">
        <v>16</v>
      </c>
      <c r="D25" s="522" t="s">
        <v>244</v>
      </c>
    </row>
    <row r="26" spans="2:4" x14ac:dyDescent="0.2">
      <c r="B26" s="517"/>
      <c r="C26" s="520">
        <v>17</v>
      </c>
      <c r="D26" s="521" t="s">
        <v>20</v>
      </c>
    </row>
    <row r="27" spans="2:4" x14ac:dyDescent="0.2">
      <c r="B27" s="517"/>
      <c r="C27" s="520">
        <v>18</v>
      </c>
      <c r="D27" s="521" t="s">
        <v>21</v>
      </c>
    </row>
    <row r="28" spans="2:4" x14ac:dyDescent="0.2">
      <c r="B28" s="517"/>
      <c r="C28" s="520">
        <v>19</v>
      </c>
      <c r="D28" s="522" t="s">
        <v>313</v>
      </c>
    </row>
    <row r="29" spans="2:4" x14ac:dyDescent="0.2">
      <c r="B29" s="517"/>
      <c r="C29" s="520">
        <v>20</v>
      </c>
      <c r="D29" s="521" t="s">
        <v>314</v>
      </c>
    </row>
    <row r="30" spans="2:4" x14ac:dyDescent="0.2">
      <c r="B30" s="517"/>
      <c r="C30" s="520">
        <v>21</v>
      </c>
      <c r="D30" s="521" t="s">
        <v>22</v>
      </c>
    </row>
    <row r="31" spans="2:4" x14ac:dyDescent="0.2">
      <c r="B31" s="517"/>
      <c r="C31" s="520">
        <v>22</v>
      </c>
      <c r="D31" s="521" t="s">
        <v>245</v>
      </c>
    </row>
    <row r="32" spans="2:4" x14ac:dyDescent="0.2">
      <c r="B32" s="517"/>
      <c r="C32" s="520">
        <v>23</v>
      </c>
      <c r="D32" s="521" t="s">
        <v>23</v>
      </c>
    </row>
    <row r="33" spans="2:4" x14ac:dyDescent="0.2">
      <c r="B33" s="517"/>
      <c r="C33" s="520">
        <v>24</v>
      </c>
      <c r="D33" s="521" t="s">
        <v>24</v>
      </c>
    </row>
    <row r="34" spans="2:4" x14ac:dyDescent="0.2">
      <c r="B34" s="517"/>
      <c r="C34" s="520">
        <v>25</v>
      </c>
      <c r="D34" s="521" t="s">
        <v>25</v>
      </c>
    </row>
    <row r="35" spans="2:4" x14ac:dyDescent="0.2">
      <c r="B35" s="517"/>
      <c r="C35" s="520">
        <v>26</v>
      </c>
      <c r="D35" s="521" t="s">
        <v>26</v>
      </c>
    </row>
    <row r="36" spans="2:4" x14ac:dyDescent="0.2">
      <c r="B36" s="517"/>
      <c r="C36" s="520">
        <v>27</v>
      </c>
      <c r="D36" s="521" t="s">
        <v>27</v>
      </c>
    </row>
    <row r="37" spans="2:4" x14ac:dyDescent="0.2">
      <c r="B37" s="517"/>
      <c r="C37" s="520">
        <v>28</v>
      </c>
      <c r="D37" s="521" t="s">
        <v>246</v>
      </c>
    </row>
    <row r="38" spans="2:4" x14ac:dyDescent="0.2">
      <c r="B38" s="517"/>
      <c r="C38" s="520">
        <v>29</v>
      </c>
      <c r="D38" s="143" t="s">
        <v>315</v>
      </c>
    </row>
    <row r="39" spans="2:4" x14ac:dyDescent="0.2">
      <c r="B39" s="517"/>
      <c r="C39" s="520">
        <v>30</v>
      </c>
      <c r="D39" s="521" t="s">
        <v>316</v>
      </c>
    </row>
    <row r="40" spans="2:4" x14ac:dyDescent="0.2">
      <c r="B40" s="517"/>
      <c r="C40" s="520">
        <v>31</v>
      </c>
      <c r="D40" s="521" t="s">
        <v>317</v>
      </c>
    </row>
    <row r="41" spans="2:4" x14ac:dyDescent="0.2">
      <c r="B41" s="517"/>
      <c r="C41" s="520">
        <v>32</v>
      </c>
      <c r="D41" s="521" t="s">
        <v>28</v>
      </c>
    </row>
    <row r="42" spans="2:4" x14ac:dyDescent="0.2">
      <c r="B42" s="517"/>
      <c r="C42" s="520">
        <v>33</v>
      </c>
      <c r="D42" s="521" t="s">
        <v>29</v>
      </c>
    </row>
    <row r="43" spans="2:4" x14ac:dyDescent="0.2">
      <c r="B43" s="517"/>
      <c r="C43" s="520">
        <v>34</v>
      </c>
      <c r="D43" s="521" t="s">
        <v>30</v>
      </c>
    </row>
    <row r="44" spans="2:4" x14ac:dyDescent="0.2">
      <c r="B44" s="517"/>
      <c r="C44" s="520">
        <v>35</v>
      </c>
      <c r="D44" s="521" t="s">
        <v>31</v>
      </c>
    </row>
    <row r="45" spans="2:4" x14ac:dyDescent="0.2">
      <c r="B45" s="517"/>
      <c r="C45" s="520">
        <v>36</v>
      </c>
      <c r="D45" s="521" t="s">
        <v>32</v>
      </c>
    </row>
    <row r="46" spans="2:4" x14ac:dyDescent="0.2">
      <c r="B46" s="517"/>
      <c r="C46" s="520">
        <v>37</v>
      </c>
      <c r="D46" s="521" t="s">
        <v>247</v>
      </c>
    </row>
    <row r="47" spans="2:4" x14ac:dyDescent="0.2">
      <c r="B47" s="517"/>
      <c r="C47" s="520">
        <v>38</v>
      </c>
      <c r="D47" s="521" t="s">
        <v>248</v>
      </c>
    </row>
    <row r="48" spans="2:4" x14ac:dyDescent="0.2">
      <c r="B48" s="517"/>
      <c r="C48" s="520">
        <v>39</v>
      </c>
      <c r="D48" s="521" t="s">
        <v>249</v>
      </c>
    </row>
    <row r="49" spans="2:5" x14ac:dyDescent="0.2">
      <c r="B49" s="517"/>
      <c r="C49" s="520">
        <v>40</v>
      </c>
      <c r="D49" s="522" t="s">
        <v>318</v>
      </c>
    </row>
    <row r="50" spans="2:5" x14ac:dyDescent="0.2">
      <c r="B50" s="517"/>
      <c r="C50" s="520">
        <v>41</v>
      </c>
      <c r="D50" s="522" t="s">
        <v>319</v>
      </c>
    </row>
    <row r="51" spans="2:5" x14ac:dyDescent="0.2">
      <c r="B51" s="517"/>
      <c r="C51" s="520">
        <v>42</v>
      </c>
      <c r="D51" s="522" t="s">
        <v>320</v>
      </c>
    </row>
    <row r="52" spans="2:5" ht="25.5" x14ac:dyDescent="0.2">
      <c r="B52" s="517"/>
      <c r="C52" s="520">
        <v>43</v>
      </c>
      <c r="D52" s="522" t="s">
        <v>250</v>
      </c>
    </row>
    <row r="53" spans="2:5" x14ac:dyDescent="0.2">
      <c r="B53" s="517"/>
      <c r="C53" s="520">
        <v>44</v>
      </c>
      <c r="D53" s="522" t="s">
        <v>251</v>
      </c>
    </row>
    <row r="54" spans="2:5" x14ac:dyDescent="0.2">
      <c r="B54" s="517"/>
      <c r="C54" s="520">
        <v>45</v>
      </c>
      <c r="D54" s="522" t="s">
        <v>252</v>
      </c>
    </row>
    <row r="55" spans="2:5" x14ac:dyDescent="0.2">
      <c r="B55" s="517"/>
      <c r="C55" s="520">
        <v>46</v>
      </c>
      <c r="D55" s="522" t="s">
        <v>253</v>
      </c>
    </row>
    <row r="56" spans="2:5" ht="13.5" thickBot="1" x14ac:dyDescent="0.25">
      <c r="B56" s="524"/>
      <c r="C56" s="525">
        <v>47</v>
      </c>
      <c r="D56" s="526" t="s">
        <v>34</v>
      </c>
    </row>
    <row r="57" spans="2:5" x14ac:dyDescent="0.2">
      <c r="B57" s="92"/>
      <c r="C57" s="93"/>
      <c r="D57" s="145"/>
    </row>
    <row r="58" spans="2:5" x14ac:dyDescent="0.2">
      <c r="B58" s="92"/>
      <c r="C58" s="93"/>
      <c r="D58" s="145"/>
    </row>
    <row r="59" spans="2:5" x14ac:dyDescent="0.2">
      <c r="B59" s="92"/>
      <c r="C59" s="93"/>
      <c r="D59" s="145"/>
    </row>
    <row r="60" spans="2:5" x14ac:dyDescent="0.2">
      <c r="B60" s="92"/>
      <c r="C60" s="93"/>
      <c r="D60" s="145"/>
      <c r="E60" s="1" t="s">
        <v>15</v>
      </c>
    </row>
    <row r="61" spans="2:5" x14ac:dyDescent="0.2">
      <c r="B61" s="92"/>
      <c r="C61" s="93"/>
      <c r="D61" s="145"/>
    </row>
    <row r="62" spans="2:5" ht="13.5" thickBot="1" x14ac:dyDescent="0.25">
      <c r="B62" s="92"/>
      <c r="C62" s="93"/>
      <c r="D62" s="146"/>
    </row>
    <row r="63" spans="2:5" x14ac:dyDescent="0.2">
      <c r="B63" s="89" t="s">
        <v>12</v>
      </c>
      <c r="C63" s="90" t="s">
        <v>13</v>
      </c>
      <c r="D63" s="147" t="s">
        <v>14</v>
      </c>
    </row>
    <row r="64" spans="2:5" x14ac:dyDescent="0.2">
      <c r="B64" s="94" t="s">
        <v>37</v>
      </c>
      <c r="C64" s="527"/>
      <c r="D64" s="148" t="s">
        <v>254</v>
      </c>
    </row>
    <row r="65" spans="2:6" ht="25.5" x14ac:dyDescent="0.2">
      <c r="B65" s="528"/>
      <c r="C65" s="67">
        <v>1</v>
      </c>
      <c r="D65" s="142" t="s">
        <v>321</v>
      </c>
      <c r="F65" s="158"/>
    </row>
    <row r="66" spans="2:6" x14ac:dyDescent="0.2">
      <c r="B66" s="528"/>
      <c r="C66" s="67">
        <v>2</v>
      </c>
      <c r="D66" s="140" t="s">
        <v>314</v>
      </c>
    </row>
    <row r="67" spans="2:6" x14ac:dyDescent="0.2">
      <c r="B67" s="528"/>
      <c r="C67" s="529">
        <v>3</v>
      </c>
      <c r="D67" s="140" t="s">
        <v>326</v>
      </c>
    </row>
    <row r="68" spans="2:6" x14ac:dyDescent="0.2">
      <c r="B68" s="528"/>
      <c r="C68" s="67">
        <v>4</v>
      </c>
      <c r="D68" s="140" t="s">
        <v>255</v>
      </c>
    </row>
    <row r="69" spans="2:6" x14ac:dyDescent="0.2">
      <c r="B69" s="528"/>
      <c r="C69" s="67">
        <v>5</v>
      </c>
      <c r="D69" s="140" t="s">
        <v>322</v>
      </c>
    </row>
    <row r="70" spans="2:6" ht="25.5" x14ac:dyDescent="0.2">
      <c r="B70" s="149"/>
      <c r="C70" s="67">
        <v>6</v>
      </c>
      <c r="D70" s="142" t="s">
        <v>307</v>
      </c>
    </row>
    <row r="71" spans="2:6" x14ac:dyDescent="0.2">
      <c r="B71" s="149"/>
      <c r="C71" s="67">
        <v>7</v>
      </c>
      <c r="D71" s="140" t="s">
        <v>323</v>
      </c>
    </row>
    <row r="72" spans="2:6" x14ac:dyDescent="0.2">
      <c r="B72" s="149"/>
      <c r="C72" s="67">
        <v>8</v>
      </c>
      <c r="D72" s="140" t="s">
        <v>324</v>
      </c>
    </row>
    <row r="73" spans="2:6" x14ac:dyDescent="0.2">
      <c r="B73" s="94" t="s">
        <v>38</v>
      </c>
      <c r="C73" s="527"/>
      <c r="D73" s="148" t="s">
        <v>256</v>
      </c>
    </row>
    <row r="74" spans="2:6" x14ac:dyDescent="0.2">
      <c r="B74" s="94"/>
      <c r="C74" s="66">
        <v>1</v>
      </c>
      <c r="D74" s="140" t="s">
        <v>257</v>
      </c>
    </row>
    <row r="75" spans="2:6" x14ac:dyDescent="0.2">
      <c r="B75" s="94"/>
      <c r="C75" s="66">
        <v>2</v>
      </c>
      <c r="D75" s="140" t="s">
        <v>258</v>
      </c>
    </row>
    <row r="76" spans="2:6" x14ac:dyDescent="0.2">
      <c r="B76" s="91"/>
      <c r="C76" s="67">
        <v>3</v>
      </c>
      <c r="D76" s="140" t="s">
        <v>33</v>
      </c>
    </row>
    <row r="77" spans="2:6" x14ac:dyDescent="0.2">
      <c r="B77" s="91"/>
      <c r="C77" s="67">
        <v>4</v>
      </c>
      <c r="D77" s="140" t="s">
        <v>325</v>
      </c>
    </row>
    <row r="78" spans="2:6" x14ac:dyDescent="0.2">
      <c r="B78" s="91"/>
      <c r="C78" s="67">
        <v>5</v>
      </c>
      <c r="D78" s="140" t="s">
        <v>381</v>
      </c>
    </row>
    <row r="79" spans="2:6" x14ac:dyDescent="0.2">
      <c r="B79" s="91"/>
      <c r="C79" s="67">
        <v>6</v>
      </c>
      <c r="D79" s="140" t="s">
        <v>324</v>
      </c>
    </row>
    <row r="80" spans="2:6" x14ac:dyDescent="0.2">
      <c r="B80" s="94" t="s">
        <v>39</v>
      </c>
      <c r="C80" s="530"/>
      <c r="D80" s="148" t="s">
        <v>367</v>
      </c>
    </row>
    <row r="81" spans="2:4" x14ac:dyDescent="0.2">
      <c r="B81" s="531"/>
      <c r="C81" s="66">
        <v>1</v>
      </c>
      <c r="D81" s="140" t="s">
        <v>327</v>
      </c>
    </row>
    <row r="82" spans="2:4" x14ac:dyDescent="0.2">
      <c r="B82" s="531"/>
      <c r="C82" s="66">
        <v>2</v>
      </c>
      <c r="D82" s="140" t="s">
        <v>311</v>
      </c>
    </row>
    <row r="83" spans="2:4" x14ac:dyDescent="0.2">
      <c r="B83" s="531"/>
      <c r="C83" s="66">
        <v>3</v>
      </c>
      <c r="D83" s="140" t="s">
        <v>262</v>
      </c>
    </row>
    <row r="84" spans="2:4" x14ac:dyDescent="0.2">
      <c r="B84" s="531"/>
      <c r="C84" s="66">
        <v>4</v>
      </c>
      <c r="D84" s="140" t="s">
        <v>328</v>
      </c>
    </row>
    <row r="85" spans="2:4" x14ac:dyDescent="0.2">
      <c r="B85" s="531"/>
      <c r="C85" s="66">
        <v>5</v>
      </c>
      <c r="D85" s="140" t="s">
        <v>17</v>
      </c>
    </row>
    <row r="86" spans="2:4" x14ac:dyDescent="0.2">
      <c r="B86" s="532"/>
      <c r="C86" s="69">
        <v>6</v>
      </c>
      <c r="D86" s="168" t="s">
        <v>324</v>
      </c>
    </row>
    <row r="87" spans="2:4" ht="13.5" thickBot="1" x14ac:dyDescent="0.25">
      <c r="B87" s="533"/>
      <c r="C87" s="141">
        <v>7</v>
      </c>
      <c r="D87" s="144" t="s">
        <v>363</v>
      </c>
    </row>
    <row r="126" spans="5:5" x14ac:dyDescent="0.2">
      <c r="E126" s="1" t="s">
        <v>37</v>
      </c>
    </row>
  </sheetData>
  <mergeCells count="2">
    <mergeCell ref="B2:D2"/>
    <mergeCell ref="B7:D7"/>
  </mergeCells>
  <phoneticPr fontId="13" type="noConversion"/>
  <pageMargins left="0.74803149606299213" right="0.74803149606299213" top="0.19685039370078741" bottom="0.39370078740157483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7</vt:i4>
      </vt:variant>
    </vt:vector>
  </HeadingPairs>
  <TitlesOfParts>
    <vt:vector size="27" baseType="lpstr">
      <vt:lpstr>Önk.bev.</vt:lpstr>
      <vt:lpstr>Önk.kiad.</vt:lpstr>
      <vt:lpstr>Hiv.bev.</vt:lpstr>
      <vt:lpstr>Hiv.kiad.</vt:lpstr>
      <vt:lpstr>Művh.bev.</vt:lpstr>
      <vt:lpstr>Művh.kiad.</vt:lpstr>
      <vt:lpstr>Ovibev.</vt:lpstr>
      <vt:lpstr>Ovikiad.</vt:lpstr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  <vt:lpstr>'1.sz.melléklet'!Nyomtatási_terület</vt:lpstr>
      <vt:lpstr>'5. sz. melléklet'!Nyomtatási_terület</vt:lpstr>
      <vt:lpstr>Hiv.kiad.!Nyomtatási_terület</vt:lpstr>
      <vt:lpstr>Művh.kiad.!Nyomtatási_terület</vt:lpstr>
      <vt:lpstr>Ovikiad.!Nyomtatási_terület</vt:lpstr>
      <vt:lpstr>Önk.bev.!Nyomtatási_terület</vt:lpstr>
      <vt:lpstr>Önk.kiad.!Nyomtatási_terület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KollárAnikó</cp:lastModifiedBy>
  <cp:lastPrinted>2019-11-04T13:14:32Z</cp:lastPrinted>
  <dcterms:created xsi:type="dcterms:W3CDTF">2004-07-16T06:20:01Z</dcterms:created>
  <dcterms:modified xsi:type="dcterms:W3CDTF">2019-11-04T13:14:38Z</dcterms:modified>
</cp:coreProperties>
</file>