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4470" tabRatio="885" activeTab="9"/>
  </bookViews>
  <sheets>
    <sheet name="1.sz.m." sheetId="1" r:id="rId1"/>
    <sheet name="2.sz.m." sheetId="2" r:id="rId2"/>
    <sheet name="3. sz." sheetId="3" r:id="rId3"/>
    <sheet name="4. sz.m." sheetId="4" r:id="rId4"/>
    <sheet name="5.sz.m" sheetId="5" r:id="rId5"/>
    <sheet name="6. sz." sheetId="6" r:id="rId6"/>
    <sheet name="7. sz. " sheetId="7" r:id="rId7"/>
    <sheet name="8. sz" sheetId="8" r:id="rId8"/>
    <sheet name="9. sz." sheetId="9" r:id="rId9"/>
    <sheet name="10. sz." sheetId="10" r:id="rId10"/>
  </sheets>
  <definedNames>
    <definedName name="_xlnm.Print_Area" localSheetId="0">'1.sz.m.'!$A$1:$AL$18</definedName>
    <definedName name="_xlnm.Print_Area" localSheetId="1">'2.sz.m.'!$A$1:$AP$18</definedName>
    <definedName name="_xlnm.Print_Area" localSheetId="2">'3. sz.'!$B$1:$E$36</definedName>
    <definedName name="_xlnm.Print_Area" localSheetId="3">'4. sz.m.'!$A$1:$L$94</definedName>
    <definedName name="_xlnm.Print_Area" localSheetId="5">'6. sz.'!$B$1:$P$22</definedName>
    <definedName name="_xlnm.Print_Area" localSheetId="6">'7. sz. '!$A$1:$E$36</definedName>
    <definedName name="_xlnm.Print_Area" localSheetId="7">'8. sz'!$B$1:$O$21</definedName>
    <definedName name="_xlnm.Print_Area" localSheetId="8">'9. sz.'!$A$1:$O$21</definedName>
  </definedNames>
  <calcPr fullCalcOnLoad="1"/>
</workbook>
</file>

<file path=xl/sharedStrings.xml><?xml version="1.0" encoding="utf-8"?>
<sst xmlns="http://schemas.openxmlformats.org/spreadsheetml/2006/main" count="928" uniqueCount="416">
  <si>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</si>
  <si>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</si>
  <si>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</si>
  <si>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</si>
  <si>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</si>
  <si>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</si>
  <si>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</si>
  <si>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</si>
  <si>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</si>
  <si>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</si>
  <si>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</si>
  <si>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</si>
  <si>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</si>
  <si>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</si>
  <si>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</si>
  <si>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</si>
  <si>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</si>
  <si>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</si>
  <si>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</si>
  <si>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</si>
  <si>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</si>
  <si>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</si>
  <si>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</si>
  <si>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</si>
  <si>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</si>
  <si>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</si>
  <si>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</si>
  <si>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</si>
  <si>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</si>
  <si>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</si>
  <si>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</si>
  <si>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</si>
  <si>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</si>
  <si>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</si>
  <si>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</si>
  <si>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</si>
  <si>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</si>
  <si>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ezer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</si>
  <si>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</si>
  <si>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</si>
  <si>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</si>
  <si>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</si>
  <si>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</si>
  <si>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</si>
  <si>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</si>
  <si>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</si>
  <si>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</si>
  <si>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</si>
  <si>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</si>
  <si>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</si>
  <si>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</si>
  <si>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</si>
  <si>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Likbidhitel felvétel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</si>
  <si>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</si>
  <si>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</si>
  <si>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</si>
  <si>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</si>
  <si>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</si>
  <si>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</si>
  <si>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</si>
  <si>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</si>
  <si>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</si>
  <si>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</si>
  <si>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</si>
  <si>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</si>
  <si>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>Polgármesteri Hivatal</t>
  </si>
  <si>
    <t xml:space="preserve">Önkormányzat </t>
  </si>
  <si>
    <t>Békés Város mindösszesen:</t>
  </si>
  <si>
    <t>W</t>
  </si>
  <si>
    <t>AL</t>
  </si>
  <si>
    <t>AM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</si>
  <si>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</si>
  <si>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</si>
  <si>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</si>
  <si>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</si>
  <si>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</si>
  <si>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</si>
  <si>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</si>
  <si>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</si>
  <si>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</si>
  <si>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</si>
  <si>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</si>
  <si>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</si>
  <si>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</si>
  <si>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</si>
  <si>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</si>
  <si>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</si>
  <si>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 xml:space="preserve"> Önkormányzat </t>
  </si>
  <si>
    <t>Békés Város Önkormányzata és intézményei</t>
  </si>
  <si>
    <t>feladatonkénti bontásban</t>
  </si>
  <si>
    <t>Ft-ban</t>
  </si>
  <si>
    <t>MEGNEVEZÉS</t>
  </si>
  <si>
    <t>Előirányzat</t>
  </si>
  <si>
    <t>Eredeti</t>
  </si>
  <si>
    <t>Módosított</t>
  </si>
  <si>
    <t>I. Működési céltartalékok</t>
  </si>
  <si>
    <t>Az Önkormányzat költségvetésében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</si>
  <si>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</si>
  <si>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</si>
  <si>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</si>
  <si>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</si>
  <si>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</si>
  <si>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</si>
  <si>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</si>
  <si>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</si>
  <si>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</si>
  <si>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II. Fejlesztési céltartalékok</t>
  </si>
  <si>
    <t>10.</t>
  </si>
  <si>
    <t>11.</t>
  </si>
  <si>
    <t>12.</t>
  </si>
  <si>
    <t>13.</t>
  </si>
  <si>
    <t>14.</t>
  </si>
  <si>
    <t>15.</t>
  </si>
  <si>
    <t>16.</t>
  </si>
  <si>
    <t>II.</t>
  </si>
  <si>
    <t>III.</t>
  </si>
  <si>
    <t>Tartalékok  mindösszesen:(I + II)</t>
  </si>
  <si>
    <t>Épületek karbantartására</t>
  </si>
  <si>
    <t>Oktatási, közművelődési, ifjúsági feladatok</t>
  </si>
  <si>
    <t>Működési  tartalékok összesen: (1+…8)</t>
  </si>
  <si>
    <t>Fejlesztési céltartalék összesen:( 1+…12)</t>
  </si>
  <si>
    <t xml:space="preserve">I. </t>
  </si>
  <si>
    <t>1.) Állami támogatás fedezetével előirányzat módosítás összesen:</t>
  </si>
  <si>
    <t>-</t>
  </si>
  <si>
    <t>2.) Intézményi működési bevételekből előirányzat módosítás összesen:</t>
  </si>
  <si>
    <t>személyi juttatásokból</t>
  </si>
  <si>
    <t>munkaadót terhelő járulékokból</t>
  </si>
  <si>
    <t>dologi kiadásokra</t>
  </si>
  <si>
    <t>egyéb működési célú kiadásokra</t>
  </si>
  <si>
    <t>beruházás, felújításokra</t>
  </si>
  <si>
    <t>II. Intézmények költségvetésének módosítása</t>
  </si>
  <si>
    <t>1.) Gyógyászati Központ és Gyógyfürdő</t>
  </si>
  <si>
    <t>személyi juttatásokra</t>
  </si>
  <si>
    <t>munkaadót terhelő járulékokra</t>
  </si>
  <si>
    <t xml:space="preserve">2.) Kecskeméti Gábor Kulturális Központ </t>
  </si>
  <si>
    <t>3.) Jantyik Mátyás Múzeum</t>
  </si>
  <si>
    <t>4.) Püski Sándor Könyvtár</t>
  </si>
  <si>
    <t>a.) Gyógyászati Központ és Gyógyfürdő összesen:</t>
  </si>
  <si>
    <t>dologi kiadásokból</t>
  </si>
  <si>
    <t>b.) Kecskeméti Gábor Kulturális Központ összesen:</t>
  </si>
  <si>
    <t>d.) Polgármesteri Hivatal</t>
  </si>
  <si>
    <t>Állami és önkormányzati támogatásból biztosított feladatokra előirányzat módosítás összesen:</t>
  </si>
  <si>
    <t>II. Intézmények összesen:</t>
  </si>
  <si>
    <t>Mindösszesen: I. +II.</t>
  </si>
  <si>
    <t>Összevont szociális ágazati pótlék (Óvoda) támogatása</t>
  </si>
  <si>
    <t>Kulturális ágazatban dolgozók pótlékának támogatása</t>
  </si>
  <si>
    <t>Költségvetési szerveknél foglalkoztatottak bérkompenzációjának támogatása</t>
  </si>
  <si>
    <t>működési tartalékokból</t>
  </si>
  <si>
    <t xml:space="preserve"> Intézmények kiemelt kiadási előirányzata közötti átcsoportosítása összesen:</t>
  </si>
  <si>
    <t>Intézmények saját bevételeinek módosítása összesen:</t>
  </si>
  <si>
    <t>5.) Polgármesteri Hivatal</t>
  </si>
  <si>
    <t xml:space="preserve"> Az Önkormányzat költségvetésének módosítása</t>
  </si>
  <si>
    <t>I.</t>
  </si>
  <si>
    <t>Saját forrásból megvalósuló beruházások, felújítások</t>
  </si>
  <si>
    <t>Önkormányzat:</t>
  </si>
  <si>
    <t>A.</t>
  </si>
  <si>
    <t>Előző évtől áthúzódó feladatok:</t>
  </si>
  <si>
    <t>B.</t>
  </si>
  <si>
    <t xml:space="preserve">Egyéb felhalmozási célú kiadások </t>
  </si>
  <si>
    <t>Lakosságnak nyújtott kamatmentes kölcsönök</t>
  </si>
  <si>
    <t>"Krízisalap"-ból nyújtott kölcsönök</t>
  </si>
  <si>
    <t>Vállalkozóknak nyújtott kölcsönök</t>
  </si>
  <si>
    <t>Egyéb felhalmozási célú kiadások összesen (1+..6):</t>
  </si>
  <si>
    <t>B.)</t>
  </si>
  <si>
    <t>Költségvetésben nem tervezett felhalmozási kiadások összesen</t>
  </si>
  <si>
    <t>Gyógyászati Központ és Gyógyfürdő összesen:</t>
  </si>
  <si>
    <t>Kecskeméti Gábor Kulturális Központ összesen:</t>
  </si>
  <si>
    <t>Püski Sándor Könyvtár összesen:</t>
  </si>
  <si>
    <t>Polgármesteri Hivatal összesen:</t>
  </si>
  <si>
    <t>Önkormányzat összesen:</t>
  </si>
  <si>
    <t>Költségvetésben nem tervezett felhalmozási kiadások összesen:</t>
  </si>
  <si>
    <t xml:space="preserve"> </t>
  </si>
  <si>
    <t>Kiszámlázott ÁFA és ÁFA visszatérítés évkozi módosításának helyesbítése (összesen saját bevételek alul teljesülése miatt)</t>
  </si>
  <si>
    <t>Önkormányzat kiemelt  előirányzatainak módosítása összesen:</t>
  </si>
  <si>
    <t>tartalékokra</t>
  </si>
  <si>
    <t>beruházás, felújításokból</t>
  </si>
  <si>
    <t>c.) Jantyik Mátyás Múzeum összesen:</t>
  </si>
  <si>
    <t>d.) Püski Sándor Könytár összesen:</t>
  </si>
  <si>
    <t>személyi juittatásokból</t>
  </si>
  <si>
    <t>beruházás, felőjításokra</t>
  </si>
  <si>
    <t>Janytyik Mátyás Múzeum</t>
  </si>
  <si>
    <t xml:space="preserve">A 2018.évi költségvetés I. félévi  módosítása </t>
  </si>
  <si>
    <t>2018. I. félévi módosított előirányzat mindösszesen:</t>
  </si>
  <si>
    <t>2018. évi módosított előirányzat mindösszesen:</t>
  </si>
  <si>
    <t>2018. évi eredeti előirányzat összesen:</t>
  </si>
  <si>
    <t>Szociális foglalkoztatás kiegészítő támogatására</t>
  </si>
  <si>
    <t xml:space="preserve">Felülvizsgálat utáni 2016. évi Önkormányzati pótlólagos támogatás </t>
  </si>
  <si>
    <t>KAB-KEF-17-A Drogtükör pályázat kiadásaira</t>
  </si>
  <si>
    <t>Szennyvíz csatorna építés kiásaira (2017. évi GFT beruházás) kiszámlázott bevételek terhére</t>
  </si>
  <si>
    <t>Alföldvíz bérleti díjára kiszámlázott bevételek terhére</t>
  </si>
  <si>
    <t>Széchenyi téri lakás gázkazán csere kiadásaira kiszámláztt bevételek terhére</t>
  </si>
  <si>
    <t>TOP-4.3.1.-15 BS1 Leromlott város pályázat kiadásaira</t>
  </si>
  <si>
    <t>TOP-1.4.1.-15 BS1 Korona utcai Óvi tornaszoba pályázat kiadásaira</t>
  </si>
  <si>
    <t>TOP-3.2.1.-16 BS1 Épületenergetika III. ütem pályázat kiadásaira</t>
  </si>
  <si>
    <t>EFOP-1.2.11.-16 Esély a fiataloknak pályázat kiadásaira</t>
  </si>
  <si>
    <t>TOP-2.1.2.-16 Zöldváros pályázat kiadásaira</t>
  </si>
  <si>
    <t>TOP-3.2.1.-16 BS1 Épületenergetika II. ütem pályázat kiadásaira</t>
  </si>
  <si>
    <t>TOP-2.1.3.-16 BS1Csapadékvíz elvezetés pályázat kiadásaira</t>
  </si>
  <si>
    <t>EFOP-1.5.3.-16 Településeinkért pályázat kiadásaira</t>
  </si>
  <si>
    <t>7.) Likviditási célú hitelek felvételéből előirányzat módosítás összesen:</t>
  </si>
  <si>
    <t>Likviditási célú hitelek halmozott forgalmának (törlesztésének) elszámolására</t>
  </si>
  <si>
    <t>4.) Működési célú átvett pénzeszközökből előirányzat módosítás összesen:</t>
  </si>
  <si>
    <t>5.) Felhalmozási célra átvett pénzeszközökből előirányzat módosítás összesen:</t>
  </si>
  <si>
    <t>6.) Önkormányzati és állami támogatásból intézmények támogatására előirányzat módosítás intézményeknek összesen:</t>
  </si>
  <si>
    <t>3.) Előző évi költségvetési maradvány igénybevétele összesen:</t>
  </si>
  <si>
    <t>2018. évi költségvetésben tervezett és a 2017. évi zárszámadásban jóváhagyott különbség</t>
  </si>
  <si>
    <t>Szociális ágazatban dolgozók pótlékának támogatása (Összevont szociális ágazait pótlék)</t>
  </si>
  <si>
    <t>ellátottak pénzbeli juttatásaiból</t>
  </si>
  <si>
    <t>likviditási célú hitel törlesztésére</t>
  </si>
  <si>
    <t>8.) Kiemelt kiadási előirányzatok közötti átcsoportosítás összesen:</t>
  </si>
  <si>
    <t>fejlesztési tartalékokból</t>
  </si>
  <si>
    <t>finanszírozási kiadásokra</t>
  </si>
  <si>
    <t>Békés Város  Önkormányzata és intézményei 2018. évi bevételi előirányzatainak I.  félévi teljesítése</t>
  </si>
  <si>
    <t>Békés Város Önkormányzata és intézményei 2018. évi  kiadási előirányzatának I.  félévi teljesítése</t>
  </si>
  <si>
    <t>2018. I. félévi felhalmozási előirányzata</t>
  </si>
  <si>
    <t>2018. I. félévi tartalék előirányzata</t>
  </si>
  <si>
    <t>6.) Intézmények kiemelt kiadási előirányzata közötti átcsoportosítása</t>
  </si>
  <si>
    <t>Előző évi maradványból és működési célra átvett pénzeszközökből összesen:</t>
  </si>
  <si>
    <t>Előző évi maradvánból, intézményi működési bevételekből és működési célra átvett pénzeszközökből összesen:</t>
  </si>
  <si>
    <t>egyéb felhalmási célú kiadásokra</t>
  </si>
  <si>
    <t>2017. évi állami normatíva (elszámolást követő) várható visszafizetése</t>
  </si>
  <si>
    <t>ASP</t>
  </si>
  <si>
    <t>Arany János emlékév</t>
  </si>
  <si>
    <t>TOP 5.2.1.15</t>
  </si>
  <si>
    <t>Intézmény felújítási tartalék</t>
  </si>
  <si>
    <t>Rákóczi u. 16. akadály mentesítés</t>
  </si>
  <si>
    <t>Földhivatal átalakítás</t>
  </si>
  <si>
    <t>Széchenyi tér 6 homlokzat felújítás</t>
  </si>
  <si>
    <t>VP6-7.2.1-külterületi helyi közutak önerő</t>
  </si>
  <si>
    <t>BKSZ plusz kölcsön térülés</t>
  </si>
  <si>
    <t>BKSZ tőkekivonás</t>
  </si>
  <si>
    <t>Interreg ROHU pályázat önereje</t>
  </si>
  <si>
    <t>TOP 1.1.1-15-BS1-2016-00004 Oncsa</t>
  </si>
  <si>
    <t>TOP 1.1.3-15-BS1-2016-00012 Piac fejlesztés</t>
  </si>
  <si>
    <t>TOP 1.2.1-15-BS1-2016-00007 Dánfok</t>
  </si>
  <si>
    <t>TOP 2.1.13-15-BS1-2016-00002 Csapadék</t>
  </si>
  <si>
    <t>TOP 3.2.1-15-BS1-2016-00021 Energetika</t>
  </si>
  <si>
    <t>Kulturális illetmény pótlék (intézményeknél betervezve)</t>
  </si>
  <si>
    <t>Szén vásárlás</t>
  </si>
  <si>
    <t>Erzsbet utalvány visszaut.</t>
  </si>
  <si>
    <t>Polgármester Shk (Rendsodró, Pásztor J. temetési ktg.)</t>
  </si>
  <si>
    <t>Kézilabda munkacsarnok közművesítés</t>
  </si>
  <si>
    <t>2018. I. féléves felhalmozási kiadások összesen: (A+B)</t>
  </si>
  <si>
    <t>Ell.:</t>
  </si>
  <si>
    <t>2018. évben tervezett feladatok:</t>
  </si>
  <si>
    <t>Malomasszonykert járda építés</t>
  </si>
  <si>
    <t>Városi utak aszfaltozása</t>
  </si>
  <si>
    <t>Gyalogátkelőhelyek kialakítása</t>
  </si>
  <si>
    <t>Új rendezési terv I. ütem</t>
  </si>
  <si>
    <t>Közvilágítás hálózat bővítés</t>
  </si>
  <si>
    <t>Gyermekmedence kialakítás</t>
  </si>
  <si>
    <t>Teniszpálya öltöző</t>
  </si>
  <si>
    <t>10 db önkormányzati telek</t>
  </si>
  <si>
    <t>PH külső nyílászáró javítása</t>
  </si>
  <si>
    <t>Petőfi u. 4 felújítás I. ütem</t>
  </si>
  <si>
    <t>Téli díszkivilágítás</t>
  </si>
  <si>
    <t>Önkormányzati feladatot ellátó intézmények fejlesztés fogorvosi rendelő</t>
  </si>
  <si>
    <t>Széchenyi tér lakás gázkazán csere</t>
  </si>
  <si>
    <t>Nyomovez.cső, medence</t>
  </si>
  <si>
    <t>Békés, 2017. évi GFT-hez kapcsolódó</t>
  </si>
  <si>
    <t>Start - pályázatból kis és nagy értékű eszközök</t>
  </si>
  <si>
    <t>Gyespmesteri feladatok/ elektromos konvektor</t>
  </si>
  <si>
    <t>Gyespmesteri feladatok/ kutyabefogó eszköz</t>
  </si>
  <si>
    <t>Gyespmesteri feladatok/ ATEV konténer</t>
  </si>
  <si>
    <t>Hajléktalan közmunka / Munkaruha varrás</t>
  </si>
  <si>
    <t>TOP.4.3.1-Leromlott város telek vásárlás</t>
  </si>
  <si>
    <t>Gerinvez.,Bekötővezeték</t>
  </si>
  <si>
    <t>Kézilabda Kft TAO pályázat önerő</t>
  </si>
  <si>
    <t>Békési Református Egyházközösség templom felújítás</t>
  </si>
  <si>
    <t xml:space="preserve">Békés Város Önkormányzata és intézményei  2018. évi költségvetési mérlege </t>
  </si>
  <si>
    <t>Működési költségvetés 2018.</t>
  </si>
  <si>
    <t>Kiemelt előirányzat</t>
  </si>
  <si>
    <t>Ft</t>
  </si>
  <si>
    <t>Munkaadókat terhelő járulékok</t>
  </si>
  <si>
    <t>Dologi és egyéb folyó kiadások</t>
  </si>
  <si>
    <t>Pénzeszközátadások és Egyéb működési célú kiadások</t>
  </si>
  <si>
    <t>Tartalékok, működési célú</t>
  </si>
  <si>
    <t>Működési bevételek összesen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</si>
  <si>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</si>
  <si>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</si>
  <si>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</si>
  <si>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</si>
  <si>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Felhalmozási költségvetés 2018.</t>
  </si>
  <si>
    <t>17.</t>
  </si>
  <si>
    <t>18.</t>
  </si>
  <si>
    <t>19.</t>
  </si>
  <si>
    <t>20.</t>
  </si>
  <si>
    <t>21.</t>
  </si>
  <si>
    <t>Tartalékok, felhalmozási célú</t>
  </si>
  <si>
    <t>22.</t>
  </si>
  <si>
    <t>Fehalmozási bevételek összesen</t>
  </si>
  <si>
    <t>Felhalmozási kiadások összesen</t>
  </si>
  <si>
    <t>23.</t>
  </si>
  <si>
    <t>Felhalmozási költségvetés egyenlege (Bevétel-Kiadás)</t>
  </si>
  <si>
    <t>24.</t>
  </si>
  <si>
    <t>Fejlesztési célú pénzmaradvány igénybevétel a hiány belső finanszírozására</t>
  </si>
  <si>
    <t>25.</t>
  </si>
  <si>
    <t>II. Felhalmozási költségvetés egyenlege (Bevétel-Kiadás)</t>
  </si>
  <si>
    <t>26.</t>
  </si>
  <si>
    <t>III. Működési  célú egyéb pénzeszök többletének igénybevétele a felhalmozási hiány belső finanszírozására</t>
  </si>
  <si>
    <t>27.</t>
  </si>
  <si>
    <t>VI. Költségvetési egyenleg (II. + III.)</t>
  </si>
  <si>
    <t>Kulturális Központ</t>
  </si>
  <si>
    <t>Intézmények összesen:</t>
  </si>
  <si>
    <t>Önkormányzat</t>
  </si>
  <si>
    <t>Békés Város Önkormányzata 2018. évi előirányzat-felhasználási ütemterve</t>
  </si>
  <si>
    <t>BEVÉTELEK</t>
  </si>
  <si>
    <t>TÁJÉKOZTATÓ</t>
  </si>
  <si>
    <t>Forintban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</si>
  <si>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</si>
  <si>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</si>
  <si>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</si>
  <si>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</si>
  <si>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</si>
  <si>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</si>
  <si>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</si>
  <si>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</si>
  <si>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</si>
  <si>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</si>
  <si>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</si>
  <si>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</si>
  <si>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</si>
  <si>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</si>
  <si>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</si>
  <si>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Működési célú  átvett pénzeszközök</t>
  </si>
  <si>
    <t>Felhalmozási célú  támogatások és egyéb átvett pénzeszközök</t>
  </si>
  <si>
    <t>Előző évi maradvány</t>
  </si>
  <si>
    <t>Bevételek összesen:</t>
  </si>
  <si>
    <t>KIADÁSOK</t>
  </si>
  <si>
    <t>forintban</t>
  </si>
  <si>
    <t>Kiadások</t>
  </si>
  <si>
    <t>Munkaadót terhelő járulékok</t>
  </si>
  <si>
    <t>Dologi  kiadások</t>
  </si>
  <si>
    <t>Ellátottak pénzbeli juttatásai</t>
  </si>
  <si>
    <t>Felhalmozási kiadások, támogatások</t>
  </si>
  <si>
    <t>Tartalékok</t>
  </si>
  <si>
    <t>Kiadások összesen:</t>
  </si>
  <si>
    <t xml:space="preserve">létszámkerete </t>
  </si>
  <si>
    <t>A Kttv., Kjt., és  az Mt. hatálya alá tartozó munkavállalók</t>
  </si>
  <si>
    <t>Cím szám</t>
  </si>
  <si>
    <t>Alcím szám</t>
  </si>
  <si>
    <t xml:space="preserve">Létszámkeret </t>
  </si>
  <si>
    <t>Eredeti  terv</t>
  </si>
  <si>
    <t>Módosított   terv</t>
  </si>
  <si>
    <t>Teljes munkidősök</t>
  </si>
  <si>
    <t>Részfoglalkoztatásúak</t>
  </si>
  <si>
    <t>Összesen</t>
  </si>
  <si>
    <t>Tejes munkaidősre átszámitott létszám</t>
  </si>
  <si>
    <t>Teljes munkaidősök</t>
  </si>
  <si>
    <t>Mindösszesen közfoglalkoztatottak:</t>
  </si>
  <si>
    <t>Közfoglalkoztatottak létszámkerete</t>
  </si>
  <si>
    <t>Települési Önkormányzatok  szociális feladatainak támogatásával adható juttatások képviselő-testületi hatáskörben.</t>
  </si>
  <si>
    <t>Jogcím</t>
  </si>
  <si>
    <t>Állami támogatás</t>
  </si>
  <si>
    <t>1. Önkormányzati támogatások</t>
  </si>
  <si>
    <t>Települési támogatás ápolási díj</t>
  </si>
  <si>
    <t>Települési támogatás gyógyszerköltség támogatás</t>
  </si>
  <si>
    <t>Otthoni szakápolás</t>
  </si>
  <si>
    <t>Iskolabusz bérlet támogatás</t>
  </si>
  <si>
    <t>Kommunális adó támogatás</t>
  </si>
  <si>
    <t>Életkezdési támogatás</t>
  </si>
  <si>
    <t>Közművesítési támogatás</t>
  </si>
  <si>
    <t>Nevelési és tanévkezdési támogatás</t>
  </si>
  <si>
    <t>Rekrációs támogatás</t>
  </si>
  <si>
    <t>Települési lakásfenntartási támogatás</t>
  </si>
  <si>
    <t>Települési adósságkezelési támogatás</t>
  </si>
  <si>
    <t>Köztemetés</t>
  </si>
  <si>
    <t>Önkormányzati támogatások összesen:</t>
  </si>
  <si>
    <t>Önkormányzati saját forrás</t>
  </si>
  <si>
    <t>2. Szociális helyzethez köthető kölcsönök nyújtása</t>
  </si>
  <si>
    <t>Átmeneti segély kölcsön</t>
  </si>
  <si>
    <t>Temetési segély kölcsön</t>
  </si>
  <si>
    <t>Önkormányzati segély kölcsönök összesen:</t>
  </si>
  <si>
    <t>Az önkormányzat szociális pénzeszközei összesen (1+2):</t>
  </si>
  <si>
    <t>s</t>
  </si>
  <si>
    <t>K63-00 informatikai eszközök beszerzése</t>
  </si>
  <si>
    <t>K64-00 egyéb tárgyi eszköz beszerzésé</t>
  </si>
  <si>
    <t>K67-00 Áfa</t>
  </si>
  <si>
    <t xml:space="preserve">K62-00 ingatlanok beszerzés, létesítése (gyermekmedence) </t>
  </si>
  <si>
    <t>K64-0002 kisértékű tárgyi eszközök beszerzése</t>
  </si>
  <si>
    <t>K64-00 ÁFA</t>
  </si>
  <si>
    <t xml:space="preserve">K63-0002 kisértékű </t>
  </si>
  <si>
    <t>K67-00 ÁFA</t>
  </si>
  <si>
    <t xml:space="preserve">K61-0004 kisértékű szoftver beszerzés </t>
  </si>
  <si>
    <t>K63-0002 kisértékű informatikai eszköz beszerzés</t>
  </si>
  <si>
    <t>K63-00 informatikai eszköz beszerzés</t>
  </si>
  <si>
    <t>K64-0002 kisértékű egyéb tárgyi eszköz beszerzés</t>
  </si>
  <si>
    <t>K64-0003 könyv beszerzés</t>
  </si>
  <si>
    <t>K64-00 Egyéb tárgyi eszközök beszerzése</t>
  </si>
  <si>
    <t>K64-00 egyéb tárgyi eszközök beszerzése</t>
  </si>
  <si>
    <t>egyéb felhalmozási célú kiadás/fmunkáltatói kölcsön</t>
  </si>
  <si>
    <t>városi utak aszfaltozása hitelből</t>
  </si>
  <si>
    <t>Fejlesztési célú hitel felvétele, likvidhitel</t>
  </si>
  <si>
    <t>Békés város Önkormányzata 2018. évi tervezett szociális pénzeszközeinek I. félévi felhasználása</t>
  </si>
  <si>
    <t>Települési támogatás önkormányzati (átmeneti) segély</t>
  </si>
  <si>
    <t>Középiskolai ösztöndíj</t>
  </si>
  <si>
    <t>Békés Város Önkormányzata és intézményei 2018. évi jóváhagyott</t>
  </si>
  <si>
    <t>PH tető felújítás</t>
  </si>
  <si>
    <t>Nem saját  forrásból megvalósuló beruházások, fejlújítások:</t>
  </si>
  <si>
    <t>ASP pályázat eszközbeszerzés</t>
  </si>
  <si>
    <t>TOP 5.2.1.15 pályázat kerékpár vásárlás</t>
  </si>
  <si>
    <t>Költségvetésben tervezett feladatok összesen (I.+II.+III.):</t>
  </si>
  <si>
    <t xml:space="preserve">Külső finanszírozás </t>
  </si>
  <si>
    <t>fejlesztési hitel felvétel</t>
  </si>
  <si>
    <t>2017. évi pénzmaradvány különbözet</t>
  </si>
  <si>
    <t>Erzsébet utalványok utólagos kiosztása</t>
  </si>
  <si>
    <t>1.sz. melléklet a 24/2018. (VIII. 31.) önkormányzati rendelethez</t>
  </si>
  <si>
    <t>2. sz. melléklet a 24/2018. (VIII. 31.) önkormányzati rendelethez</t>
  </si>
  <si>
    <t>3. melléklet a 24/2018. (VIII. 31.) önkormányzati rendelethez</t>
  </si>
  <si>
    <t>4. sz. melléklet a 24/2018. (VIII. 31.) önkormányzati rendelethez</t>
  </si>
  <si>
    <t>5. sz. melléklet a 24/2018. (VIII. 31.) önkormányzati rendelethez</t>
  </si>
  <si>
    <t>6. melléklet a 24/2018. (VIII. 31.) önkormányzati rendelethez</t>
  </si>
  <si>
    <t>7. sz. melléklet a 24/2018. (VIII. 31.) önkormányzati rendelethez</t>
  </si>
  <si>
    <t>8. melléklet a 24/2018. (VIII. 31.) önkormányzati rendelethez</t>
  </si>
  <si>
    <t>9. melléklet a 24/2018. (VIII. 31.) önkormányzati rendelethez</t>
  </si>
  <si>
    <t>10. sz. melléklet a 24/2018. (VIII. 31.)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</si>
</sst>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#,##0.0"/>
    <numFmt numFmtId="169" formatCode="0.0"/>
    <numFmt numFmtId="170" formatCode="_-* #,##0.000\ _F_t_-;\-* #,##0.000\ _F_t_-;_-* &quot;-&quot;??\ _F_t_-;_-@_-"/>
    <numFmt numFmtId="171" formatCode="#,##0;[Red]#,##0"/>
    <numFmt numFmtId="172" formatCode="#,##0.00_ ;\-#,##0.00\ "/>
    <numFmt numFmtId="173" formatCode="&quot;H-&quot;0000"/>
    <numFmt numFmtId="174" formatCode="#,##0.000"/>
    <numFmt numFmtId="175" formatCode="#,##0_ ;\-#,##0\ "/>
    <numFmt numFmtId="176" formatCode="#,##0.0\ _F_t;\-#,##0.0\ _F_t"/>
    <numFmt numFmtId="177" formatCode="_-* #,##0.0000\ _F_t_-;\-* #,##0.0000\ _F_t_-;_-* &quot;-&quot;??\ _F_t_-;_-@_-"/>
    <numFmt numFmtId="178" formatCode="0.0%"/>
    <numFmt numFmtId="179" formatCode="0.0;[Red]0.0"/>
    <numFmt numFmtId="180" formatCode="0.00_ ;\-0.00\ "/>
    <numFmt numFmtId="181" formatCode="0.0_ ;\-0.0\ "/>
    <numFmt numFmtId="182" formatCode="0_ ;\-0\ "/>
    <numFmt numFmtId="183" formatCode="[$-40E]yyyy\.\ mmmm\ d\."/>
    <numFmt numFmtId="184" formatCode="[$-40E]mmmm\ d\.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*\-\ #,##0.0\ _F_t_-;\-* #,##0.0\ _F_t_-;_-* &quot;-&quot;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4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2"/>
    </font>
    <font>
      <sz val="12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MS Sans Serif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0"/>
      <color indexed="23"/>
      <name val="Times New Roman"/>
      <family val="1"/>
    </font>
    <font>
      <sz val="10"/>
      <color indexed="9"/>
      <name val="Arial"/>
      <family val="2"/>
    </font>
    <font>
      <b/>
      <sz val="12"/>
      <color rgb="FFFF0000"/>
      <name val="Times New Roman"/>
      <family val="1"/>
    </font>
    <font>
      <sz val="10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22" fillId="24" borderId="0" xfId="64" applyFont="1" applyFill="1" applyBorder="1" applyAlignment="1">
      <alignment/>
      <protection/>
    </xf>
    <xf numFmtId="0" fontId="22" fillId="0" borderId="0" xfId="64" applyFont="1" applyBorder="1" applyAlignment="1">
      <alignment horizontal="left"/>
      <protection/>
    </xf>
    <xf numFmtId="0" fontId="22" fillId="0" borderId="0" xfId="64" applyFont="1">
      <alignment/>
      <protection/>
    </xf>
    <xf numFmtId="0" fontId="22" fillId="0" borderId="0" xfId="64" applyFont="1" applyBorder="1" applyAlignment="1">
      <alignment horizontal="right"/>
      <protection/>
    </xf>
    <xf numFmtId="0" fontId="22" fillId="22" borderId="10" xfId="67" applyFont="1" applyFill="1" applyBorder="1" applyAlignment="1">
      <alignment horizontal="center" vertical="center"/>
      <protection/>
    </xf>
    <xf numFmtId="0" fontId="22" fillId="22" borderId="10" xfId="64" applyFont="1" applyFill="1" applyBorder="1" applyAlignment="1">
      <alignment horizontal="center"/>
      <protection/>
    </xf>
    <xf numFmtId="0" fontId="22" fillId="22" borderId="10" xfId="64" applyFont="1" applyFill="1" applyBorder="1" applyAlignment="1">
      <alignment horizontal="center" vertical="center"/>
      <protection/>
    </xf>
    <xf numFmtId="0" fontId="22" fillId="0" borderId="0" xfId="64" applyFont="1" applyAlignment="1">
      <alignment horizontal="right"/>
      <protection/>
    </xf>
    <xf numFmtId="0" fontId="22" fillId="22" borderId="10" xfId="64" applyFont="1" applyFill="1" applyBorder="1" applyAlignment="1">
      <alignment horizontal="center" vertical="center" wrapText="1"/>
      <protection/>
    </xf>
    <xf numFmtId="0" fontId="27" fillId="22" borderId="10" xfId="64" applyFont="1" applyFill="1" applyBorder="1" applyAlignment="1">
      <alignment horizontal="center" vertical="center"/>
      <protection/>
    </xf>
    <xf numFmtId="0" fontId="26" fillId="0" borderId="10" xfId="64" applyFont="1" applyBorder="1" applyAlignment="1">
      <alignment horizontal="center" vertical="center" textRotation="90" wrapText="1"/>
      <protection/>
    </xf>
    <xf numFmtId="0" fontId="27" fillId="0" borderId="10" xfId="62" applyFont="1" applyBorder="1" applyAlignment="1">
      <alignment vertical="center" wrapText="1"/>
      <protection/>
    </xf>
    <xf numFmtId="3" fontId="27" fillId="0" borderId="10" xfId="67" applyNumberFormat="1" applyFont="1" applyBorder="1" applyAlignment="1">
      <alignment vertical="center"/>
      <protection/>
    </xf>
    <xf numFmtId="164" fontId="27" fillId="0" borderId="11" xfId="46" applyNumberFormat="1" applyFont="1" applyBorder="1" applyAlignment="1">
      <alignment horizontal="left" vertical="center" wrapText="1"/>
    </xf>
    <xf numFmtId="3" fontId="26" fillId="0" borderId="10" xfId="67" applyNumberFormat="1" applyFont="1" applyBorder="1" applyAlignment="1">
      <alignment vertical="center"/>
      <protection/>
    </xf>
    <xf numFmtId="2" fontId="26" fillId="0" borderId="10" xfId="64" applyNumberFormat="1" applyFont="1" applyBorder="1" applyAlignment="1">
      <alignment horizontal="center" vertical="center"/>
      <protection/>
    </xf>
    <xf numFmtId="0" fontId="27" fillId="0" borderId="10" xfId="64" applyFont="1" applyBorder="1">
      <alignment/>
      <protection/>
    </xf>
    <xf numFmtId="0" fontId="27" fillId="0" borderId="10" xfId="62" applyFont="1" applyBorder="1" applyAlignment="1">
      <alignment vertical="center"/>
      <protection/>
    </xf>
    <xf numFmtId="164" fontId="27" fillId="0" borderId="11" xfId="46" applyNumberFormat="1" applyFont="1" applyBorder="1" applyAlignment="1">
      <alignment vertical="center" wrapText="1"/>
    </xf>
    <xf numFmtId="164" fontId="27" fillId="0" borderId="10" xfId="46" applyNumberFormat="1" applyFont="1" applyBorder="1" applyAlignment="1">
      <alignment vertical="center"/>
    </xf>
    <xf numFmtId="2" fontId="26" fillId="0" borderId="10" xfId="46" applyNumberFormat="1" applyFont="1" applyBorder="1" applyAlignment="1">
      <alignment horizontal="center" vertical="center"/>
    </xf>
    <xf numFmtId="0" fontId="26" fillId="0" borderId="10" xfId="62" applyFont="1" applyBorder="1" applyAlignment="1">
      <alignment vertical="center" wrapText="1"/>
      <protection/>
    </xf>
    <xf numFmtId="164" fontId="26" fillId="0" borderId="11" xfId="46" applyNumberFormat="1" applyFont="1" applyBorder="1" applyAlignment="1">
      <alignment vertical="center" wrapText="1"/>
    </xf>
    <xf numFmtId="0" fontId="27" fillId="0" borderId="10" xfId="62" applyFont="1" applyFill="1" applyBorder="1" applyAlignment="1">
      <alignment vertical="center" wrapText="1"/>
      <protection/>
    </xf>
    <xf numFmtId="164" fontId="22" fillId="0" borderId="0" xfId="64" applyNumberFormat="1" applyFont="1">
      <alignment/>
      <protection/>
    </xf>
    <xf numFmtId="0" fontId="22" fillId="24" borderId="0" xfId="64" applyFont="1" applyFill="1" applyBorder="1" applyAlignment="1">
      <alignment horizontal="center"/>
      <protection/>
    </xf>
    <xf numFmtId="0" fontId="23" fillId="24" borderId="0" xfId="64" applyFont="1" applyFill="1" applyBorder="1" applyAlignment="1">
      <alignment/>
      <protection/>
    </xf>
    <xf numFmtId="0" fontId="23" fillId="24" borderId="0" xfId="64" applyFont="1" applyFill="1" applyBorder="1" applyAlignment="1">
      <alignment horizontal="right" vertical="center"/>
      <protection/>
    </xf>
    <xf numFmtId="0" fontId="22" fillId="0" borderId="0" xfId="64" applyFont="1" applyAlignment="1">
      <alignment/>
      <protection/>
    </xf>
    <xf numFmtId="0" fontId="22" fillId="24" borderId="0" xfId="64" applyFont="1" applyFill="1" applyBorder="1">
      <alignment/>
      <protection/>
    </xf>
    <xf numFmtId="0" fontId="28" fillId="0" borderId="0" xfId="64" applyFont="1" applyAlignment="1">
      <alignment horizontal="center"/>
      <protection/>
    </xf>
    <xf numFmtId="0" fontId="28" fillId="0" borderId="0" xfId="64" applyFont="1" applyAlignment="1">
      <alignment/>
      <protection/>
    </xf>
    <xf numFmtId="0" fontId="22" fillId="22" borderId="10" xfId="64" applyFont="1" applyFill="1" applyBorder="1">
      <alignment/>
      <protection/>
    </xf>
    <xf numFmtId="0" fontId="23" fillId="22" borderId="10" xfId="64" applyFont="1" applyFill="1" applyBorder="1" applyAlignment="1">
      <alignment horizontal="center"/>
      <protection/>
    </xf>
    <xf numFmtId="0" fontId="22" fillId="22" borderId="12" xfId="64" applyFont="1" applyFill="1" applyBorder="1" applyAlignment="1">
      <alignment horizontal="center" vertical="center"/>
      <protection/>
    </xf>
    <xf numFmtId="0" fontId="23" fillId="22" borderId="12" xfId="64" applyFont="1" applyFill="1" applyBorder="1" applyAlignment="1">
      <alignment horizontal="center"/>
      <protection/>
    </xf>
    <xf numFmtId="0" fontId="27" fillId="0" borderId="13" xfId="64" applyFont="1" applyBorder="1" applyAlignment="1">
      <alignment/>
      <protection/>
    </xf>
    <xf numFmtId="0" fontId="27" fillId="0" borderId="0" xfId="64" applyFont="1">
      <alignment/>
      <protection/>
    </xf>
    <xf numFmtId="0" fontId="27" fillId="22" borderId="14" xfId="64" applyFont="1" applyFill="1" applyBorder="1" applyAlignment="1">
      <alignment horizontal="center" vertical="center"/>
      <protection/>
    </xf>
    <xf numFmtId="0" fontId="27" fillId="0" borderId="14" xfId="64" applyFont="1" applyBorder="1">
      <alignment/>
      <protection/>
    </xf>
    <xf numFmtId="0" fontId="27" fillId="0" borderId="13" xfId="64" applyFont="1" applyBorder="1">
      <alignment/>
      <protection/>
    </xf>
    <xf numFmtId="0" fontId="27" fillId="0" borderId="11" xfId="64" applyFont="1" applyBorder="1">
      <alignment/>
      <protection/>
    </xf>
    <xf numFmtId="3" fontId="27" fillId="0" borderId="10" xfId="46" applyNumberFormat="1" applyFont="1" applyBorder="1" applyAlignment="1">
      <alignment vertical="center"/>
    </xf>
    <xf numFmtId="3" fontId="26" fillId="0" borderId="10" xfId="46" applyNumberFormat="1" applyFont="1" applyBorder="1" applyAlignment="1">
      <alignment vertical="center"/>
    </xf>
    <xf numFmtId="0" fontId="29" fillId="0" borderId="0" xfId="62" applyFont="1" applyFill="1" applyBorder="1" applyAlignment="1">
      <alignment horizontal="center" vertical="center"/>
      <protection/>
    </xf>
    <xf numFmtId="0" fontId="29" fillId="0" borderId="0" xfId="62" applyFont="1" applyAlignment="1">
      <alignment vertical="center"/>
      <protection/>
    </xf>
    <xf numFmtId="0" fontId="29" fillId="0" borderId="0" xfId="62" applyFont="1" applyAlignment="1">
      <alignment horizontal="center" vertical="center"/>
      <protection/>
    </xf>
    <xf numFmtId="0" fontId="29" fillId="0" borderId="0" xfId="62" applyFont="1" applyAlignment="1">
      <alignment vertical="center" wrapText="1"/>
      <protection/>
    </xf>
    <xf numFmtId="165" fontId="29" fillId="0" borderId="0" xfId="46" applyNumberFormat="1" applyFont="1" applyAlignment="1">
      <alignment vertical="center"/>
    </xf>
    <xf numFmtId="0" fontId="31" fillId="0" borderId="0" xfId="62" applyFont="1" applyAlignment="1">
      <alignment vertical="center"/>
      <protection/>
    </xf>
    <xf numFmtId="0" fontId="30" fillId="0" borderId="0" xfId="62" applyFont="1" applyAlignment="1">
      <alignment vertical="center"/>
      <protection/>
    </xf>
    <xf numFmtId="0" fontId="30" fillId="0" borderId="0" xfId="0" applyFont="1" applyAlignment="1">
      <alignment horizontal="right"/>
    </xf>
    <xf numFmtId="0" fontId="29" fillId="0" borderId="0" xfId="62" applyFont="1" applyFill="1" applyBorder="1" applyAlignment="1">
      <alignment vertical="center"/>
      <protection/>
    </xf>
    <xf numFmtId="0" fontId="30" fillId="0" borderId="0" xfId="62" applyFont="1" applyAlignment="1">
      <alignment horizontal="center" vertical="center"/>
      <protection/>
    </xf>
    <xf numFmtId="0" fontId="30" fillId="0" borderId="0" xfId="62" applyFont="1" applyAlignment="1">
      <alignment vertical="center" wrapText="1"/>
      <protection/>
    </xf>
    <xf numFmtId="165" fontId="30" fillId="0" borderId="0" xfId="46" applyNumberFormat="1" applyFont="1" applyAlignment="1">
      <alignment vertical="center"/>
    </xf>
    <xf numFmtId="0" fontId="33" fillId="0" borderId="0" xfId="62" applyFont="1" applyFill="1" applyBorder="1" applyAlignment="1">
      <alignment horizontal="center" vertical="center"/>
      <protection/>
    </xf>
    <xf numFmtId="0" fontId="34" fillId="0" borderId="0" xfId="62" applyFont="1" applyAlignment="1">
      <alignment horizontal="center" vertical="center" wrapText="1"/>
      <protection/>
    </xf>
    <xf numFmtId="0" fontId="16" fillId="0" borderId="0" xfId="62" applyFont="1" applyAlignment="1">
      <alignment horizontal="center" vertical="center" wrapText="1"/>
      <protection/>
    </xf>
    <xf numFmtId="165" fontId="29" fillId="0" borderId="0" xfId="46" applyNumberFormat="1" applyFont="1" applyAlignment="1">
      <alignment horizontal="right"/>
    </xf>
    <xf numFmtId="0" fontId="33" fillId="22" borderId="10" xfId="62" applyFont="1" applyFill="1" applyBorder="1" applyAlignment="1">
      <alignment horizontal="center" vertical="center"/>
      <protection/>
    </xf>
    <xf numFmtId="0" fontId="33" fillId="22" borderId="12" xfId="62" applyFont="1" applyFill="1" applyBorder="1" applyAlignment="1">
      <alignment horizontal="center" vertical="center"/>
      <protection/>
    </xf>
    <xf numFmtId="165" fontId="35" fillId="0" borderId="11" xfId="46" applyNumberFormat="1" applyFont="1" applyBorder="1" applyAlignment="1">
      <alignment horizontal="center" vertical="center"/>
    </xf>
    <xf numFmtId="0" fontId="35" fillId="0" borderId="0" xfId="62" applyFont="1" applyAlignment="1">
      <alignment vertical="center"/>
      <protection/>
    </xf>
    <xf numFmtId="0" fontId="35" fillId="0" borderId="10" xfId="62" applyFont="1" applyBorder="1" applyAlignment="1">
      <alignment vertical="center"/>
      <protection/>
    </xf>
    <xf numFmtId="165" fontId="35" fillId="0" borderId="11" xfId="46" applyNumberFormat="1" applyFont="1" applyBorder="1" applyAlignment="1">
      <alignment vertical="center"/>
    </xf>
    <xf numFmtId="0" fontId="33" fillId="22" borderId="15" xfId="62" applyFont="1" applyFill="1" applyBorder="1" applyAlignment="1">
      <alignment horizontal="center" vertical="center"/>
      <protection/>
    </xf>
    <xf numFmtId="165" fontId="35" fillId="0" borderId="10" xfId="46" applyNumberFormat="1" applyFont="1" applyBorder="1" applyAlignment="1">
      <alignment vertical="center"/>
    </xf>
    <xf numFmtId="0" fontId="35" fillId="0" borderId="12" xfId="62" applyFont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29" fillId="0" borderId="12" xfId="62" applyFont="1" applyBorder="1" applyAlignment="1">
      <alignment horizontal="center" vertical="center"/>
      <protection/>
    </xf>
    <xf numFmtId="3" fontId="29" fillId="0" borderId="0" xfId="62" applyNumberFormat="1" applyFont="1" applyBorder="1" applyAlignment="1">
      <alignment vertical="center"/>
      <protection/>
    </xf>
    <xf numFmtId="3" fontId="29" fillId="0" borderId="12" xfId="62" applyNumberFormat="1" applyFont="1" applyBorder="1" applyAlignment="1">
      <alignment vertical="center"/>
      <protection/>
    </xf>
    <xf numFmtId="0" fontId="29" fillId="0" borderId="16" xfId="62" applyFont="1" applyBorder="1" applyAlignment="1">
      <alignment horizontal="center" vertical="center"/>
      <protection/>
    </xf>
    <xf numFmtId="0" fontId="29" fillId="0" borderId="17" xfId="62" applyFont="1" applyBorder="1" applyAlignment="1">
      <alignment vertical="center"/>
      <protection/>
    </xf>
    <xf numFmtId="3" fontId="29" fillId="0" borderId="16" xfId="62" applyNumberFormat="1" applyFont="1" applyBorder="1" applyAlignment="1">
      <alignment vertical="center"/>
      <protection/>
    </xf>
    <xf numFmtId="0" fontId="29" fillId="0" borderId="17" xfId="62" applyFont="1" applyBorder="1" applyAlignment="1">
      <alignment vertical="center" wrapText="1"/>
      <protection/>
    </xf>
    <xf numFmtId="3" fontId="35" fillId="0" borderId="18" xfId="62" applyNumberFormat="1" applyFont="1" applyBorder="1" applyAlignment="1">
      <alignment vertical="center"/>
      <protection/>
    </xf>
    <xf numFmtId="3" fontId="35" fillId="0" borderId="18" xfId="62" applyNumberFormat="1" applyFont="1" applyBorder="1" applyAlignment="1">
      <alignment vertical="center"/>
      <protection/>
    </xf>
    <xf numFmtId="3" fontId="35" fillId="0" borderId="11" xfId="62" applyNumberFormat="1" applyFont="1" applyBorder="1" applyAlignment="1">
      <alignment vertical="center"/>
      <protection/>
    </xf>
    <xf numFmtId="0" fontId="35" fillId="0" borderId="0" xfId="62" applyFont="1" applyBorder="1" applyAlignment="1">
      <alignment horizontal="left" vertical="center"/>
      <protection/>
    </xf>
    <xf numFmtId="0" fontId="29" fillId="0" borderId="12" xfId="62" applyFont="1" applyBorder="1" applyAlignment="1">
      <alignment horizontal="center" vertical="center"/>
      <protection/>
    </xf>
    <xf numFmtId="0" fontId="29" fillId="0" borderId="19" xfId="62" applyFont="1" applyBorder="1" applyAlignment="1">
      <alignment horizontal="left" vertical="center"/>
      <protection/>
    </xf>
    <xf numFmtId="3" fontId="29" fillId="0" borderId="0" xfId="62" applyNumberFormat="1" applyFont="1" applyBorder="1" applyAlignment="1">
      <alignment vertical="center"/>
      <protection/>
    </xf>
    <xf numFmtId="0" fontId="29" fillId="0" borderId="16" xfId="62" applyFont="1" applyBorder="1" applyAlignment="1">
      <alignment horizontal="center" vertical="center"/>
      <protection/>
    </xf>
    <xf numFmtId="3" fontId="29" fillId="0" borderId="0" xfId="46" applyNumberFormat="1" applyFont="1" applyBorder="1" applyAlignment="1">
      <alignment vertical="center"/>
    </xf>
    <xf numFmtId="3" fontId="29" fillId="0" borderId="15" xfId="62" applyNumberFormat="1" applyFont="1" applyBorder="1" applyAlignment="1">
      <alignment vertical="center"/>
      <protection/>
    </xf>
    <xf numFmtId="0" fontId="35" fillId="0" borderId="20" xfId="62" applyFont="1" applyBorder="1" applyAlignment="1">
      <alignment vertical="center"/>
      <protection/>
    </xf>
    <xf numFmtId="3" fontId="35" fillId="0" borderId="21" xfId="62" applyNumberFormat="1" applyFont="1" applyBorder="1" applyAlignment="1">
      <alignment vertical="center"/>
      <protection/>
    </xf>
    <xf numFmtId="3" fontId="35" fillId="0" borderId="15" xfId="62" applyNumberFormat="1" applyFont="1" applyBorder="1" applyAlignment="1">
      <alignment vertical="center"/>
      <protection/>
    </xf>
    <xf numFmtId="0" fontId="29" fillId="0" borderId="0" xfId="62" applyFont="1" applyAlignment="1" quotePrefix="1">
      <alignment vertical="center"/>
      <protection/>
    </xf>
    <xf numFmtId="0" fontId="23" fillId="0" borderId="0" xfId="63" applyFont="1" applyAlignment="1">
      <alignment horizontal="right" vertical="center"/>
      <protection/>
    </xf>
    <xf numFmtId="0" fontId="23" fillId="0" borderId="0" xfId="67" applyFont="1" applyAlignment="1">
      <alignment horizontal="right" vertical="center"/>
      <protection/>
    </xf>
    <xf numFmtId="0" fontId="23" fillId="0" borderId="0" xfId="66" applyFont="1">
      <alignment/>
      <protection/>
    </xf>
    <xf numFmtId="3" fontId="22" fillId="0" borderId="0" xfId="46" applyNumberFormat="1" applyFont="1" applyAlignment="1">
      <alignment horizontal="right"/>
    </xf>
    <xf numFmtId="3" fontId="23" fillId="0" borderId="0" xfId="46" applyNumberFormat="1" applyFont="1" applyAlignment="1">
      <alignment horizontal="right"/>
    </xf>
    <xf numFmtId="0" fontId="28" fillId="0" borderId="0" xfId="67" applyFont="1" applyAlignment="1">
      <alignment horizontal="center" vertical="center"/>
      <protection/>
    </xf>
    <xf numFmtId="0" fontId="22" fillId="0" borderId="0" xfId="67" applyFont="1" applyAlignment="1">
      <alignment horizontal="center" vertical="center"/>
      <protection/>
    </xf>
    <xf numFmtId="0" fontId="22" fillId="0" borderId="20" xfId="66" applyFont="1" applyFill="1" applyBorder="1" applyAlignment="1">
      <alignment horizontal="center" vertical="center"/>
      <protection/>
    </xf>
    <xf numFmtId="0" fontId="23" fillId="25" borderId="15" xfId="66" applyFont="1" applyFill="1" applyBorder="1" applyAlignment="1">
      <alignment horizontal="center" vertical="center"/>
      <protection/>
    </xf>
    <xf numFmtId="0" fontId="22" fillId="25" borderId="10" xfId="63" applyFont="1" applyFill="1" applyBorder="1" applyAlignment="1">
      <alignment horizontal="center" vertical="center"/>
      <protection/>
    </xf>
    <xf numFmtId="3" fontId="22" fillId="25" borderId="10" xfId="46" applyNumberFormat="1" applyFont="1" applyFill="1" applyBorder="1" applyAlignment="1">
      <alignment horizontal="center" vertical="center"/>
    </xf>
    <xf numFmtId="0" fontId="23" fillId="25" borderId="10" xfId="66" applyFont="1" applyFill="1" applyBorder="1" applyAlignment="1">
      <alignment horizontal="center" vertical="center"/>
      <protection/>
    </xf>
    <xf numFmtId="3" fontId="40" fillId="0" borderId="10" xfId="46" applyNumberFormat="1" applyFont="1" applyBorder="1" applyAlignment="1">
      <alignment horizontal="right"/>
    </xf>
    <xf numFmtId="3" fontId="40" fillId="0" borderId="10" xfId="46" applyNumberFormat="1" applyFont="1" applyBorder="1" applyAlignment="1">
      <alignment vertical="center"/>
    </xf>
    <xf numFmtId="0" fontId="40" fillId="0" borderId="10" xfId="66" applyFont="1" applyBorder="1" applyAlignment="1">
      <alignment horizontal="center" vertical="center"/>
      <protection/>
    </xf>
    <xf numFmtId="0" fontId="40" fillId="0" borderId="16" xfId="66" applyFont="1" applyBorder="1">
      <alignment/>
      <protection/>
    </xf>
    <xf numFmtId="0" fontId="40" fillId="0" borderId="0" xfId="66" applyFont="1">
      <alignment/>
      <protection/>
    </xf>
    <xf numFmtId="0" fontId="23" fillId="0" borderId="16" xfId="66" applyFont="1" applyBorder="1">
      <alignment/>
      <protection/>
    </xf>
    <xf numFmtId="0" fontId="23" fillId="0" borderId="13" xfId="66" applyFont="1" applyBorder="1" applyAlignment="1" quotePrefix="1">
      <alignment horizontal="right" vertical="top"/>
      <protection/>
    </xf>
    <xf numFmtId="3" fontId="23" fillId="0" borderId="10" xfId="46" applyNumberFormat="1" applyFont="1" applyBorder="1" applyAlignment="1">
      <alignment vertical="center"/>
    </xf>
    <xf numFmtId="3" fontId="40" fillId="0" borderId="10" xfId="46" applyNumberFormat="1" applyFont="1" applyBorder="1" applyAlignment="1">
      <alignment horizontal="right" vertical="center"/>
    </xf>
    <xf numFmtId="3" fontId="40" fillId="0" borderId="12" xfId="46" applyNumberFormat="1" applyFont="1" applyBorder="1" applyAlignment="1">
      <alignment horizontal="right" vertical="center"/>
    </xf>
    <xf numFmtId="0" fontId="23" fillId="0" borderId="20" xfId="66" applyFont="1" applyBorder="1" applyAlignment="1">
      <alignment vertical="center"/>
      <protection/>
    </xf>
    <xf numFmtId="3" fontId="40" fillId="0" borderId="15" xfId="46" applyNumberFormat="1" applyFont="1" applyBorder="1" applyAlignment="1">
      <alignment horizontal="right" vertical="center"/>
    </xf>
    <xf numFmtId="0" fontId="23" fillId="0" borderId="20" xfId="66" applyFont="1" applyBorder="1" applyAlignment="1" quotePrefix="1">
      <alignment horizontal="right" vertical="center"/>
      <protection/>
    </xf>
    <xf numFmtId="0" fontId="23" fillId="0" borderId="20" xfId="66" applyFont="1" applyBorder="1" applyAlignment="1">
      <alignment vertical="center" wrapText="1"/>
      <protection/>
    </xf>
    <xf numFmtId="3" fontId="23" fillId="0" borderId="15" xfId="46" applyNumberFormat="1" applyFont="1" applyBorder="1" applyAlignment="1">
      <alignment horizontal="right" vertical="center"/>
    </xf>
    <xf numFmtId="0" fontId="23" fillId="0" borderId="22" xfId="66" applyFont="1" applyBorder="1">
      <alignment/>
      <protection/>
    </xf>
    <xf numFmtId="0" fontId="23" fillId="0" borderId="13" xfId="66" applyFont="1" applyBorder="1" applyAlignment="1" quotePrefix="1">
      <alignment horizontal="right" vertical="center"/>
      <protection/>
    </xf>
    <xf numFmtId="3" fontId="23" fillId="0" borderId="10" xfId="46" applyNumberFormat="1" applyFont="1" applyBorder="1" applyAlignment="1">
      <alignment horizontal="right" vertical="center"/>
    </xf>
    <xf numFmtId="3" fontId="40" fillId="0" borderId="10" xfId="66" applyNumberFormat="1" applyFont="1" applyBorder="1" applyAlignment="1">
      <alignment horizontal="right" vertical="center"/>
      <protection/>
    </xf>
    <xf numFmtId="0" fontId="23" fillId="25" borderId="10" xfId="63" applyFont="1" applyFill="1" applyBorder="1" applyAlignment="1">
      <alignment horizontal="center" vertical="center"/>
      <protection/>
    </xf>
    <xf numFmtId="3" fontId="23" fillId="25" borderId="10" xfId="46" applyNumberFormat="1" applyFont="1" applyFill="1" applyBorder="1" applyAlignment="1">
      <alignment horizontal="center" vertical="center"/>
    </xf>
    <xf numFmtId="0" fontId="40" fillId="0" borderId="14" xfId="66" applyFont="1" applyBorder="1" applyAlignment="1">
      <alignment vertical="center"/>
      <protection/>
    </xf>
    <xf numFmtId="0" fontId="40" fillId="0" borderId="11" xfId="66" applyFont="1" applyBorder="1" applyAlignment="1">
      <alignment vertical="center"/>
      <protection/>
    </xf>
    <xf numFmtId="0" fontId="40" fillId="0" borderId="10" xfId="66" applyFont="1" applyBorder="1" applyAlignment="1">
      <alignment horizontal="right" vertical="center"/>
      <protection/>
    </xf>
    <xf numFmtId="3" fontId="23" fillId="0" borderId="10" xfId="46" applyNumberFormat="1" applyFont="1" applyBorder="1" applyAlignment="1">
      <alignment horizontal="right"/>
    </xf>
    <xf numFmtId="0" fontId="23" fillId="0" borderId="23" xfId="66" applyFont="1" applyBorder="1" quotePrefix="1">
      <alignment/>
      <protection/>
    </xf>
    <xf numFmtId="0" fontId="23" fillId="0" borderId="17" xfId="66" applyFont="1" applyBorder="1">
      <alignment/>
      <protection/>
    </xf>
    <xf numFmtId="0" fontId="23" fillId="0" borderId="0" xfId="66" applyFont="1" applyBorder="1" applyAlignment="1" quotePrefix="1">
      <alignment horizontal="right" vertical="center"/>
      <protection/>
    </xf>
    <xf numFmtId="0" fontId="23" fillId="0" borderId="0" xfId="66" applyFont="1" applyBorder="1">
      <alignment/>
      <protection/>
    </xf>
    <xf numFmtId="0" fontId="23" fillId="0" borderId="14" xfId="66" applyFont="1" applyBorder="1">
      <alignment/>
      <protection/>
    </xf>
    <xf numFmtId="0" fontId="40" fillId="0" borderId="17" xfId="66" applyFont="1" applyBorder="1">
      <alignment/>
      <protection/>
    </xf>
    <xf numFmtId="3" fontId="40" fillId="0" borderId="15" xfId="46" applyNumberFormat="1" applyFont="1" applyBorder="1" applyAlignment="1">
      <alignment horizontal="right"/>
    </xf>
    <xf numFmtId="49" fontId="23" fillId="0" borderId="20" xfId="66" applyNumberFormat="1" applyFont="1" applyBorder="1" applyAlignment="1">
      <alignment horizontal="right" vertical="center"/>
      <protection/>
    </xf>
    <xf numFmtId="0" fontId="23" fillId="0" borderId="24" xfId="66" applyFont="1" applyBorder="1" applyAlignment="1" quotePrefix="1">
      <alignment horizontal="right" vertical="center"/>
      <protection/>
    </xf>
    <xf numFmtId="0" fontId="40" fillId="0" borderId="10" xfId="66" applyFont="1" applyBorder="1" applyAlignment="1">
      <alignment vertical="center"/>
      <protection/>
    </xf>
    <xf numFmtId="0" fontId="23" fillId="0" borderId="14" xfId="66" applyFont="1" applyBorder="1" applyAlignment="1" quotePrefix="1">
      <alignment horizontal="right" vertical="center"/>
      <protection/>
    </xf>
    <xf numFmtId="3" fontId="40" fillId="0" borderId="11" xfId="46" applyNumberFormat="1" applyFont="1" applyBorder="1" applyAlignment="1">
      <alignment horizontal="right"/>
    </xf>
    <xf numFmtId="3" fontId="40" fillId="0" borderId="18" xfId="46" applyNumberFormat="1" applyFont="1" applyBorder="1" applyAlignment="1">
      <alignment horizontal="right"/>
    </xf>
    <xf numFmtId="0" fontId="23" fillId="0" borderId="13" xfId="66" applyFont="1" applyBorder="1" applyAlignment="1">
      <alignment horizontal="right" vertical="center"/>
      <protection/>
    </xf>
    <xf numFmtId="0" fontId="40" fillId="0" borderId="11" xfId="66" applyFont="1" applyBorder="1" applyAlignment="1">
      <alignment horizontal="center" vertical="center"/>
      <protection/>
    </xf>
    <xf numFmtId="0" fontId="23" fillId="0" borderId="13" xfId="66" applyFont="1" applyBorder="1">
      <alignment/>
      <protection/>
    </xf>
    <xf numFmtId="0" fontId="23" fillId="0" borderId="11" xfId="66" applyFont="1" applyBorder="1">
      <alignment/>
      <protection/>
    </xf>
    <xf numFmtId="3" fontId="41" fillId="0" borderId="0" xfId="46" applyNumberFormat="1" applyFont="1" applyBorder="1" applyAlignment="1">
      <alignment horizontal="right" vertical="center"/>
    </xf>
    <xf numFmtId="0" fontId="42" fillId="0" borderId="0" xfId="66" applyFont="1">
      <alignment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31" fillId="0" borderId="0" xfId="62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22" borderId="21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top"/>
    </xf>
    <xf numFmtId="0" fontId="37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/>
    </xf>
    <xf numFmtId="0" fontId="38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3" fontId="17" fillId="0" borderId="20" xfId="0" applyNumberFormat="1" applyFont="1" applyBorder="1" applyAlignment="1">
      <alignment horizontal="right"/>
    </xf>
    <xf numFmtId="0" fontId="43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22" borderId="14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78" fontId="27" fillId="0" borderId="10" xfId="67" applyNumberFormat="1" applyFont="1" applyBorder="1" applyAlignment="1">
      <alignment vertical="center"/>
      <protection/>
    </xf>
    <xf numFmtId="0" fontId="41" fillId="22" borderId="10" xfId="64" applyFont="1" applyFill="1" applyBorder="1" applyAlignment="1">
      <alignment horizontal="center" vertical="center" wrapText="1"/>
      <protection/>
    </xf>
    <xf numFmtId="178" fontId="26" fillId="0" borderId="10" xfId="67" applyNumberFormat="1" applyFont="1" applyBorder="1" applyAlignment="1">
      <alignment vertical="center"/>
      <protection/>
    </xf>
    <xf numFmtId="0" fontId="41" fillId="0" borderId="0" xfId="64" applyFont="1">
      <alignment/>
      <protection/>
    </xf>
    <xf numFmtId="0" fontId="23" fillId="0" borderId="0" xfId="64" applyFont="1" applyAlignment="1">
      <alignment vertical="center"/>
      <protection/>
    </xf>
    <xf numFmtId="3" fontId="23" fillId="0" borderId="0" xfId="64" applyNumberFormat="1" applyFont="1" applyAlignment="1">
      <alignment vertical="center"/>
      <protection/>
    </xf>
    <xf numFmtId="3" fontId="22" fillId="0" borderId="0" xfId="64" applyNumberFormat="1" applyFont="1">
      <alignment/>
      <protection/>
    </xf>
    <xf numFmtId="10" fontId="26" fillId="0" borderId="10" xfId="74" applyNumberFormat="1" applyFont="1" applyBorder="1" applyAlignment="1">
      <alignment horizontal="center" vertical="center"/>
    </xf>
    <xf numFmtId="0" fontId="23" fillId="0" borderId="20" xfId="66" applyFont="1" applyBorder="1">
      <alignment/>
      <protection/>
    </xf>
    <xf numFmtId="3" fontId="29" fillId="0" borderId="17" xfId="62" applyNumberFormat="1" applyFont="1" applyBorder="1" applyAlignment="1">
      <alignment vertical="center"/>
      <protection/>
    </xf>
    <xf numFmtId="0" fontId="29" fillId="0" borderId="15" xfId="62" applyFont="1" applyBorder="1" applyAlignment="1">
      <alignment horizontal="center" vertical="center"/>
      <protection/>
    </xf>
    <xf numFmtId="0" fontId="29" fillId="0" borderId="20" xfId="62" applyFont="1" applyBorder="1" applyAlignment="1">
      <alignment vertical="center"/>
      <protection/>
    </xf>
    <xf numFmtId="0" fontId="29" fillId="0" borderId="24" xfId="62" applyFont="1" applyBorder="1" applyAlignment="1">
      <alignment vertical="center"/>
      <protection/>
    </xf>
    <xf numFmtId="3" fontId="29" fillId="0" borderId="19" xfId="62" applyNumberFormat="1" applyFont="1" applyBorder="1" applyAlignment="1">
      <alignment vertical="center"/>
      <protection/>
    </xf>
    <xf numFmtId="3" fontId="29" fillId="0" borderId="18" xfId="62" applyNumberFormat="1" applyFont="1" applyBorder="1" applyAlignment="1">
      <alignment vertical="center"/>
      <protection/>
    </xf>
    <xf numFmtId="3" fontId="27" fillId="0" borderId="10" xfId="67" applyNumberFormat="1" applyFont="1" applyFill="1" applyBorder="1" applyAlignment="1">
      <alignment vertical="center"/>
      <protection/>
    </xf>
    <xf numFmtId="9" fontId="26" fillId="0" borderId="10" xfId="74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6" fillId="0" borderId="10" xfId="64" applyFont="1" applyBorder="1" applyAlignment="1">
      <alignment horizontal="center" vertical="center" wrapText="1"/>
      <protection/>
    </xf>
    <xf numFmtId="0" fontId="26" fillId="0" borderId="11" xfId="64" applyFont="1" applyBorder="1" applyAlignment="1">
      <alignment horizontal="center" vertical="center" wrapText="1"/>
      <protection/>
    </xf>
    <xf numFmtId="0" fontId="22" fillId="0" borderId="0" xfId="64" applyFont="1" applyBorder="1" applyAlignment="1">
      <alignment horizontal="center" vertical="center"/>
      <protection/>
    </xf>
    <xf numFmtId="0" fontId="0" fillId="0" borderId="22" xfId="0" applyFont="1" applyBorder="1" applyAlignment="1">
      <alignment/>
    </xf>
    <xf numFmtId="3" fontId="0" fillId="26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5" fontId="40" fillId="0" borderId="10" xfId="66" applyNumberFormat="1" applyFont="1" applyBorder="1">
      <alignment/>
      <protection/>
    </xf>
    <xf numFmtId="3" fontId="52" fillId="0" borderId="10" xfId="46" applyNumberFormat="1" applyFont="1" applyBorder="1" applyAlignment="1">
      <alignment horizontal="right"/>
    </xf>
    <xf numFmtId="3" fontId="40" fillId="0" borderId="12" xfId="46" applyNumberFormat="1" applyFont="1" applyBorder="1" applyAlignment="1">
      <alignment vertical="center"/>
    </xf>
    <xf numFmtId="3" fontId="23" fillId="0" borderId="12" xfId="46" applyNumberFormat="1" applyFont="1" applyBorder="1" applyAlignment="1">
      <alignment vertical="center"/>
    </xf>
    <xf numFmtId="3" fontId="40" fillId="0" borderId="10" xfId="46" applyNumberFormat="1" applyFont="1" applyFill="1" applyBorder="1" applyAlignment="1">
      <alignment vertical="center"/>
    </xf>
    <xf numFmtId="3" fontId="40" fillId="0" borderId="10" xfId="46" applyNumberFormat="1" applyFont="1" applyFill="1" applyBorder="1" applyAlignment="1">
      <alignment horizontal="right" vertical="center"/>
    </xf>
    <xf numFmtId="0" fontId="23" fillId="0" borderId="10" xfId="66" applyFont="1" applyBorder="1" applyAlignment="1" quotePrefix="1">
      <alignment horizontal="right" vertical="center"/>
      <protection/>
    </xf>
    <xf numFmtId="0" fontId="23" fillId="0" borderId="10" xfId="66" applyFont="1" applyBorder="1">
      <alignment/>
      <protection/>
    </xf>
    <xf numFmtId="3" fontId="23" fillId="0" borderId="10" xfId="66" applyNumberFormat="1" applyFont="1" applyBorder="1">
      <alignment/>
      <protection/>
    </xf>
    <xf numFmtId="165" fontId="52" fillId="0" borderId="10" xfId="66" applyNumberFormat="1" applyFont="1" applyBorder="1" applyAlignment="1">
      <alignment vertical="center"/>
      <protection/>
    </xf>
    <xf numFmtId="0" fontId="40" fillId="0" borderId="10" xfId="66" applyFont="1" applyBorder="1">
      <alignment/>
      <protection/>
    </xf>
    <xf numFmtId="3" fontId="52" fillId="0" borderId="10" xfId="66" applyNumberFormat="1" applyFont="1" applyBorder="1" applyAlignment="1">
      <alignment vertical="center"/>
      <protection/>
    </xf>
    <xf numFmtId="3" fontId="29" fillId="0" borderId="12" xfId="62" applyNumberFormat="1" applyFont="1" applyBorder="1" applyAlignment="1">
      <alignment vertical="center"/>
      <protection/>
    </xf>
    <xf numFmtId="165" fontId="23" fillId="0" borderId="0" xfId="64" applyNumberFormat="1" applyFont="1" applyAlignment="1">
      <alignment vertical="center"/>
      <protection/>
    </xf>
    <xf numFmtId="3" fontId="0" fillId="0" borderId="10" xfId="0" applyNumberFormat="1" applyFont="1" applyBorder="1" applyAlignment="1">
      <alignment horizontal="right"/>
    </xf>
    <xf numFmtId="3" fontId="26" fillId="0" borderId="10" xfId="46" applyNumberFormat="1" applyFont="1" applyFill="1" applyBorder="1" applyAlignment="1">
      <alignment vertical="center"/>
    </xf>
    <xf numFmtId="3" fontId="26" fillId="0" borderId="10" xfId="67" applyNumberFormat="1" applyFont="1" applyFill="1" applyBorder="1" applyAlignment="1">
      <alignment vertical="center"/>
      <protection/>
    </xf>
    <xf numFmtId="164" fontId="27" fillId="0" borderId="11" xfId="46" applyNumberFormat="1" applyFont="1" applyFill="1" applyBorder="1" applyAlignment="1">
      <alignment horizontal="left" vertical="center" wrapText="1"/>
    </xf>
    <xf numFmtId="164" fontId="27" fillId="0" borderId="11" xfId="46" applyNumberFormat="1" applyFont="1" applyFill="1" applyBorder="1" applyAlignment="1">
      <alignment vertical="center" wrapText="1"/>
    </xf>
    <xf numFmtId="164" fontId="26" fillId="0" borderId="11" xfId="46" applyNumberFormat="1" applyFont="1" applyFill="1" applyBorder="1" applyAlignment="1">
      <alignment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28" borderId="10" xfId="0" applyFont="1" applyFill="1" applyBorder="1" applyAlignment="1">
      <alignment/>
    </xf>
    <xf numFmtId="0" fontId="23" fillId="22" borderId="19" xfId="0" applyFont="1" applyFill="1" applyBorder="1" applyAlignment="1">
      <alignment horizontal="center"/>
    </xf>
    <xf numFmtId="0" fontId="23" fillId="22" borderId="12" xfId="0" applyFont="1" applyFill="1" applyBorder="1" applyAlignment="1">
      <alignment horizontal="center"/>
    </xf>
    <xf numFmtId="0" fontId="23" fillId="22" borderId="21" xfId="0" applyFont="1" applyFill="1" applyBorder="1" applyAlignment="1">
      <alignment horizontal="center"/>
    </xf>
    <xf numFmtId="0" fontId="23" fillId="22" borderId="14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 wrapText="1"/>
    </xf>
    <xf numFmtId="164" fontId="23" fillId="0" borderId="10" xfId="46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164" fontId="23" fillId="0" borderId="25" xfId="46" applyNumberFormat="1" applyFont="1" applyBorder="1" applyAlignment="1">
      <alignment vertical="center"/>
    </xf>
    <xf numFmtId="0" fontId="48" fillId="0" borderId="26" xfId="0" applyFont="1" applyBorder="1" applyAlignment="1">
      <alignment horizontal="left" vertical="center" wrapText="1"/>
    </xf>
    <xf numFmtId="164" fontId="48" fillId="0" borderId="10" xfId="46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164" fontId="48" fillId="0" borderId="25" xfId="46" applyNumberFormat="1" applyFont="1" applyBorder="1" applyAlignment="1">
      <alignment vertical="center"/>
    </xf>
    <xf numFmtId="164" fontId="40" fillId="0" borderId="25" xfId="46" applyNumberFormat="1" applyFont="1" applyBorder="1" applyAlignment="1">
      <alignment vertical="center"/>
    </xf>
    <xf numFmtId="164" fontId="47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164" fontId="46" fillId="0" borderId="28" xfId="46" applyNumberFormat="1" applyFont="1" applyBorder="1" applyAlignment="1">
      <alignment vertical="center"/>
    </xf>
    <xf numFmtId="164" fontId="40" fillId="0" borderId="10" xfId="46" applyNumberFormat="1" applyFont="1" applyBorder="1" applyAlignment="1">
      <alignment vertical="center"/>
    </xf>
    <xf numFmtId="164" fontId="23" fillId="0" borderId="29" xfId="0" applyNumberFormat="1" applyFont="1" applyBorder="1" applyAlignment="1">
      <alignment vertical="center"/>
    </xf>
    <xf numFmtId="164" fontId="47" fillId="0" borderId="0" xfId="46" applyNumberFormat="1" applyFont="1" applyAlignment="1">
      <alignment/>
    </xf>
    <xf numFmtId="0" fontId="23" fillId="0" borderId="0" xfId="62" applyFont="1" applyAlignment="1">
      <alignment vertical="center"/>
      <protection/>
    </xf>
    <xf numFmtId="0" fontId="23" fillId="0" borderId="10" xfId="62" applyFont="1" applyFill="1" applyBorder="1" applyAlignment="1">
      <alignment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3" fontId="23" fillId="0" borderId="10" xfId="46" applyNumberFormat="1" applyFont="1" applyBorder="1" applyAlignment="1">
      <alignment horizontal="right" vertical="center" wrapText="1"/>
    </xf>
    <xf numFmtId="0" fontId="40" fillId="0" borderId="10" xfId="62" applyFont="1" applyBorder="1" applyAlignment="1">
      <alignment vertical="center" wrapText="1"/>
      <protection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2" fillId="22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0" xfId="0" applyNumberFormat="1" applyFont="1" applyAlignment="1">
      <alignment/>
    </xf>
    <xf numFmtId="164" fontId="22" fillId="0" borderId="0" xfId="46" applyNumberFormat="1" applyFont="1" applyAlignment="1">
      <alignment/>
    </xf>
    <xf numFmtId="1" fontId="22" fillId="0" borderId="0" xfId="0" applyNumberFormat="1" applyFont="1" applyAlignment="1">
      <alignment/>
    </xf>
    <xf numFmtId="0" fontId="41" fillId="0" borderId="10" xfId="0" applyFont="1" applyBorder="1" applyAlignment="1">
      <alignment horizontal="left" vertical="center" wrapText="1"/>
    </xf>
    <xf numFmtId="3" fontId="4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22" fillId="22" borderId="10" xfId="0" applyFont="1" applyFill="1" applyBorder="1" applyAlignment="1">
      <alignment/>
    </xf>
    <xf numFmtId="0" fontId="22" fillId="22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/>
    </xf>
    <xf numFmtId="164" fontId="41" fillId="0" borderId="0" xfId="46" applyNumberFormat="1" applyFont="1" applyFill="1" applyBorder="1" applyAlignment="1">
      <alignment/>
    </xf>
    <xf numFmtId="164" fontId="40" fillId="0" borderId="0" xfId="46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4" fontId="40" fillId="0" borderId="20" xfId="46" applyNumberFormat="1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/>
    </xf>
    <xf numFmtId="164" fontId="22" fillId="22" borderId="10" xfId="0" applyNumberFormat="1" applyFont="1" applyFill="1" applyBorder="1" applyAlignment="1">
      <alignment horizontal="center" vertical="center"/>
    </xf>
    <xf numFmtId="164" fontId="23" fillId="0" borderId="20" xfId="46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0" xfId="46" applyNumberFormat="1" applyFont="1" applyFill="1" applyBorder="1" applyAlignment="1">
      <alignment/>
    </xf>
    <xf numFmtId="3" fontId="23" fillId="0" borderId="10" xfId="46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164" fontId="23" fillId="0" borderId="10" xfId="46" applyNumberFormat="1" applyFont="1" applyFill="1" applyBorder="1" applyAlignment="1">
      <alignment/>
    </xf>
    <xf numFmtId="164" fontId="23" fillId="0" borderId="10" xfId="46" applyNumberFormat="1" applyFont="1" applyFill="1" applyBorder="1" applyAlignment="1">
      <alignment vertical="center" wrapText="1"/>
    </xf>
    <xf numFmtId="3" fontId="23" fillId="0" borderId="10" xfId="46" applyNumberFormat="1" applyFont="1" applyFill="1" applyBorder="1" applyAlignment="1">
      <alignment vertical="center" wrapText="1"/>
    </xf>
    <xf numFmtId="49" fontId="23" fillId="0" borderId="0" xfId="0" applyNumberFormat="1" applyFont="1" applyFill="1" applyAlignment="1">
      <alignment horizontal="right"/>
    </xf>
    <xf numFmtId="164" fontId="40" fillId="0" borderId="15" xfId="46" applyNumberFormat="1" applyFont="1" applyFill="1" applyBorder="1" applyAlignment="1">
      <alignment/>
    </xf>
    <xf numFmtId="3" fontId="40" fillId="0" borderId="15" xfId="46" applyNumberFormat="1" applyFont="1" applyFill="1" applyBorder="1" applyAlignment="1">
      <alignment/>
    </xf>
    <xf numFmtId="3" fontId="40" fillId="0" borderId="15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164" fontId="40" fillId="0" borderId="10" xfId="46" applyNumberFormat="1" applyFont="1" applyFill="1" applyBorder="1" applyAlignment="1">
      <alignment vertical="center"/>
    </xf>
    <xf numFmtId="164" fontId="22" fillId="0" borderId="10" xfId="46" applyNumberFormat="1" applyFont="1" applyFill="1" applyBorder="1" applyAlignment="1">
      <alignment/>
    </xf>
    <xf numFmtId="164" fontId="40" fillId="0" borderId="10" xfId="46" applyNumberFormat="1" applyFont="1" applyFill="1" applyBorder="1" applyAlignment="1">
      <alignment vertical="center" wrapText="1"/>
    </xf>
    <xf numFmtId="3" fontId="40" fillId="0" borderId="10" xfId="46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27" fillId="26" borderId="10" xfId="46" applyNumberFormat="1" applyFont="1" applyFill="1" applyBorder="1" applyAlignment="1">
      <alignment vertical="center"/>
    </xf>
    <xf numFmtId="0" fontId="23" fillId="0" borderId="0" xfId="62" applyFont="1" applyAlignment="1">
      <alignment horizontal="center" vertical="center"/>
      <protection/>
    </xf>
    <xf numFmtId="0" fontId="23" fillId="0" borderId="10" xfId="65" applyFont="1" applyBorder="1" applyAlignment="1">
      <alignment horizontal="center" vertical="center" textRotation="90" wrapText="1"/>
      <protection/>
    </xf>
    <xf numFmtId="0" fontId="40" fillId="0" borderId="10" xfId="65" applyFont="1" applyBorder="1" applyAlignment="1">
      <alignment horizontal="center" vertical="center" textRotation="90" wrapText="1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30" xfId="62" applyFont="1" applyFill="1" applyBorder="1" applyAlignment="1">
      <alignment vertical="center" wrapText="1"/>
      <protection/>
    </xf>
    <xf numFmtId="3" fontId="23" fillId="0" borderId="10" xfId="46" applyNumberFormat="1" applyFont="1" applyBorder="1" applyAlignment="1" quotePrefix="1">
      <alignment horizontal="right" vertical="center"/>
    </xf>
    <xf numFmtId="3" fontId="40" fillId="0" borderId="10" xfId="46" applyNumberFormat="1" applyFont="1" applyBorder="1" applyAlignment="1">
      <alignment horizontal="right" vertical="center" wrapText="1"/>
    </xf>
    <xf numFmtId="3" fontId="40" fillId="0" borderId="10" xfId="46" applyNumberFormat="1" applyFont="1" applyBorder="1" applyAlignment="1" quotePrefix="1">
      <alignment horizontal="right" vertical="center"/>
    </xf>
    <xf numFmtId="0" fontId="40" fillId="0" borderId="11" xfId="62" applyFont="1" applyBorder="1" applyAlignment="1">
      <alignment horizontal="center" vertical="center"/>
      <protection/>
    </xf>
    <xf numFmtId="0" fontId="40" fillId="0" borderId="10" xfId="62" applyFont="1" applyBorder="1" applyAlignment="1">
      <alignment horizontal="center" vertical="center"/>
      <protection/>
    </xf>
    <xf numFmtId="3" fontId="40" fillId="0" borderId="10" xfId="46" applyNumberFormat="1" applyFont="1" applyFill="1" applyBorder="1" applyAlignment="1" quotePrefix="1">
      <alignment horizontal="right" vertical="center"/>
    </xf>
    <xf numFmtId="0" fontId="40" fillId="0" borderId="0" xfId="62" applyFont="1" applyBorder="1" applyAlignment="1">
      <alignment horizontal="center" vertical="center"/>
      <protection/>
    </xf>
    <xf numFmtId="0" fontId="40" fillId="0" borderId="0" xfId="62" applyFont="1" applyBorder="1" applyAlignment="1">
      <alignment vertical="center" wrapText="1"/>
      <protection/>
    </xf>
    <xf numFmtId="3" fontId="40" fillId="0" borderId="0" xfId="46" applyNumberFormat="1" applyFont="1" applyBorder="1" applyAlignment="1">
      <alignment horizontal="right" vertical="center"/>
    </xf>
    <xf numFmtId="3" fontId="40" fillId="0" borderId="0" xfId="46" applyNumberFormat="1" applyFont="1" applyBorder="1" applyAlignment="1" quotePrefix="1">
      <alignment horizontal="right" vertical="center"/>
    </xf>
    <xf numFmtId="0" fontId="23" fillId="0" borderId="0" xfId="65" applyFont="1" applyBorder="1" applyAlignment="1">
      <alignment horizontal="center" vertical="center"/>
      <protection/>
    </xf>
    <xf numFmtId="3" fontId="23" fillId="0" borderId="0" xfId="46" applyNumberFormat="1" applyFont="1" applyBorder="1" applyAlignment="1">
      <alignment horizontal="center" vertical="center"/>
    </xf>
    <xf numFmtId="0" fontId="23" fillId="0" borderId="10" xfId="65" applyFont="1" applyFill="1" applyBorder="1">
      <alignment/>
      <protection/>
    </xf>
    <xf numFmtId="0" fontId="23" fillId="0" borderId="0" xfId="65" applyFont="1" applyFill="1" applyBorder="1">
      <alignment/>
      <protection/>
    </xf>
    <xf numFmtId="0" fontId="23" fillId="0" borderId="0" xfId="65" applyFont="1">
      <alignment/>
      <protection/>
    </xf>
    <xf numFmtId="0" fontId="23" fillId="0" borderId="0" xfId="65" applyFont="1" applyAlignment="1">
      <alignment horizontal="center" vertical="center"/>
      <protection/>
    </xf>
    <xf numFmtId="0" fontId="23" fillId="0" borderId="0" xfId="65" applyFont="1" applyAlignment="1">
      <alignment horizontal="right" vertical="center"/>
      <protection/>
    </xf>
    <xf numFmtId="0" fontId="23" fillId="0" borderId="0" xfId="65" applyFont="1" applyFill="1" applyBorder="1" applyAlignment="1">
      <alignment horizontal="center" vertical="center"/>
      <protection/>
    </xf>
    <xf numFmtId="0" fontId="23" fillId="0" borderId="0" xfId="65" applyFont="1" applyAlignment="1">
      <alignment horizontal="center"/>
      <protection/>
    </xf>
    <xf numFmtId="0" fontId="23" fillId="22" borderId="10" xfId="65" applyFont="1" applyFill="1" applyBorder="1" applyAlignment="1">
      <alignment horizontal="center" vertical="center"/>
      <protection/>
    </xf>
    <xf numFmtId="0" fontId="23" fillId="22" borderId="10" xfId="65" applyFont="1" applyFill="1" applyBorder="1">
      <alignment/>
      <protection/>
    </xf>
    <xf numFmtId="0" fontId="23" fillId="22" borderId="11" xfId="65" applyFont="1" applyFill="1" applyBorder="1" applyAlignment="1">
      <alignment horizontal="center" vertical="center"/>
      <protection/>
    </xf>
    <xf numFmtId="0" fontId="23" fillId="0" borderId="0" xfId="65" applyFont="1" applyBorder="1">
      <alignment/>
      <protection/>
    </xf>
    <xf numFmtId="0" fontId="23" fillId="0" borderId="0" xfId="65" applyFont="1" applyBorder="1" applyAlignment="1">
      <alignment horizontal="center"/>
      <protection/>
    </xf>
    <xf numFmtId="0" fontId="23" fillId="0" borderId="10" xfId="65" applyFont="1" applyBorder="1" applyAlignment="1">
      <alignment horizontal="center"/>
      <protection/>
    </xf>
    <xf numFmtId="0" fontId="23" fillId="0" borderId="10" xfId="65" applyFont="1" applyBorder="1">
      <alignment/>
      <protection/>
    </xf>
    <xf numFmtId="0" fontId="40" fillId="0" borderId="10" xfId="65" applyFont="1" applyBorder="1">
      <alignment/>
      <protection/>
    </xf>
    <xf numFmtId="0" fontId="37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/>
    </xf>
    <xf numFmtId="0" fontId="0" fillId="22" borderId="14" xfId="0" applyFont="1" applyFill="1" applyBorder="1" applyAlignment="1">
      <alignment horizontal="center" vertical="center" wrapText="1"/>
    </xf>
    <xf numFmtId="3" fontId="40" fillId="0" borderId="0" xfId="66" applyNumberFormat="1" applyFont="1">
      <alignment/>
      <protection/>
    </xf>
    <xf numFmtId="3" fontId="23" fillId="26" borderId="10" xfId="46" applyNumberFormat="1" applyFont="1" applyFill="1" applyBorder="1" applyAlignment="1">
      <alignment horizontal="right" vertical="center"/>
    </xf>
    <xf numFmtId="3" fontId="27" fillId="26" borderId="10" xfId="67" applyNumberFormat="1" applyFont="1" applyFill="1" applyBorder="1" applyAlignment="1">
      <alignment vertical="center"/>
      <protection/>
    </xf>
    <xf numFmtId="3" fontId="35" fillId="0" borderId="18" xfId="62" applyNumberFormat="1" applyFont="1" applyFill="1" applyBorder="1" applyAlignment="1">
      <alignment vertical="center"/>
      <protection/>
    </xf>
    <xf numFmtId="0" fontId="29" fillId="0" borderId="15" xfId="62" applyFont="1" applyFill="1" applyBorder="1" applyAlignment="1">
      <alignment vertical="center" wrapText="1"/>
      <protection/>
    </xf>
    <xf numFmtId="3" fontId="29" fillId="0" borderId="20" xfId="62" applyNumberFormat="1" applyFont="1" applyFill="1" applyBorder="1" applyAlignment="1">
      <alignment vertical="center"/>
      <protection/>
    </xf>
    <xf numFmtId="3" fontId="29" fillId="0" borderId="15" xfId="62" applyNumberFormat="1" applyFont="1" applyFill="1" applyBorder="1" applyAlignment="1">
      <alignment vertical="center"/>
      <protection/>
    </xf>
    <xf numFmtId="3" fontId="35" fillId="0" borderId="21" xfId="62" applyNumberFormat="1" applyFont="1" applyFill="1" applyBorder="1" applyAlignment="1">
      <alignment vertical="center"/>
      <protection/>
    </xf>
    <xf numFmtId="9" fontId="22" fillId="0" borderId="0" xfId="74" applyFont="1" applyAlignment="1">
      <alignment/>
    </xf>
    <xf numFmtId="3" fontId="35" fillId="0" borderId="0" xfId="62" applyNumberFormat="1" applyFont="1" applyAlignment="1">
      <alignment vertical="center"/>
      <protection/>
    </xf>
    <xf numFmtId="0" fontId="22" fillId="0" borderId="13" xfId="64" applyFont="1" applyBorder="1" applyAlignment="1">
      <alignment horizontal="right"/>
      <protection/>
    </xf>
    <xf numFmtId="0" fontId="22" fillId="0" borderId="13" xfId="0" applyFont="1" applyBorder="1" applyAlignment="1">
      <alignment horizontal="right"/>
    </xf>
    <xf numFmtId="0" fontId="22" fillId="0" borderId="0" xfId="64" applyFont="1" applyBorder="1" applyAlignment="1">
      <alignment horizontal="left"/>
      <protection/>
    </xf>
    <xf numFmtId="0" fontId="23" fillId="0" borderId="0" xfId="64" applyFont="1" applyBorder="1" applyAlignment="1">
      <alignment horizontal="right"/>
      <protection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64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6" fillId="0" borderId="10" xfId="62" applyFont="1" applyBorder="1" applyAlignment="1">
      <alignment horizontal="center" vertical="center" wrapText="1"/>
      <protection/>
    </xf>
    <xf numFmtId="0" fontId="26" fillId="0" borderId="10" xfId="64" applyFont="1" applyBorder="1" applyAlignment="1">
      <alignment horizontal="center" vertical="center" wrapText="1"/>
      <protection/>
    </xf>
    <xf numFmtId="0" fontId="26" fillId="0" borderId="23" xfId="64" applyFont="1" applyBorder="1" applyAlignment="1">
      <alignment horizontal="center" vertical="center" wrapText="1"/>
      <protection/>
    </xf>
    <xf numFmtId="0" fontId="26" fillId="0" borderId="24" xfId="64" applyFont="1" applyBorder="1" applyAlignment="1">
      <alignment horizontal="center" vertical="center" wrapText="1"/>
      <protection/>
    </xf>
    <xf numFmtId="0" fontId="26" fillId="0" borderId="19" xfId="64" applyFont="1" applyBorder="1" applyAlignment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9" xfId="62" applyFont="1" applyBorder="1" applyAlignment="1">
      <alignment horizontal="center" vertical="center" wrapText="1"/>
      <protection/>
    </xf>
    <xf numFmtId="0" fontId="26" fillId="0" borderId="17" xfId="62" applyFont="1" applyBorder="1" applyAlignment="1">
      <alignment horizontal="center" vertical="center" wrapText="1"/>
      <protection/>
    </xf>
    <xf numFmtId="0" fontId="26" fillId="0" borderId="18" xfId="62" applyFont="1" applyBorder="1" applyAlignment="1">
      <alignment horizontal="center" vertical="center" wrapText="1"/>
      <protection/>
    </xf>
    <xf numFmtId="0" fontId="26" fillId="0" borderId="14" xfId="64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3" xfId="64" applyFont="1" applyBorder="1" applyAlignment="1">
      <alignment horizontal="center" vertical="center" wrapText="1"/>
      <protection/>
    </xf>
    <xf numFmtId="0" fontId="26" fillId="0" borderId="11" xfId="64" applyFont="1" applyBorder="1" applyAlignment="1">
      <alignment horizontal="center" vertical="center" wrapText="1"/>
      <protection/>
    </xf>
    <xf numFmtId="0" fontId="27" fillId="0" borderId="13" xfId="64" applyFont="1" applyBorder="1" applyAlignment="1">
      <alignment horizontal="center" vertical="center" wrapText="1"/>
      <protection/>
    </xf>
    <xf numFmtId="0" fontId="26" fillId="0" borderId="21" xfId="64" applyFont="1" applyBorder="1" applyAlignment="1">
      <alignment horizontal="center" vertical="center" wrapText="1"/>
      <protection/>
    </xf>
    <xf numFmtId="0" fontId="26" fillId="0" borderId="20" xfId="64" applyFont="1" applyBorder="1" applyAlignment="1">
      <alignment horizontal="center" vertical="center" wrapText="1"/>
      <protection/>
    </xf>
    <xf numFmtId="0" fontId="26" fillId="0" borderId="18" xfId="64" applyFont="1" applyBorder="1" applyAlignment="1">
      <alignment horizontal="center" vertical="center" wrapText="1"/>
      <protection/>
    </xf>
    <xf numFmtId="0" fontId="27" fillId="0" borderId="24" xfId="64" applyFont="1" applyBorder="1" applyAlignment="1">
      <alignment horizontal="center" vertical="center" wrapText="1"/>
      <protection/>
    </xf>
    <xf numFmtId="0" fontId="27" fillId="0" borderId="21" xfId="64" applyFont="1" applyBorder="1" applyAlignment="1">
      <alignment horizontal="center" vertical="center" wrapText="1"/>
      <protection/>
    </xf>
    <xf numFmtId="0" fontId="27" fillId="0" borderId="20" xfId="64" applyFont="1" applyBorder="1" applyAlignment="1">
      <alignment horizontal="center" vertical="center" wrapText="1"/>
      <protection/>
    </xf>
    <xf numFmtId="0" fontId="24" fillId="0" borderId="0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7" fillId="0" borderId="13" xfId="64" applyFont="1" applyBorder="1" applyAlignment="1">
      <alignment horizontal="right"/>
      <protection/>
    </xf>
    <xf numFmtId="0" fontId="26" fillId="0" borderId="15" xfId="62" applyFont="1" applyBorder="1" applyAlignment="1">
      <alignment horizontal="center" vertical="center" wrapText="1"/>
      <protection/>
    </xf>
    <xf numFmtId="0" fontId="26" fillId="0" borderId="15" xfId="64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23" fillId="26" borderId="12" xfId="0" applyFont="1" applyFill="1" applyBorder="1" applyAlignment="1">
      <alignment horizontal="left" vertical="center" wrapText="1"/>
    </xf>
    <xf numFmtId="0" fontId="23" fillId="26" borderId="15" xfId="0" applyFont="1" applyFill="1" applyBorder="1" applyAlignment="1">
      <alignment horizontal="left" vertical="center" wrapText="1"/>
    </xf>
    <xf numFmtId="164" fontId="23" fillId="0" borderId="34" xfId="46" applyNumberFormat="1" applyFont="1" applyBorder="1" applyAlignment="1">
      <alignment horizontal="center" vertical="center"/>
    </xf>
    <xf numFmtId="164" fontId="23" fillId="0" borderId="35" xfId="46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/>
    </xf>
    <xf numFmtId="0" fontId="40" fillId="0" borderId="2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1" fillId="0" borderId="0" xfId="62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37" fillId="0" borderId="11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53" fillId="26" borderId="13" xfId="0" applyFont="1" applyFill="1" applyBorder="1" applyAlignment="1">
      <alignment/>
    </xf>
    <xf numFmtId="0" fontId="53" fillId="26" borderId="11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7" fillId="0" borderId="20" xfId="0" applyFont="1" applyFill="1" applyBorder="1" applyAlignment="1">
      <alignment horizontal="right" vertical="center"/>
    </xf>
    <xf numFmtId="0" fontId="35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21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2" borderId="22" xfId="0" applyFont="1" applyFill="1" applyBorder="1" applyAlignment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37" fillId="0" borderId="14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4" fillId="27" borderId="16" xfId="0" applyFont="1" applyFill="1" applyBorder="1" applyAlignment="1">
      <alignment horizontal="center" vertical="center"/>
    </xf>
    <xf numFmtId="0" fontId="44" fillId="27" borderId="15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35" fillId="27" borderId="21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center" vertical="center"/>
    </xf>
    <xf numFmtId="0" fontId="35" fillId="27" borderId="0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21" xfId="0" applyFont="1" applyFill="1" applyBorder="1" applyAlignment="1">
      <alignment horizontal="center" vertical="center"/>
    </xf>
    <xf numFmtId="0" fontId="35" fillId="27" borderId="20" xfId="0" applyFont="1" applyFill="1" applyBorder="1" applyAlignment="1">
      <alignment horizontal="center" vertical="center"/>
    </xf>
    <xf numFmtId="0" fontId="35" fillId="27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35" fillId="0" borderId="13" xfId="62" applyFont="1" applyBorder="1" applyAlignment="1">
      <alignment vertical="center"/>
      <protection/>
    </xf>
    <xf numFmtId="0" fontId="35" fillId="0" borderId="11" xfId="62" applyFont="1" applyBorder="1" applyAlignment="1">
      <alignment vertical="center"/>
      <protection/>
    </xf>
    <xf numFmtId="0" fontId="35" fillId="0" borderId="20" xfId="62" applyFont="1" applyBorder="1" applyAlignment="1">
      <alignment vertical="center"/>
      <protection/>
    </xf>
    <xf numFmtId="0" fontId="35" fillId="0" borderId="18" xfId="62" applyFont="1" applyBorder="1" applyAlignment="1">
      <alignment vertical="center"/>
      <protection/>
    </xf>
    <xf numFmtId="0" fontId="35" fillId="0" borderId="20" xfId="62" applyFont="1" applyBorder="1" applyAlignment="1">
      <alignment horizontal="center" vertical="center" wrapText="1"/>
      <protection/>
    </xf>
    <xf numFmtId="0" fontId="36" fillId="0" borderId="20" xfId="62" applyFont="1" applyBorder="1" applyAlignment="1">
      <alignment horizontal="center" vertical="center"/>
      <protection/>
    </xf>
    <xf numFmtId="0" fontId="35" fillId="0" borderId="24" xfId="62" applyFont="1" applyBorder="1" applyAlignment="1">
      <alignment horizontal="left" vertical="center"/>
      <protection/>
    </xf>
    <xf numFmtId="0" fontId="35" fillId="0" borderId="0" xfId="62" applyFont="1" applyFill="1" applyBorder="1" applyAlignment="1">
      <alignment horizontal="left" vertical="center"/>
      <protection/>
    </xf>
    <xf numFmtId="0" fontId="35" fillId="0" borderId="24" xfId="62" applyFont="1" applyBorder="1" applyAlignment="1">
      <alignment horizontal="center" vertical="center"/>
      <protection/>
    </xf>
    <xf numFmtId="0" fontId="36" fillId="0" borderId="13" xfId="62" applyFont="1" applyBorder="1" applyAlignment="1">
      <alignment horizontal="center" vertical="center"/>
      <protection/>
    </xf>
    <xf numFmtId="0" fontId="30" fillId="0" borderId="0" xfId="62" applyFont="1" applyAlignment="1">
      <alignment horizontal="right" vertical="center"/>
      <protection/>
    </xf>
    <xf numFmtId="0" fontId="0" fillId="0" borderId="0" xfId="0" applyFont="1" applyAlignment="1">
      <alignment horizontal="right"/>
    </xf>
    <xf numFmtId="165" fontId="35" fillId="0" borderId="13" xfId="46" applyNumberFormat="1" applyFont="1" applyBorder="1" applyAlignment="1">
      <alignment horizontal="center" vertical="center"/>
    </xf>
    <xf numFmtId="165" fontId="35" fillId="0" borderId="11" xfId="46" applyNumberFormat="1" applyFont="1" applyBorder="1" applyAlignment="1">
      <alignment horizontal="center" vertical="center"/>
    </xf>
    <xf numFmtId="165" fontId="33" fillId="22" borderId="14" xfId="46" applyNumberFormat="1" applyFont="1" applyFill="1" applyBorder="1" applyAlignment="1">
      <alignment horizontal="center" vertical="center"/>
    </xf>
    <xf numFmtId="165" fontId="33" fillId="22" borderId="11" xfId="46" applyNumberFormat="1" applyFont="1" applyFill="1" applyBorder="1" applyAlignment="1">
      <alignment horizontal="center" vertical="center"/>
    </xf>
    <xf numFmtId="0" fontId="32" fillId="0" borderId="0" xfId="62" applyFont="1" applyAlignment="1">
      <alignment horizontal="center" vertical="center" wrapText="1"/>
      <protection/>
    </xf>
    <xf numFmtId="0" fontId="35" fillId="0" borderId="24" xfId="62" applyFont="1" applyBorder="1" applyAlignment="1">
      <alignment horizontal="center" vertical="center" wrapText="1"/>
      <protection/>
    </xf>
    <xf numFmtId="0" fontId="36" fillId="0" borderId="24" xfId="62" applyFont="1" applyBorder="1" applyAlignment="1">
      <alignment horizontal="center" vertical="center"/>
      <protection/>
    </xf>
    <xf numFmtId="0" fontId="36" fillId="0" borderId="19" xfId="6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2" borderId="12" xfId="65" applyFont="1" applyFill="1" applyBorder="1" applyAlignment="1">
      <alignment horizontal="center" vertical="center"/>
      <protection/>
    </xf>
    <xf numFmtId="0" fontId="23" fillId="22" borderId="16" xfId="65" applyFont="1" applyFill="1" applyBorder="1" applyAlignment="1">
      <alignment horizontal="center" vertical="center"/>
      <protection/>
    </xf>
    <xf numFmtId="0" fontId="23" fillId="22" borderId="15" xfId="65" applyFont="1" applyFill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 textRotation="90" wrapText="1"/>
      <protection/>
    </xf>
    <xf numFmtId="0" fontId="23" fillId="0" borderId="11" xfId="65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 textRotation="90" wrapText="1"/>
      <protection/>
    </xf>
    <xf numFmtId="0" fontId="23" fillId="0" borderId="10" xfId="65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5" applyFont="1" applyBorder="1" applyAlignment="1">
      <alignment/>
      <protection/>
    </xf>
    <xf numFmtId="0" fontId="40" fillId="0" borderId="10" xfId="65" applyFont="1" applyBorder="1" applyAlignment="1">
      <alignment horizontal="center" vertical="center" wrapText="1"/>
      <protection/>
    </xf>
    <xf numFmtId="0" fontId="40" fillId="0" borderId="10" xfId="65" applyFont="1" applyBorder="1" applyAlignment="1">
      <alignment horizontal="left" vertical="center"/>
      <protection/>
    </xf>
    <xf numFmtId="0" fontId="23" fillId="0" borderId="10" xfId="0" applyFont="1" applyBorder="1" applyAlignment="1">
      <alignment/>
    </xf>
    <xf numFmtId="0" fontId="23" fillId="0" borderId="0" xfId="62" applyFont="1" applyFill="1" applyAlignment="1">
      <alignment horizontal="right" vertical="center"/>
      <protection/>
    </xf>
    <xf numFmtId="0" fontId="23" fillId="0" borderId="0" xfId="0" applyFont="1" applyFill="1" applyAlignment="1">
      <alignment horizontal="right" vertical="center"/>
    </xf>
    <xf numFmtId="0" fontId="40" fillId="0" borderId="0" xfId="65" applyFont="1" applyAlignment="1">
      <alignment horizontal="center" vertical="center"/>
      <protection/>
    </xf>
    <xf numFmtId="0" fontId="40" fillId="0" borderId="14" xfId="65" applyFont="1" applyBorder="1" applyAlignment="1">
      <alignment horizontal="left" vertical="center"/>
      <protection/>
    </xf>
    <xf numFmtId="0" fontId="23" fillId="0" borderId="13" xfId="0" applyFont="1" applyBorder="1" applyAlignment="1">
      <alignment vertical="center"/>
    </xf>
    <xf numFmtId="164" fontId="22" fillId="22" borderId="12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4" fontId="40" fillId="0" borderId="10" xfId="46" applyNumberFormat="1" applyFont="1" applyFill="1" applyBorder="1" applyAlignment="1">
      <alignment horizontal="center" vertical="center" wrapText="1"/>
    </xf>
    <xf numFmtId="164" fontId="41" fillId="0" borderId="14" xfId="46" applyNumberFormat="1" applyFont="1" applyFill="1" applyBorder="1" applyAlignment="1">
      <alignment horizontal="center" vertical="center" wrapText="1"/>
    </xf>
    <xf numFmtId="164" fontId="41" fillId="0" borderId="13" xfId="46" applyNumberFormat="1" applyFont="1" applyFill="1" applyBorder="1" applyAlignment="1">
      <alignment horizontal="center" vertical="center" wrapText="1"/>
    </xf>
    <xf numFmtId="164" fontId="41" fillId="0" borderId="11" xfId="46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64" fontId="40" fillId="0" borderId="20" xfId="46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62" applyFont="1" applyAlignment="1">
      <alignment vertical="center"/>
      <protection/>
    </xf>
    <xf numFmtId="0" fontId="22" fillId="0" borderId="0" xfId="0" applyFont="1" applyAlignment="1">
      <alignment/>
    </xf>
    <xf numFmtId="0" fontId="23" fillId="0" borderId="0" xfId="62" applyFont="1" applyAlignment="1">
      <alignment horizontal="right"/>
      <protection/>
    </xf>
    <xf numFmtId="0" fontId="22" fillId="0" borderId="0" xfId="0" applyFont="1" applyAlignment="1">
      <alignment horizontal="right" vertical="center"/>
    </xf>
    <xf numFmtId="0" fontId="40" fillId="0" borderId="11" xfId="66" applyFont="1" applyBorder="1" applyAlignment="1">
      <alignment vertical="center" wrapText="1"/>
      <protection/>
    </xf>
    <xf numFmtId="0" fontId="40" fillId="0" borderId="10" xfId="66" applyFont="1" applyBorder="1" applyAlignment="1">
      <alignment vertical="center" wrapText="1"/>
      <protection/>
    </xf>
    <xf numFmtId="0" fontId="40" fillId="0" borderId="14" xfId="66" applyFont="1" applyBorder="1" applyAlignment="1">
      <alignment vertical="center" wrapText="1"/>
      <protection/>
    </xf>
    <xf numFmtId="0" fontId="23" fillId="0" borderId="13" xfId="66" applyFont="1" applyBorder="1" applyAlignment="1">
      <alignment vertical="center" wrapText="1"/>
      <protection/>
    </xf>
    <xf numFmtId="0" fontId="23" fillId="0" borderId="11" xfId="66" applyFont="1" applyBorder="1" applyAlignment="1">
      <alignment vertical="center" wrapText="1"/>
      <protection/>
    </xf>
    <xf numFmtId="0" fontId="23" fillId="0" borderId="0" xfId="63" applyFont="1" applyAlignment="1">
      <alignment horizontal="right" vertical="center"/>
      <protection/>
    </xf>
    <xf numFmtId="0" fontId="23" fillId="0" borderId="0" xfId="67" applyFont="1" applyAlignment="1">
      <alignment horizontal="right" vertical="center"/>
      <protection/>
    </xf>
    <xf numFmtId="0" fontId="28" fillId="0" borderId="0" xfId="67" applyFont="1" applyAlignment="1">
      <alignment horizontal="center" vertical="center"/>
      <protection/>
    </xf>
    <xf numFmtId="0" fontId="22" fillId="0" borderId="0" xfId="67" applyFont="1" applyAlignment="1">
      <alignment horizontal="center" vertical="center"/>
      <protection/>
    </xf>
    <xf numFmtId="0" fontId="40" fillId="0" borderId="14" xfId="66" applyFont="1" applyBorder="1" applyAlignment="1">
      <alignment horizontal="left" vertical="center"/>
      <protection/>
    </xf>
    <xf numFmtId="0" fontId="23" fillId="0" borderId="13" xfId="66" applyFont="1" applyBorder="1" applyAlignment="1">
      <alignment horizontal="left" vertical="center"/>
      <protection/>
    </xf>
    <xf numFmtId="0" fontId="23" fillId="0" borderId="11" xfId="66" applyFont="1" applyBorder="1" applyAlignment="1">
      <alignment horizontal="left" vertical="center"/>
      <protection/>
    </xf>
    <xf numFmtId="0" fontId="40" fillId="0" borderId="10" xfId="66" applyFont="1" applyBorder="1" applyAlignment="1">
      <alignment horizontal="left" vertical="center"/>
      <protection/>
    </xf>
    <xf numFmtId="0" fontId="40" fillId="0" borderId="13" xfId="66" applyFont="1" applyBorder="1" applyAlignment="1">
      <alignment vertical="center" wrapText="1"/>
      <protection/>
    </xf>
    <xf numFmtId="0" fontId="40" fillId="0" borderId="11" xfId="66" applyFont="1" applyFill="1" applyBorder="1" applyAlignment="1">
      <alignment vertical="center" wrapText="1"/>
      <protection/>
    </xf>
    <xf numFmtId="0" fontId="40" fillId="0" borderId="10" xfId="66" applyFont="1" applyFill="1" applyBorder="1" applyAlignment="1">
      <alignment vertical="center" wrapText="1"/>
      <protection/>
    </xf>
    <xf numFmtId="0" fontId="40" fillId="0" borderId="14" xfId="66" applyFont="1" applyFill="1" applyBorder="1" applyAlignment="1">
      <alignment vertical="center" wrapText="1"/>
      <protection/>
    </xf>
    <xf numFmtId="0" fontId="23" fillId="0" borderId="14" xfId="66" applyFont="1" applyBorder="1" applyAlignment="1">
      <alignment horizontal="left" vertical="center" wrapText="1"/>
      <protection/>
    </xf>
    <xf numFmtId="0" fontId="23" fillId="0" borderId="11" xfId="66" applyFont="1" applyBorder="1" applyAlignment="1">
      <alignment horizontal="left" vertical="center" wrapText="1"/>
      <protection/>
    </xf>
    <xf numFmtId="0" fontId="23" fillId="0" borderId="10" xfId="66" applyFont="1" applyBorder="1" applyAlignment="1">
      <alignment horizontal="left" vertical="center" wrapText="1"/>
      <protection/>
    </xf>
    <xf numFmtId="0" fontId="23" fillId="0" borderId="0" xfId="66" applyFont="1" applyAlignment="1">
      <alignment horizontal="right" vertical="center"/>
      <protection/>
    </xf>
    <xf numFmtId="0" fontId="40" fillId="0" borderId="14" xfId="66" applyFont="1" applyBorder="1" applyAlignment="1">
      <alignment vertical="center"/>
      <protection/>
    </xf>
    <xf numFmtId="0" fontId="40" fillId="0" borderId="13" xfId="66" applyFont="1" applyBorder="1" applyAlignment="1">
      <alignment vertical="center"/>
      <protection/>
    </xf>
    <xf numFmtId="0" fontId="40" fillId="0" borderId="11" xfId="66" applyFont="1" applyBorder="1" applyAlignment="1">
      <alignment vertical="center"/>
      <protection/>
    </xf>
    <xf numFmtId="0" fontId="40" fillId="0" borderId="18" xfId="66" applyFont="1" applyBorder="1" applyAlignment="1">
      <alignment vertical="center"/>
      <protection/>
    </xf>
    <xf numFmtId="0" fontId="40" fillId="0" borderId="15" xfId="66" applyFont="1" applyBorder="1" applyAlignment="1">
      <alignment vertical="center"/>
      <protection/>
    </xf>
    <xf numFmtId="0" fontId="40" fillId="0" borderId="10" xfId="66" applyFont="1" applyBorder="1" applyAlignment="1">
      <alignment vertical="center"/>
      <protection/>
    </xf>
    <xf numFmtId="0" fontId="23" fillId="0" borderId="10" xfId="66" applyFont="1" applyBorder="1" applyAlignment="1">
      <alignment vertical="center"/>
      <protection/>
    </xf>
    <xf numFmtId="0" fontId="0" fillId="0" borderId="11" xfId="0" applyBorder="1" applyAlignment="1">
      <alignment/>
    </xf>
    <xf numFmtId="0" fontId="40" fillId="0" borderId="23" xfId="66" applyFont="1" applyBorder="1" applyAlignment="1">
      <alignment vertical="center"/>
      <protection/>
    </xf>
    <xf numFmtId="0" fontId="23" fillId="0" borderId="24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40" fillId="0" borderId="24" xfId="66" applyFont="1" applyBorder="1" applyAlignment="1">
      <alignment vertical="center"/>
      <protection/>
    </xf>
    <xf numFmtId="0" fontId="40" fillId="0" borderId="19" xfId="66" applyFont="1" applyBorder="1" applyAlignment="1">
      <alignment vertical="center"/>
      <protection/>
    </xf>
    <xf numFmtId="0" fontId="23" fillId="0" borderId="18" xfId="0" applyFont="1" applyBorder="1" applyAlignment="1">
      <alignment vertical="center"/>
    </xf>
    <xf numFmtId="0" fontId="23" fillId="26" borderId="14" xfId="66" applyFont="1" applyFill="1" applyBorder="1" applyAlignment="1">
      <alignment horizontal="left" vertical="center" wrapText="1"/>
      <protection/>
    </xf>
    <xf numFmtId="0" fontId="23" fillId="26" borderId="11" xfId="66" applyFont="1" applyFill="1" applyBorder="1" applyAlignment="1">
      <alignment horizontal="left" vertical="center" wrapText="1"/>
      <protection/>
    </xf>
    <xf numFmtId="0" fontId="23" fillId="0" borderId="10" xfId="66" applyFont="1" applyBorder="1" applyAlignment="1">
      <alignment horizontal="left" vertical="center"/>
      <protection/>
    </xf>
    <xf numFmtId="3" fontId="40" fillId="0" borderId="12" xfId="46" applyNumberFormat="1" applyFont="1" applyBorder="1" applyAlignment="1">
      <alignment horizontal="center" vertical="center"/>
    </xf>
    <xf numFmtId="3" fontId="40" fillId="0" borderId="15" xfId="46" applyNumberFormat="1" applyFont="1" applyBorder="1" applyAlignment="1">
      <alignment horizontal="center" vertical="center"/>
    </xf>
    <xf numFmtId="0" fontId="23" fillId="0" borderId="24" xfId="66" applyFont="1" applyBorder="1" applyAlignment="1">
      <alignment vertical="center"/>
      <protection/>
    </xf>
    <xf numFmtId="0" fontId="23" fillId="0" borderId="20" xfId="66" applyFont="1" applyBorder="1" applyAlignment="1">
      <alignment vertical="center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ál_2001 költségvetés" xfId="62"/>
    <cellStyle name="Normál_2010.III.n.évi beszámoló" xfId="63"/>
    <cellStyle name="Normál_2013 I. félévi kv táblázatok végleges" xfId="64"/>
    <cellStyle name="Normál_2-A tábla" xfId="65"/>
    <cellStyle name="Normál_Táblázatminták üres" xfId="66"/>
    <cellStyle name="Normál_Testület 3.n.év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showZeros="0" zoomScale="82" zoomScaleNormal="82" zoomScalePageLayoutView="0" workbookViewId="0" topLeftCell="B1">
      <pane xSplit="1" ySplit="10" topLeftCell="X11" activePane="bottomRight" state="frozen"/>
      <selection pane="topLeft" activeCell="B1" sqref="B1"/>
      <selection pane="topRight" activeCell="C1" sqref="C1"/>
      <selection pane="bottomLeft" activeCell="B11" sqref="B11"/>
      <selection pane="bottomRight" activeCell="I2" sqref="I2"/>
    </sheetView>
  </sheetViews>
  <sheetFormatPr defaultColWidth="9.140625" defaultRowHeight="12.75"/>
  <cols>
    <col min="1" max="1" width="3.7109375" style="3" customWidth="1"/>
    <col min="2" max="2" width="24.7109375" style="3" customWidth="1"/>
    <col min="3" max="3" width="14.421875" style="3" customWidth="1"/>
    <col min="4" max="4" width="13.421875" style="3" customWidth="1"/>
    <col min="5" max="5" width="14.140625" style="3" customWidth="1"/>
    <col min="6" max="6" width="13.57421875" style="3" customWidth="1"/>
    <col min="7" max="7" width="12.8515625" style="3" customWidth="1"/>
    <col min="8" max="8" width="13.57421875" style="3" customWidth="1"/>
    <col min="9" max="9" width="15.140625" style="3" customWidth="1"/>
    <col min="10" max="10" width="14.7109375" style="3" customWidth="1"/>
    <col min="11" max="11" width="15.140625" style="3" customWidth="1"/>
    <col min="12" max="12" width="15.28125" style="3" customWidth="1"/>
    <col min="13" max="13" width="14.140625" style="3" customWidth="1"/>
    <col min="14" max="14" width="16.140625" style="3" customWidth="1"/>
    <col min="15" max="15" width="12.8515625" style="3" customWidth="1"/>
    <col min="16" max="16" width="14.7109375" style="3" customWidth="1"/>
    <col min="17" max="17" width="15.140625" style="3" customWidth="1"/>
    <col min="18" max="19" width="13.00390625" style="3" customWidth="1"/>
    <col min="20" max="20" width="14.28125" style="3" customWidth="1"/>
    <col min="21" max="21" width="6.28125" style="3" customWidth="1"/>
    <col min="22" max="22" width="24.7109375" style="3" customWidth="1"/>
    <col min="23" max="23" width="13.140625" style="3" customWidth="1"/>
    <col min="24" max="24" width="13.28125" style="3" customWidth="1"/>
    <col min="25" max="25" width="14.8515625" style="3" customWidth="1"/>
    <col min="26" max="26" width="12.00390625" style="3" bestFit="1" customWidth="1"/>
    <col min="27" max="27" width="12.57421875" style="3" customWidth="1"/>
    <col min="28" max="28" width="12.421875" style="3" customWidth="1"/>
    <col min="29" max="29" width="13.421875" style="3" customWidth="1"/>
    <col min="30" max="30" width="13.7109375" style="3" customWidth="1"/>
    <col min="31" max="31" width="13.28125" style="3" customWidth="1"/>
    <col min="32" max="32" width="10.7109375" style="3" customWidth="1"/>
    <col min="33" max="33" width="13.8515625" style="3" customWidth="1"/>
    <col min="34" max="34" width="13.421875" style="3" customWidth="1"/>
    <col min="35" max="35" width="15.8515625" style="3" customWidth="1"/>
    <col min="36" max="36" width="15.28125" style="3" customWidth="1"/>
    <col min="37" max="37" width="16.57421875" style="3" customWidth="1"/>
    <col min="38" max="38" width="11.00390625" style="3" customWidth="1"/>
    <col min="39" max="16384" width="9.140625" style="3" customWidth="1"/>
  </cols>
  <sheetData>
    <row r="1" spans="1:38" ht="25.5" customHeight="1">
      <c r="A1" s="1"/>
      <c r="B1" s="393"/>
      <c r="C1" s="393"/>
      <c r="D1" s="393"/>
      <c r="E1" s="393"/>
      <c r="F1" s="393"/>
      <c r="G1" s="2"/>
      <c r="H1" s="2"/>
      <c r="N1" s="394" t="s">
        <v>406</v>
      </c>
      <c r="O1" s="395"/>
      <c r="P1" s="395"/>
      <c r="Q1" s="395"/>
      <c r="R1" s="395"/>
      <c r="S1" s="395"/>
      <c r="T1" s="396"/>
      <c r="U1" s="4"/>
      <c r="X1" s="4"/>
      <c r="Y1" s="4"/>
      <c r="Z1" s="4"/>
      <c r="AA1" s="4"/>
      <c r="AB1" s="4"/>
      <c r="AC1" s="4"/>
      <c r="AD1" s="4"/>
      <c r="AE1" s="4"/>
      <c r="AF1" s="394" t="str">
        <f>N1</f>
        <v>1.sz. melléklet a 24/2018. (VIII. 31.) önkormányzati rendelethez</v>
      </c>
      <c r="AG1" s="395"/>
      <c r="AH1" s="395"/>
      <c r="AI1" s="395"/>
      <c r="AJ1" s="395"/>
      <c r="AK1" s="395"/>
      <c r="AL1" s="396"/>
    </row>
    <row r="2" spans="1:35" ht="27.75" customHeight="1">
      <c r="A2" s="1"/>
      <c r="B2" s="2"/>
      <c r="C2" s="2"/>
      <c r="D2" s="2"/>
      <c r="E2" s="2"/>
      <c r="F2" s="2"/>
      <c r="G2" s="2"/>
      <c r="H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8" ht="28.5" customHeight="1">
      <c r="A3" s="397" t="s">
        <v>212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7" t="str">
        <f>A3</f>
        <v>Békés Város  Önkormányzata és intézményei 2018. évi bevételi előirányzatainak I.  félévi teljesítése</v>
      </c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</row>
    <row r="4" ht="37.5" customHeight="1">
      <c r="A4" s="1"/>
    </row>
    <row r="5" spans="1:38" ht="12.75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/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  <c r="AI5" s="5" t="s">
        <v>32</v>
      </c>
      <c r="AJ5" s="5" t="s">
        <v>33</v>
      </c>
      <c r="AK5" s="5" t="s">
        <v>34</v>
      </c>
      <c r="AL5" s="6" t="s">
        <v>35</v>
      </c>
    </row>
    <row r="6" spans="1:38" ht="19.5" customHeight="1">
      <c r="A6" s="7">
        <v>1</v>
      </c>
      <c r="R6" s="8"/>
      <c r="S6" s="8"/>
      <c r="T6" s="8" t="s">
        <v>36</v>
      </c>
      <c r="U6" s="7">
        <f aca="true" t="shared" si="0" ref="U6:V21">A6</f>
        <v>1</v>
      </c>
      <c r="AJ6" s="391" t="s">
        <v>37</v>
      </c>
      <c r="AK6" s="392"/>
      <c r="AL6" s="392"/>
    </row>
    <row r="7" spans="1:38" ht="19.5" customHeight="1">
      <c r="A7" s="9">
        <f aca="true" t="shared" si="1" ref="A7:A18">A6+1</f>
        <v>2</v>
      </c>
      <c r="B7" s="399" t="s">
        <v>38</v>
      </c>
      <c r="C7" s="400" t="s">
        <v>39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1" t="s">
        <v>40</v>
      </c>
      <c r="S7" s="402"/>
      <c r="T7" s="403"/>
      <c r="U7" s="10">
        <f t="shared" si="0"/>
        <v>2</v>
      </c>
      <c r="V7" s="410" t="s">
        <v>38</v>
      </c>
      <c r="W7" s="413" t="s">
        <v>41</v>
      </c>
      <c r="X7" s="414"/>
      <c r="Y7" s="414"/>
      <c r="Z7" s="414"/>
      <c r="AA7" s="414"/>
      <c r="AB7" s="415"/>
      <c r="AC7" s="413" t="s">
        <v>42</v>
      </c>
      <c r="AD7" s="416"/>
      <c r="AE7" s="417"/>
      <c r="AF7" s="413" t="s">
        <v>43</v>
      </c>
      <c r="AG7" s="418"/>
      <c r="AH7" s="418"/>
      <c r="AI7" s="400" t="s">
        <v>44</v>
      </c>
      <c r="AJ7" s="400"/>
      <c r="AK7" s="400"/>
      <c r="AL7" s="400"/>
    </row>
    <row r="8" spans="1:38" ht="18.75" customHeight="1">
      <c r="A8" s="9">
        <f t="shared" si="1"/>
        <v>3</v>
      </c>
      <c r="B8" s="399"/>
      <c r="C8" s="400" t="s">
        <v>45</v>
      </c>
      <c r="D8" s="400"/>
      <c r="E8" s="400"/>
      <c r="F8" s="400" t="s">
        <v>46</v>
      </c>
      <c r="G8" s="400"/>
      <c r="H8" s="400"/>
      <c r="I8" s="400" t="s">
        <v>47</v>
      </c>
      <c r="J8" s="400"/>
      <c r="K8" s="400"/>
      <c r="L8" s="400"/>
      <c r="M8" s="400"/>
      <c r="N8" s="400"/>
      <c r="O8" s="400" t="s">
        <v>48</v>
      </c>
      <c r="P8" s="400"/>
      <c r="Q8" s="400"/>
      <c r="R8" s="404"/>
      <c r="S8" s="405"/>
      <c r="T8" s="406"/>
      <c r="U8" s="7">
        <f t="shared" si="0"/>
        <v>3</v>
      </c>
      <c r="V8" s="411"/>
      <c r="W8" s="401" t="s">
        <v>49</v>
      </c>
      <c r="X8" s="402"/>
      <c r="Y8" s="403"/>
      <c r="Z8" s="401" t="s">
        <v>50</v>
      </c>
      <c r="AA8" s="402"/>
      <c r="AB8" s="403"/>
      <c r="AC8" s="401" t="s">
        <v>51</v>
      </c>
      <c r="AD8" s="402"/>
      <c r="AE8" s="403"/>
      <c r="AF8" s="401" t="s">
        <v>52</v>
      </c>
      <c r="AG8" s="422"/>
      <c r="AH8" s="422"/>
      <c r="AI8" s="400"/>
      <c r="AJ8" s="400"/>
      <c r="AK8" s="400"/>
      <c r="AL8" s="400"/>
    </row>
    <row r="9" spans="1:38" ht="17.25" customHeight="1">
      <c r="A9" s="9">
        <f t="shared" si="1"/>
        <v>4</v>
      </c>
      <c r="B9" s="399"/>
      <c r="C9" s="400"/>
      <c r="D9" s="400"/>
      <c r="E9" s="400"/>
      <c r="F9" s="400"/>
      <c r="G9" s="400"/>
      <c r="H9" s="400"/>
      <c r="I9" s="400" t="s">
        <v>53</v>
      </c>
      <c r="J9" s="400"/>
      <c r="K9" s="400"/>
      <c r="L9" s="400" t="s">
        <v>54</v>
      </c>
      <c r="M9" s="400"/>
      <c r="N9" s="400"/>
      <c r="O9" s="400"/>
      <c r="P9" s="400"/>
      <c r="Q9" s="400"/>
      <c r="R9" s="407"/>
      <c r="S9" s="408"/>
      <c r="T9" s="409"/>
      <c r="U9" s="10">
        <f t="shared" si="0"/>
        <v>4</v>
      </c>
      <c r="V9" s="411"/>
      <c r="W9" s="419"/>
      <c r="X9" s="420"/>
      <c r="Y9" s="421"/>
      <c r="Z9" s="419"/>
      <c r="AA9" s="420"/>
      <c r="AB9" s="421"/>
      <c r="AC9" s="419"/>
      <c r="AD9" s="420"/>
      <c r="AE9" s="421"/>
      <c r="AF9" s="423"/>
      <c r="AG9" s="424"/>
      <c r="AH9" s="424"/>
      <c r="AI9" s="400"/>
      <c r="AJ9" s="400"/>
      <c r="AK9" s="400"/>
      <c r="AL9" s="400"/>
    </row>
    <row r="10" spans="1:38" ht="129.75" customHeight="1">
      <c r="A10" s="9">
        <f t="shared" si="1"/>
        <v>5</v>
      </c>
      <c r="B10" s="399"/>
      <c r="C10" s="11" t="s">
        <v>55</v>
      </c>
      <c r="D10" s="11" t="s">
        <v>56</v>
      </c>
      <c r="E10" s="11" t="s">
        <v>57</v>
      </c>
      <c r="F10" s="11" t="s">
        <v>55</v>
      </c>
      <c r="G10" s="11" t="s">
        <v>56</v>
      </c>
      <c r="H10" s="11" t="s">
        <v>57</v>
      </c>
      <c r="I10" s="11" t="s">
        <v>55</v>
      </c>
      <c r="J10" s="11" t="s">
        <v>56</v>
      </c>
      <c r="K10" s="11" t="s">
        <v>57</v>
      </c>
      <c r="L10" s="11" t="s">
        <v>55</v>
      </c>
      <c r="M10" s="11" t="s">
        <v>56</v>
      </c>
      <c r="N10" s="11" t="s">
        <v>57</v>
      </c>
      <c r="O10" s="11" t="s">
        <v>55</v>
      </c>
      <c r="P10" s="11" t="s">
        <v>56</v>
      </c>
      <c r="Q10" s="11" t="s">
        <v>57</v>
      </c>
      <c r="R10" s="11" t="s">
        <v>55</v>
      </c>
      <c r="S10" s="11" t="s">
        <v>56</v>
      </c>
      <c r="T10" s="11" t="s">
        <v>58</v>
      </c>
      <c r="U10" s="7">
        <f t="shared" si="0"/>
        <v>5</v>
      </c>
      <c r="V10" s="412"/>
      <c r="W10" s="11" t="s">
        <v>55</v>
      </c>
      <c r="X10" s="11" t="s">
        <v>56</v>
      </c>
      <c r="Y10" s="11" t="s">
        <v>57</v>
      </c>
      <c r="Z10" s="11" t="s">
        <v>55</v>
      </c>
      <c r="AA10" s="11" t="s">
        <v>56</v>
      </c>
      <c r="AB10" s="11" t="s">
        <v>57</v>
      </c>
      <c r="AC10" s="11" t="s">
        <v>55</v>
      </c>
      <c r="AD10" s="11" t="s">
        <v>56</v>
      </c>
      <c r="AE10" s="11" t="s">
        <v>57</v>
      </c>
      <c r="AF10" s="11" t="s">
        <v>55</v>
      </c>
      <c r="AG10" s="11" t="s">
        <v>56</v>
      </c>
      <c r="AH10" s="11" t="s">
        <v>57</v>
      </c>
      <c r="AI10" s="11" t="s">
        <v>55</v>
      </c>
      <c r="AJ10" s="11" t="s">
        <v>56</v>
      </c>
      <c r="AK10" s="11" t="s">
        <v>57</v>
      </c>
      <c r="AL10" s="11" t="s">
        <v>59</v>
      </c>
    </row>
    <row r="11" spans="1:38" ht="44.25" customHeight="1">
      <c r="A11" s="9">
        <f t="shared" si="1"/>
        <v>6</v>
      </c>
      <c r="B11" s="12" t="s">
        <v>60</v>
      </c>
      <c r="C11" s="13">
        <v>85800000</v>
      </c>
      <c r="D11" s="13">
        <v>85800000</v>
      </c>
      <c r="E11" s="13">
        <v>48196667</v>
      </c>
      <c r="F11" s="13">
        <v>0</v>
      </c>
      <c r="G11" s="13"/>
      <c r="H11" s="13"/>
      <c r="I11" s="13"/>
      <c r="J11" s="13"/>
      <c r="K11" s="13"/>
      <c r="L11" s="13">
        <v>62784000</v>
      </c>
      <c r="M11" s="13">
        <v>64695595</v>
      </c>
      <c r="N11" s="13">
        <v>29137785</v>
      </c>
      <c r="O11" s="13">
        <v>431455000</v>
      </c>
      <c r="P11" s="13">
        <v>525028791</v>
      </c>
      <c r="Q11" s="13">
        <v>320466091</v>
      </c>
      <c r="R11" s="217"/>
      <c r="S11" s="217">
        <f>72656604-AD11</f>
        <v>66306604</v>
      </c>
      <c r="T11" s="217">
        <f>72656604-AE11</f>
        <v>66306604</v>
      </c>
      <c r="U11" s="10">
        <f t="shared" si="0"/>
        <v>6</v>
      </c>
      <c r="V11" s="244" t="s">
        <v>60</v>
      </c>
      <c r="W11" s="217"/>
      <c r="X11" s="217"/>
      <c r="Y11" s="217"/>
      <c r="Z11" s="217"/>
      <c r="AA11" s="217"/>
      <c r="AB11" s="217"/>
      <c r="AC11" s="217"/>
      <c r="AD11" s="217">
        <v>6350000</v>
      </c>
      <c r="AE11" s="217">
        <v>6350000</v>
      </c>
      <c r="AF11" s="13"/>
      <c r="AG11" s="13"/>
      <c r="AH11" s="13"/>
      <c r="AI11" s="15">
        <f>C11+F11+I11+L11+O11+R11+W11+Z11+AC11+AF11</f>
        <v>580039000</v>
      </c>
      <c r="AJ11" s="15">
        <f>SUM(D11+G11+J11+M11+P11+S11+X11+AA11+AD11+AG11)</f>
        <v>748180990</v>
      </c>
      <c r="AK11" s="15">
        <f>SUM(E11+H11+K11+N11+Q11+T11+Y11+AB11+AE11+AH11)</f>
        <v>470457147</v>
      </c>
      <c r="AL11" s="209">
        <f>AK11/AJ11</f>
        <v>0.6288012570327401</v>
      </c>
    </row>
    <row r="12" spans="1:38" ht="44.25" customHeight="1">
      <c r="A12" s="9">
        <f t="shared" si="1"/>
        <v>7</v>
      </c>
      <c r="B12" s="12" t="s">
        <v>61</v>
      </c>
      <c r="C12" s="13">
        <v>42800000</v>
      </c>
      <c r="D12" s="13">
        <v>42800000</v>
      </c>
      <c r="E12" s="13">
        <v>23246861</v>
      </c>
      <c r="F12" s="13"/>
      <c r="G12" s="13"/>
      <c r="H12" s="13"/>
      <c r="I12" s="17"/>
      <c r="J12" s="13"/>
      <c r="K12" s="13"/>
      <c r="L12" s="13">
        <v>69318695</v>
      </c>
      <c r="M12" s="13">
        <v>69769338</v>
      </c>
      <c r="N12" s="13">
        <v>38989791</v>
      </c>
      <c r="O12" s="13"/>
      <c r="P12" s="13">
        <f>42569598+150000</f>
        <v>42719598</v>
      </c>
      <c r="Q12" s="13">
        <f>42569598+150000</f>
        <v>42719598</v>
      </c>
      <c r="R12" s="217">
        <v>570000</v>
      </c>
      <c r="S12" s="217">
        <v>14119036</v>
      </c>
      <c r="T12" s="217">
        <v>14119036</v>
      </c>
      <c r="U12" s="7">
        <f t="shared" si="0"/>
        <v>7</v>
      </c>
      <c r="V12" s="244" t="str">
        <f t="shared" si="0"/>
        <v>Kecskeméti Gábor Kulturális Központ</v>
      </c>
      <c r="W12" s="217"/>
      <c r="X12" s="217"/>
      <c r="Y12" s="217"/>
      <c r="Z12" s="217"/>
      <c r="AA12" s="217"/>
      <c r="AB12" s="217"/>
      <c r="AC12" s="217"/>
      <c r="AD12" s="217"/>
      <c r="AE12" s="217"/>
      <c r="AF12" s="13"/>
      <c r="AG12" s="13"/>
      <c r="AH12" s="13"/>
      <c r="AI12" s="15">
        <f>C12+F12+I12+L12+O12+R12+W12+Z12+AC12+AF12</f>
        <v>112688695</v>
      </c>
      <c r="AJ12" s="15">
        <f aca="true" t="shared" si="2" ref="AJ12:AK18">SUM(D12+G12+J12+M12+P12+S12+X12+AA12+AD12+AG12)</f>
        <v>169407972</v>
      </c>
      <c r="AK12" s="15">
        <f t="shared" si="2"/>
        <v>119075286</v>
      </c>
      <c r="AL12" s="209">
        <f aca="true" t="shared" si="3" ref="AL12:AL18">AK12/AJ12</f>
        <v>0.702890688048612</v>
      </c>
    </row>
    <row r="13" spans="1:38" ht="34.5" customHeight="1">
      <c r="A13" s="9">
        <f t="shared" si="1"/>
        <v>8</v>
      </c>
      <c r="B13" s="12" t="s">
        <v>62</v>
      </c>
      <c r="C13" s="13">
        <v>1450000</v>
      </c>
      <c r="D13" s="13">
        <v>1561151</v>
      </c>
      <c r="E13" s="13">
        <v>1670845</v>
      </c>
      <c r="F13" s="13"/>
      <c r="G13" s="13"/>
      <c r="H13" s="13"/>
      <c r="I13" s="17"/>
      <c r="J13" s="13"/>
      <c r="K13" s="13"/>
      <c r="L13" s="13">
        <v>18968000</v>
      </c>
      <c r="M13" s="13">
        <v>19140377</v>
      </c>
      <c r="N13" s="13">
        <v>9603385</v>
      </c>
      <c r="O13" s="13"/>
      <c r="P13" s="13">
        <v>936831</v>
      </c>
      <c r="Q13" s="13">
        <v>936831</v>
      </c>
      <c r="R13" s="217">
        <v>1185000</v>
      </c>
      <c r="S13" s="217">
        <v>4633898</v>
      </c>
      <c r="T13" s="217">
        <v>4633898</v>
      </c>
      <c r="U13" s="10">
        <f t="shared" si="0"/>
        <v>8</v>
      </c>
      <c r="V13" s="244" t="str">
        <f t="shared" si="0"/>
        <v>Jantyik Mátyás Múzeum</v>
      </c>
      <c r="W13" s="217"/>
      <c r="X13" s="217"/>
      <c r="Y13" s="217"/>
      <c r="Z13" s="217"/>
      <c r="AA13" s="217"/>
      <c r="AB13" s="217"/>
      <c r="AC13" s="217"/>
      <c r="AD13" s="217"/>
      <c r="AE13" s="217"/>
      <c r="AF13" s="13"/>
      <c r="AG13" s="13"/>
      <c r="AH13" s="13"/>
      <c r="AI13" s="15">
        <f>C13+F13+I13+L13+O13+R13+W13+Z13+AC13+AF13</f>
        <v>21603000</v>
      </c>
      <c r="AJ13" s="15">
        <f t="shared" si="2"/>
        <v>26272257</v>
      </c>
      <c r="AK13" s="15">
        <f t="shared" si="2"/>
        <v>16844959</v>
      </c>
      <c r="AL13" s="209">
        <f t="shared" si="3"/>
        <v>0.641169085701316</v>
      </c>
    </row>
    <row r="14" spans="1:38" ht="30" customHeight="1">
      <c r="A14" s="9">
        <f t="shared" si="1"/>
        <v>9</v>
      </c>
      <c r="B14" s="18" t="s">
        <v>63</v>
      </c>
      <c r="C14" s="13">
        <v>1585000</v>
      </c>
      <c r="D14" s="13">
        <v>1585000</v>
      </c>
      <c r="E14" s="13">
        <v>1014160</v>
      </c>
      <c r="F14" s="13"/>
      <c r="G14" s="13"/>
      <c r="H14" s="13"/>
      <c r="I14" s="17"/>
      <c r="J14" s="13"/>
      <c r="K14" s="13"/>
      <c r="L14" s="13">
        <v>31017000</v>
      </c>
      <c r="M14" s="13">
        <v>31293315</v>
      </c>
      <c r="N14" s="13">
        <v>16554142</v>
      </c>
      <c r="O14" s="13"/>
      <c r="P14" s="13">
        <v>33502842</v>
      </c>
      <c r="Q14" s="13">
        <v>33502842</v>
      </c>
      <c r="R14" s="217">
        <v>626000</v>
      </c>
      <c r="S14" s="217">
        <f>1763784-AD14</f>
        <v>1445784</v>
      </c>
      <c r="T14" s="217">
        <f>1763784-AE14</f>
        <v>1445784</v>
      </c>
      <c r="U14" s="7">
        <f t="shared" si="0"/>
        <v>9</v>
      </c>
      <c r="V14" s="245" t="str">
        <f t="shared" si="0"/>
        <v>Püski Sándor Könyvtár</v>
      </c>
      <c r="W14" s="217"/>
      <c r="X14" s="217"/>
      <c r="Y14" s="217"/>
      <c r="Z14" s="217"/>
      <c r="AA14" s="217"/>
      <c r="AB14" s="217"/>
      <c r="AC14" s="217"/>
      <c r="AD14" s="217">
        <v>318000</v>
      </c>
      <c r="AE14" s="217">
        <v>318000</v>
      </c>
      <c r="AF14" s="13"/>
      <c r="AG14" s="13"/>
      <c r="AH14" s="13"/>
      <c r="AI14" s="15">
        <f>C14+F14+I14+L14+O14+R14+W14+Z14+AC14+AF14</f>
        <v>33228000</v>
      </c>
      <c r="AJ14" s="15">
        <f t="shared" si="2"/>
        <v>68144941</v>
      </c>
      <c r="AK14" s="15">
        <f t="shared" si="2"/>
        <v>52834928</v>
      </c>
      <c r="AL14" s="209">
        <f t="shared" si="3"/>
        <v>0.7753316273323944</v>
      </c>
    </row>
    <row r="15" spans="1:39" ht="34.5" customHeight="1">
      <c r="A15" s="9" t="e">
        <f>#REF!+1</f>
        <v>#REF!</v>
      </c>
      <c r="B15" s="22" t="s">
        <v>64</v>
      </c>
      <c r="C15" s="15">
        <f aca="true" t="shared" si="4" ref="C15:H15">SUM(C11:C14)</f>
        <v>131635000</v>
      </c>
      <c r="D15" s="15">
        <f t="shared" si="4"/>
        <v>131746151</v>
      </c>
      <c r="E15" s="15">
        <f t="shared" si="4"/>
        <v>74128533</v>
      </c>
      <c r="F15" s="15">
        <f t="shared" si="4"/>
        <v>0</v>
      </c>
      <c r="G15" s="15">
        <f t="shared" si="4"/>
        <v>0</v>
      </c>
      <c r="H15" s="15">
        <f t="shared" si="4"/>
        <v>0</v>
      </c>
      <c r="I15" s="15">
        <f aca="true" t="shared" si="5" ref="I15:T15">SUM(I11:I14)</f>
        <v>0</v>
      </c>
      <c r="J15" s="15">
        <f t="shared" si="5"/>
        <v>0</v>
      </c>
      <c r="K15" s="15">
        <f t="shared" si="5"/>
        <v>0</v>
      </c>
      <c r="L15" s="15">
        <f t="shared" si="5"/>
        <v>182087695</v>
      </c>
      <c r="M15" s="15">
        <f t="shared" si="5"/>
        <v>184898625</v>
      </c>
      <c r="N15" s="15">
        <f t="shared" si="5"/>
        <v>94285103</v>
      </c>
      <c r="O15" s="15">
        <f>SUM(O11:O14)</f>
        <v>431455000</v>
      </c>
      <c r="P15" s="15">
        <f>SUM(P11:P14)</f>
        <v>602188062</v>
      </c>
      <c r="Q15" s="15">
        <f>SUM(Q11:Q14)</f>
        <v>397625362</v>
      </c>
      <c r="R15" s="243">
        <f t="shared" si="5"/>
        <v>2381000</v>
      </c>
      <c r="S15" s="243">
        <f t="shared" si="5"/>
        <v>86505322</v>
      </c>
      <c r="T15" s="243">
        <f t="shared" si="5"/>
        <v>86505322</v>
      </c>
      <c r="U15" s="10">
        <v>10</v>
      </c>
      <c r="V15" s="246" t="str">
        <f t="shared" si="0"/>
        <v>Költségvetési szervek összesen:</v>
      </c>
      <c r="W15" s="243">
        <f aca="true" t="shared" si="6" ref="W15:AH15">SUM(W11:W14)</f>
        <v>0</v>
      </c>
      <c r="X15" s="243">
        <f t="shared" si="6"/>
        <v>0</v>
      </c>
      <c r="Y15" s="243">
        <f t="shared" si="6"/>
        <v>0</v>
      </c>
      <c r="Z15" s="243">
        <f t="shared" si="6"/>
        <v>0</v>
      </c>
      <c r="AA15" s="243">
        <f t="shared" si="6"/>
        <v>0</v>
      </c>
      <c r="AB15" s="243">
        <f t="shared" si="6"/>
        <v>0</v>
      </c>
      <c r="AC15" s="243">
        <f t="shared" si="6"/>
        <v>0</v>
      </c>
      <c r="AD15" s="243">
        <f t="shared" si="6"/>
        <v>6668000</v>
      </c>
      <c r="AE15" s="243">
        <f t="shared" si="6"/>
        <v>6668000</v>
      </c>
      <c r="AF15" s="15">
        <f t="shared" si="6"/>
        <v>0</v>
      </c>
      <c r="AG15" s="15">
        <f t="shared" si="6"/>
        <v>0</v>
      </c>
      <c r="AH15" s="15">
        <f t="shared" si="6"/>
        <v>0</v>
      </c>
      <c r="AI15" s="15">
        <f>SUM(C15+F15+I15+L15+O15+R15+W15+Z15+AC15+AF15)</f>
        <v>747558695</v>
      </c>
      <c r="AJ15" s="15">
        <f t="shared" si="2"/>
        <v>1012006160</v>
      </c>
      <c r="AK15" s="15">
        <f t="shared" si="2"/>
        <v>659212320</v>
      </c>
      <c r="AL15" s="209">
        <f t="shared" si="3"/>
        <v>0.6513916081301323</v>
      </c>
      <c r="AM15" s="3" t="s">
        <v>171</v>
      </c>
    </row>
    <row r="16" spans="1:39" ht="34.5" customHeight="1">
      <c r="A16" s="9" t="e">
        <f t="shared" si="1"/>
        <v>#REF!</v>
      </c>
      <c r="B16" s="24" t="s">
        <v>65</v>
      </c>
      <c r="C16" s="13">
        <v>129343000</v>
      </c>
      <c r="D16" s="13">
        <v>129343000</v>
      </c>
      <c r="E16" s="13">
        <v>72243585</v>
      </c>
      <c r="F16" s="13"/>
      <c r="G16" s="13"/>
      <c r="H16" s="13"/>
      <c r="I16" s="13"/>
      <c r="J16" s="13"/>
      <c r="K16" s="13"/>
      <c r="L16" s="13">
        <v>415093000</v>
      </c>
      <c r="M16" s="13">
        <v>415895341</v>
      </c>
      <c r="N16" s="13">
        <v>183956689</v>
      </c>
      <c r="O16" s="13"/>
      <c r="P16" s="13">
        <v>5762206</v>
      </c>
      <c r="Q16" s="13">
        <v>5762206</v>
      </c>
      <c r="R16" s="217">
        <v>2000000</v>
      </c>
      <c r="S16" s="217">
        <f>12049923-AD16</f>
        <v>7641312</v>
      </c>
      <c r="T16" s="217">
        <f>12049923-AE16</f>
        <v>7641312</v>
      </c>
      <c r="U16" s="7">
        <v>11</v>
      </c>
      <c r="V16" s="245" t="str">
        <f t="shared" si="0"/>
        <v>Polgármesteri Hivatal</v>
      </c>
      <c r="W16" s="217"/>
      <c r="X16" s="217"/>
      <c r="Y16" s="217"/>
      <c r="Z16" s="217"/>
      <c r="AA16" s="217"/>
      <c r="AB16" s="217"/>
      <c r="AC16" s="217"/>
      <c r="AD16" s="217">
        <v>4408611</v>
      </c>
      <c r="AE16" s="217">
        <v>4408611</v>
      </c>
      <c r="AF16" s="13"/>
      <c r="AG16" s="13"/>
      <c r="AH16" s="13"/>
      <c r="AI16" s="15">
        <f>SUM(C16+F16+I16+L16+O16+R16+W16+Z16+AC16+AF16)</f>
        <v>546436000</v>
      </c>
      <c r="AJ16" s="15">
        <f t="shared" si="2"/>
        <v>563050470</v>
      </c>
      <c r="AK16" s="15">
        <f t="shared" si="2"/>
        <v>274012403</v>
      </c>
      <c r="AL16" s="209">
        <f t="shared" si="3"/>
        <v>0.4866569119460996</v>
      </c>
      <c r="AM16" s="3" t="s">
        <v>171</v>
      </c>
    </row>
    <row r="17" spans="1:38" ht="34.5" customHeight="1">
      <c r="A17" s="9" t="e">
        <f t="shared" si="1"/>
        <v>#REF!</v>
      </c>
      <c r="B17" s="24" t="s">
        <v>66</v>
      </c>
      <c r="C17" s="13">
        <v>156578451</v>
      </c>
      <c r="D17" s="13">
        <v>180153882</v>
      </c>
      <c r="E17" s="13">
        <v>82316488</v>
      </c>
      <c r="F17" s="13">
        <v>576988000</v>
      </c>
      <c r="G17" s="13">
        <v>576988000</v>
      </c>
      <c r="H17" s="13">
        <v>228736425</v>
      </c>
      <c r="I17" s="13">
        <v>1236512540</v>
      </c>
      <c r="J17" s="13">
        <v>1266757054</v>
      </c>
      <c r="K17" s="13">
        <v>673212067</v>
      </c>
      <c r="L17" s="13">
        <v>-597180695</v>
      </c>
      <c r="M17" s="13">
        <v>-600793966</v>
      </c>
      <c r="N17" s="13">
        <v>-278241792</v>
      </c>
      <c r="O17" s="13">
        <f>279373000+64276455</f>
        <v>343649455</v>
      </c>
      <c r="P17" s="13">
        <f>281645078+64276455</f>
        <v>345921533</v>
      </c>
      <c r="Q17" s="13">
        <f>105031407+7130230</f>
        <v>112161637</v>
      </c>
      <c r="R17" s="383">
        <f>1446434433-AC17</f>
        <v>158691782</v>
      </c>
      <c r="S17" s="383">
        <v>158691782</v>
      </c>
      <c r="T17" s="383">
        <v>158691782</v>
      </c>
      <c r="U17" s="10">
        <v>12</v>
      </c>
      <c r="V17" s="19" t="str">
        <f t="shared" si="0"/>
        <v>Önkormányzat </v>
      </c>
      <c r="W17" s="13">
        <v>25573000</v>
      </c>
      <c r="X17" s="217">
        <f>53560418+25573000</f>
        <v>79133418</v>
      </c>
      <c r="Y17" s="217">
        <f>1750575261+7035405</f>
        <v>1757610666</v>
      </c>
      <c r="Z17" s="13">
        <v>106714000</v>
      </c>
      <c r="AA17" s="13">
        <v>106714000</v>
      </c>
      <c r="AB17" s="13">
        <v>1018994</v>
      </c>
      <c r="AC17" s="383">
        <v>1287742651</v>
      </c>
      <c r="AD17" s="383">
        <v>1555753757</v>
      </c>
      <c r="AE17" s="383">
        <v>1555753757</v>
      </c>
      <c r="AF17" s="13">
        <v>0</v>
      </c>
      <c r="AG17" s="13">
        <f>250000000+43564698</f>
        <v>293564698</v>
      </c>
      <c r="AH17" s="13">
        <v>43564698</v>
      </c>
      <c r="AI17" s="15">
        <f>SUM(C17+F17+I17+L17+O17+R17+W17+Z17+AC17+AF17)</f>
        <v>3295269184</v>
      </c>
      <c r="AJ17" s="15">
        <f>SUM(D17+G17+J17+M17+P17+S17+X17+AA17+AD17+AG17)</f>
        <v>3962884158</v>
      </c>
      <c r="AK17" s="15">
        <f>SUM(E17+H17+K17+N17+Q17+T17+Y17+AB17+AE17+AH17)</f>
        <v>4334824722</v>
      </c>
      <c r="AL17" s="209">
        <f t="shared" si="3"/>
        <v>1.0938560273706592</v>
      </c>
    </row>
    <row r="18" spans="1:38" ht="34.5" customHeight="1">
      <c r="A18" s="9" t="e">
        <f t="shared" si="1"/>
        <v>#REF!</v>
      </c>
      <c r="B18" s="22" t="s">
        <v>67</v>
      </c>
      <c r="C18" s="15">
        <f aca="true" t="shared" si="7" ref="C18:T18">SUM(C15:C17)</f>
        <v>417556451</v>
      </c>
      <c r="D18" s="15">
        <f t="shared" si="7"/>
        <v>441243033</v>
      </c>
      <c r="E18" s="15">
        <f t="shared" si="7"/>
        <v>228688606</v>
      </c>
      <c r="F18" s="15">
        <f t="shared" si="7"/>
        <v>576988000</v>
      </c>
      <c r="G18" s="15">
        <f t="shared" si="7"/>
        <v>576988000</v>
      </c>
      <c r="H18" s="15">
        <f t="shared" si="7"/>
        <v>228736425</v>
      </c>
      <c r="I18" s="15">
        <f t="shared" si="7"/>
        <v>1236512540</v>
      </c>
      <c r="J18" s="15">
        <f t="shared" si="7"/>
        <v>1266757054</v>
      </c>
      <c r="K18" s="15">
        <f t="shared" si="7"/>
        <v>673212067</v>
      </c>
      <c r="L18" s="15">
        <f t="shared" si="7"/>
        <v>0</v>
      </c>
      <c r="M18" s="15">
        <f t="shared" si="7"/>
        <v>0</v>
      </c>
      <c r="N18" s="15">
        <f t="shared" si="7"/>
        <v>0</v>
      </c>
      <c r="O18" s="243">
        <f t="shared" si="7"/>
        <v>775104455</v>
      </c>
      <c r="P18" s="243">
        <f t="shared" si="7"/>
        <v>953871801</v>
      </c>
      <c r="Q18" s="243">
        <f t="shared" si="7"/>
        <v>515549205</v>
      </c>
      <c r="R18" s="15">
        <f t="shared" si="7"/>
        <v>163072782</v>
      </c>
      <c r="S18" s="15">
        <f t="shared" si="7"/>
        <v>252838416</v>
      </c>
      <c r="T18" s="15">
        <f t="shared" si="7"/>
        <v>252838416</v>
      </c>
      <c r="U18" s="7">
        <v>13</v>
      </c>
      <c r="V18" s="23" t="str">
        <f t="shared" si="0"/>
        <v>Békés Város mindösszesen:</v>
      </c>
      <c r="W18" s="243">
        <f aca="true" t="shared" si="8" ref="W18:AH18">SUM(W15:W17)</f>
        <v>25573000</v>
      </c>
      <c r="X18" s="243">
        <f t="shared" si="8"/>
        <v>79133418</v>
      </c>
      <c r="Y18" s="243">
        <f t="shared" si="8"/>
        <v>1757610666</v>
      </c>
      <c r="Z18" s="15">
        <f t="shared" si="8"/>
        <v>106714000</v>
      </c>
      <c r="AA18" s="15">
        <f t="shared" si="8"/>
        <v>106714000</v>
      </c>
      <c r="AB18" s="15">
        <f t="shared" si="8"/>
        <v>1018994</v>
      </c>
      <c r="AC18" s="15">
        <f t="shared" si="8"/>
        <v>1287742651</v>
      </c>
      <c r="AD18" s="15">
        <f t="shared" si="8"/>
        <v>1566830368</v>
      </c>
      <c r="AE18" s="15">
        <f t="shared" si="8"/>
        <v>1566830368</v>
      </c>
      <c r="AF18" s="15">
        <f t="shared" si="8"/>
        <v>0</v>
      </c>
      <c r="AG18" s="15">
        <f t="shared" si="8"/>
        <v>293564698</v>
      </c>
      <c r="AH18" s="15">
        <f t="shared" si="8"/>
        <v>43564698</v>
      </c>
      <c r="AI18" s="15">
        <f>SUM(C18+F18+I18+L18+O18+R18+W18+Z18+AC18+AF18)</f>
        <v>4589263879</v>
      </c>
      <c r="AJ18" s="15">
        <f t="shared" si="2"/>
        <v>5537940788</v>
      </c>
      <c r="AK18" s="15">
        <f t="shared" si="2"/>
        <v>5268049445</v>
      </c>
      <c r="AL18" s="209">
        <f t="shared" si="3"/>
        <v>0.9512650363498253</v>
      </c>
    </row>
    <row r="19" spans="1:38" ht="44.25" customHeight="1" hidden="1">
      <c r="A19" s="9"/>
      <c r="B19" s="12" t="str">
        <f>B11</f>
        <v>Gyógyászati Központ és Gyógyfürdő</v>
      </c>
      <c r="C19" s="13"/>
      <c r="D19" s="13"/>
      <c r="E19" s="202">
        <f>E11/D11</f>
        <v>0.5617327156177156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0">
        <f t="shared" si="0"/>
        <v>0</v>
      </c>
      <c r="V19" s="14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6"/>
    </row>
    <row r="20" spans="1:38" ht="44.25" customHeight="1" hidden="1">
      <c r="A20" s="9"/>
      <c r="B20" s="12" t="str">
        <f>B12</f>
        <v>Kecskeméti Gábor Kulturális Központ</v>
      </c>
      <c r="C20" s="13"/>
      <c r="D20" s="13"/>
      <c r="E20" s="202">
        <f>E12/D12</f>
        <v>0.5431509579439252</v>
      </c>
      <c r="F20" s="13"/>
      <c r="G20" s="13"/>
      <c r="H20" s="13"/>
      <c r="I20" s="1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7">
        <f t="shared" si="0"/>
        <v>0</v>
      </c>
      <c r="V20" s="14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5"/>
      <c r="AJ20" s="15"/>
      <c r="AK20" s="15"/>
      <c r="AL20" s="16"/>
    </row>
    <row r="21" spans="1:38" ht="34.5" customHeight="1" hidden="1">
      <c r="A21" s="9"/>
      <c r="B21" s="12" t="str">
        <f>B13</f>
        <v>Jantyik Mátyás Múzeum</v>
      </c>
      <c r="C21" s="13"/>
      <c r="D21" s="13"/>
      <c r="E21" s="202">
        <f>E13/D13</f>
        <v>1.070264823838309</v>
      </c>
      <c r="F21" s="13"/>
      <c r="G21" s="13"/>
      <c r="H21" s="13"/>
      <c r="I21" s="1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>
        <f t="shared" si="0"/>
        <v>0</v>
      </c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15"/>
      <c r="AK21" s="15"/>
      <c r="AL21" s="16"/>
    </row>
    <row r="22" spans="1:38" ht="30" customHeight="1" hidden="1">
      <c r="A22" s="9"/>
      <c r="B22" s="12" t="str">
        <f>B14</f>
        <v>Püski Sándor Könyvtár</v>
      </c>
      <c r="C22" s="13"/>
      <c r="D22" s="13"/>
      <c r="E22" s="202">
        <f>E14/D14</f>
        <v>0.6398485804416404</v>
      </c>
      <c r="F22" s="13"/>
      <c r="G22" s="13"/>
      <c r="H22" s="13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7">
        <f aca="true" t="shared" si="9" ref="U22:U28">A22</f>
        <v>0</v>
      </c>
      <c r="V22" s="19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5"/>
      <c r="AL22" s="16"/>
    </row>
    <row r="23" spans="1:38" ht="34.5" customHeight="1" hidden="1">
      <c r="A23" s="9"/>
      <c r="B23" s="12" t="e">
        <f>#REF!</f>
        <v>#REF!</v>
      </c>
      <c r="C23" s="13"/>
      <c r="D23" s="13"/>
      <c r="E23" s="202" t="e">
        <f>#REF!/#REF!</f>
        <v>#REF!</v>
      </c>
      <c r="F23" s="13"/>
      <c r="G23" s="13"/>
      <c r="H23" s="13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>
        <f t="shared" si="9"/>
        <v>0</v>
      </c>
      <c r="V23" s="19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5"/>
      <c r="AJ23" s="15"/>
      <c r="AK23" s="15"/>
      <c r="AL23" s="16"/>
    </row>
    <row r="24" spans="1:38" ht="34.5" customHeight="1" hidden="1">
      <c r="A24" s="9"/>
      <c r="B24" s="12" t="e">
        <f>#REF!</f>
        <v>#REF!</v>
      </c>
      <c r="C24" s="20"/>
      <c r="D24" s="20"/>
      <c r="E24" s="202"/>
      <c r="F24" s="20"/>
      <c r="G24" s="20"/>
      <c r="H24" s="20"/>
      <c r="I24" s="17"/>
      <c r="J24" s="20"/>
      <c r="K24" s="20"/>
      <c r="L24" s="13"/>
      <c r="M24" s="13"/>
      <c r="N24" s="13"/>
      <c r="O24" s="20"/>
      <c r="P24" s="20"/>
      <c r="Q24" s="20"/>
      <c r="R24" s="13"/>
      <c r="S24" s="13"/>
      <c r="T24" s="13"/>
      <c r="U24" s="7">
        <f t="shared" si="9"/>
        <v>0</v>
      </c>
      <c r="V24" s="1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5"/>
      <c r="AJ24" s="15"/>
      <c r="AK24" s="15"/>
      <c r="AL24" s="21"/>
    </row>
    <row r="25" spans="1:38" s="205" customFormat="1" ht="34.5" customHeight="1" hidden="1">
      <c r="A25" s="203"/>
      <c r="B25" s="22" t="str">
        <f>B15</f>
        <v>Költségvetési szervek összesen:</v>
      </c>
      <c r="C25" s="15"/>
      <c r="D25" s="15"/>
      <c r="E25" s="204">
        <f>E15/D15</f>
        <v>0.5626618496050029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0">
        <f t="shared" si="9"/>
        <v>0</v>
      </c>
      <c r="V25" s="2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6"/>
    </row>
    <row r="26" spans="1:38" ht="34.5" customHeight="1" hidden="1">
      <c r="A26" s="9"/>
      <c r="B26" s="12" t="str">
        <f>B16</f>
        <v>Polgármesteri Hivatal</v>
      </c>
      <c r="C26" s="13"/>
      <c r="D26" s="13"/>
      <c r="E26" s="202">
        <f>E16/D16</f>
        <v>0.5585426733568882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7">
        <f t="shared" si="9"/>
        <v>0</v>
      </c>
      <c r="V26" s="19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5"/>
      <c r="AJ26" s="15"/>
      <c r="AK26" s="15"/>
      <c r="AL26" s="16"/>
    </row>
    <row r="27" spans="1:38" ht="34.5" customHeight="1" hidden="1">
      <c r="A27" s="9"/>
      <c r="B27" s="12" t="str">
        <f>B17</f>
        <v>Önkormányzat </v>
      </c>
      <c r="C27" s="13"/>
      <c r="D27" s="13"/>
      <c r="E27" s="202">
        <f>E17/D17</f>
        <v>0.4569231985797564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0">
        <f t="shared" si="9"/>
        <v>0</v>
      </c>
      <c r="V27" s="19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5"/>
      <c r="AJ27" s="15"/>
      <c r="AK27" s="15"/>
      <c r="AL27" s="16"/>
    </row>
    <row r="28" spans="1:38" s="205" customFormat="1" ht="34.5" customHeight="1" hidden="1">
      <c r="A28" s="203"/>
      <c r="B28" s="22" t="str">
        <f>B18</f>
        <v>Békés Város mindösszesen:</v>
      </c>
      <c r="C28" s="15"/>
      <c r="D28" s="15"/>
      <c r="E28" s="204">
        <f>E18/D18</f>
        <v>0.5182826444763379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7">
        <f t="shared" si="9"/>
        <v>0</v>
      </c>
      <c r="V28" s="2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6"/>
    </row>
    <row r="30" spans="2:36" ht="12.75">
      <c r="B30" s="3" t="s">
        <v>243</v>
      </c>
      <c r="R30" s="208">
        <f>R18+AC18</f>
        <v>1450815433</v>
      </c>
      <c r="S30" s="208">
        <f>S18+AD18</f>
        <v>1819668784</v>
      </c>
      <c r="T30" s="208">
        <f>T18+AE18</f>
        <v>1819668784</v>
      </c>
      <c r="AH30" s="3" t="s">
        <v>243</v>
      </c>
      <c r="AI30" s="208">
        <f>'2.sz.m.'!AM17</f>
        <v>3295269184</v>
      </c>
      <c r="AJ30" s="208">
        <f>'2.sz.m.'!AN17</f>
        <v>3962884158</v>
      </c>
    </row>
    <row r="31" spans="5:36" ht="12.75">
      <c r="E31" s="3">
        <f>E18/D18</f>
        <v>0.5182826444763379</v>
      </c>
      <c r="H31" s="3">
        <f>H18/G18</f>
        <v>0.3964318582015571</v>
      </c>
      <c r="S31" s="208"/>
      <c r="AG31" s="208"/>
      <c r="AI31" s="208">
        <f>'2.sz.m.'!AM18</f>
        <v>4589263879</v>
      </c>
      <c r="AJ31" s="208">
        <f>'2.sz.m.'!AN18</f>
        <v>5537940788</v>
      </c>
    </row>
    <row r="32" ht="12.75">
      <c r="AJ32" s="208">
        <f>AG18+AD18+AA18+X18+S18+P18+M18+J18+G18+D18</f>
        <v>5537940788</v>
      </c>
    </row>
    <row r="33" spans="19:33" ht="12.75">
      <c r="S33" s="208"/>
      <c r="AG33" s="208"/>
    </row>
  </sheetData>
  <sheetProtection/>
  <mergeCells count="24">
    <mergeCell ref="AF7:AH7"/>
    <mergeCell ref="AI7:AL9"/>
    <mergeCell ref="C8:E9"/>
    <mergeCell ref="F8:H9"/>
    <mergeCell ref="I8:N8"/>
    <mergeCell ref="O8:Q9"/>
    <mergeCell ref="W8:Y9"/>
    <mergeCell ref="Z8:AB9"/>
    <mergeCell ref="AC8:AE9"/>
    <mergeCell ref="AF8:AH9"/>
    <mergeCell ref="B7:B10"/>
    <mergeCell ref="C7:Q7"/>
    <mergeCell ref="R7:T9"/>
    <mergeCell ref="V7:V10"/>
    <mergeCell ref="W7:AB7"/>
    <mergeCell ref="AC7:AE7"/>
    <mergeCell ref="I9:K9"/>
    <mergeCell ref="L9:N9"/>
    <mergeCell ref="AJ6:AL6"/>
    <mergeCell ref="B1:F1"/>
    <mergeCell ref="N1:T1"/>
    <mergeCell ref="AF1:AL1"/>
    <mergeCell ref="A3:T3"/>
    <mergeCell ref="U3:AL3"/>
  </mergeCells>
  <printOptions horizontalCentered="1"/>
  <pageMargins left="0" right="0" top="0" bottom="0" header="0.5118110236220472" footer="0.5118110236220472"/>
  <pageSetup horizontalDpi="600" verticalDpi="600" orientation="landscape" paperSize="9" scale="52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1"/>
  <sheetViews>
    <sheetView tabSelected="1" view="pageBreakPreview" zoomScaleSheetLayoutView="100" zoomScalePageLayoutView="0" workbookViewId="0" topLeftCell="A25">
      <selection activeCell="A4" sqref="A4:G4"/>
    </sheetView>
  </sheetViews>
  <sheetFormatPr defaultColWidth="9.140625" defaultRowHeight="17.25" customHeight="1"/>
  <cols>
    <col min="1" max="1" width="5.00390625" style="94" customWidth="1"/>
    <col min="2" max="2" width="3.140625" style="94" customWidth="1"/>
    <col min="3" max="3" width="3.421875" style="94" customWidth="1"/>
    <col min="4" max="4" width="3.140625" style="94" customWidth="1"/>
    <col min="5" max="5" width="85.8515625" style="94" customWidth="1"/>
    <col min="6" max="6" width="15.28125" style="95" customWidth="1"/>
    <col min="7" max="7" width="14.28125" style="96" customWidth="1"/>
    <col min="8" max="8" width="12.421875" style="94" bestFit="1" customWidth="1"/>
    <col min="9" max="16384" width="9.140625" style="94" customWidth="1"/>
  </cols>
  <sheetData>
    <row r="1" spans="1:7" ht="17.25" customHeight="1">
      <c r="A1" s="594" t="s">
        <v>415</v>
      </c>
      <c r="B1" s="595"/>
      <c r="C1" s="595"/>
      <c r="D1" s="595"/>
      <c r="E1" s="595"/>
      <c r="F1" s="595"/>
      <c r="G1" s="595"/>
    </row>
    <row r="2" spans="1:7" ht="12.75" customHeight="1">
      <c r="A2" s="92"/>
      <c r="B2" s="93"/>
      <c r="C2" s="93"/>
      <c r="D2" s="93"/>
      <c r="E2" s="93"/>
      <c r="F2" s="93"/>
      <c r="G2" s="93"/>
    </row>
    <row r="3" ht="11.25" customHeight="1"/>
    <row r="4" spans="1:7" ht="17.25" customHeight="1">
      <c r="A4" s="596" t="s">
        <v>181</v>
      </c>
      <c r="B4" s="597"/>
      <c r="C4" s="597"/>
      <c r="D4" s="597"/>
      <c r="E4" s="597"/>
      <c r="F4" s="597"/>
      <c r="G4" s="597"/>
    </row>
    <row r="5" spans="1:7" ht="17.25" customHeight="1">
      <c r="A5" s="596" t="s">
        <v>89</v>
      </c>
      <c r="B5" s="597"/>
      <c r="C5" s="597"/>
      <c r="D5" s="597"/>
      <c r="E5" s="597"/>
      <c r="F5" s="597"/>
      <c r="G5" s="597"/>
    </row>
    <row r="6" spans="1:7" ht="12.75" customHeight="1">
      <c r="A6" s="97"/>
      <c r="B6" s="98"/>
      <c r="C6" s="98"/>
      <c r="D6" s="98"/>
      <c r="E6" s="98"/>
      <c r="F6" s="98"/>
      <c r="G6" s="98"/>
    </row>
    <row r="7" spans="1:7" ht="12" customHeight="1">
      <c r="A7" s="97"/>
      <c r="B7" s="98"/>
      <c r="C7" s="98"/>
      <c r="D7" s="98"/>
      <c r="E7" s="98"/>
      <c r="F7" s="98"/>
      <c r="G7" s="98"/>
    </row>
    <row r="8" ht="17.25" customHeight="1">
      <c r="A8" s="99"/>
    </row>
    <row r="9" spans="1:7" ht="17.25" customHeight="1">
      <c r="A9" s="100"/>
      <c r="B9" s="101" t="s">
        <v>0</v>
      </c>
      <c r="C9" s="101" t="s">
        <v>1</v>
      </c>
      <c r="D9" s="101" t="s">
        <v>2</v>
      </c>
      <c r="E9" s="101" t="s">
        <v>3</v>
      </c>
      <c r="F9" s="102" t="s">
        <v>4</v>
      </c>
      <c r="G9" s="102" t="s">
        <v>5</v>
      </c>
    </row>
    <row r="10" spans="1:7" ht="17.25" customHeight="1">
      <c r="A10" s="103">
        <v>1</v>
      </c>
      <c r="B10" s="601" t="s">
        <v>184</v>
      </c>
      <c r="C10" s="627"/>
      <c r="D10" s="627"/>
      <c r="E10" s="627"/>
      <c r="F10" s="228"/>
      <c r="G10" s="104">
        <v>4589263879</v>
      </c>
    </row>
    <row r="11" spans="1:7" ht="17.25" customHeight="1">
      <c r="A11" s="103">
        <v>2</v>
      </c>
      <c r="B11" s="598" t="s">
        <v>182</v>
      </c>
      <c r="C11" s="599"/>
      <c r="D11" s="599"/>
      <c r="E11" s="600"/>
      <c r="G11" s="105"/>
    </row>
    <row r="12" spans="1:7" ht="17.25" customHeight="1">
      <c r="A12" s="103">
        <v>3</v>
      </c>
      <c r="B12" s="106" t="s">
        <v>121</v>
      </c>
      <c r="C12" s="601" t="s">
        <v>151</v>
      </c>
      <c r="D12" s="601"/>
      <c r="E12" s="601"/>
      <c r="F12" s="104"/>
      <c r="G12" s="105"/>
    </row>
    <row r="13" spans="1:7" s="108" customFormat="1" ht="17.25" customHeight="1">
      <c r="A13" s="103">
        <v>4</v>
      </c>
      <c r="B13" s="107"/>
      <c r="C13" s="591" t="s">
        <v>122</v>
      </c>
      <c r="D13" s="602"/>
      <c r="E13" s="602"/>
      <c r="F13" s="227"/>
      <c r="G13" s="105">
        <f>SUM(F14:F18)</f>
        <v>30244514</v>
      </c>
    </row>
    <row r="14" spans="1:7" ht="17.25" customHeight="1">
      <c r="A14" s="103">
        <v>5</v>
      </c>
      <c r="B14" s="109"/>
      <c r="C14" s="110" t="s">
        <v>123</v>
      </c>
      <c r="D14" s="592" t="s">
        <v>206</v>
      </c>
      <c r="E14" s="592"/>
      <c r="F14" s="111">
        <f>2501293+2457578+2447639+2453957+2491948+2621249</f>
        <v>14973664</v>
      </c>
      <c r="G14" s="111"/>
    </row>
    <row r="15" spans="1:7" ht="17.25" customHeight="1">
      <c r="A15" s="103">
        <v>6</v>
      </c>
      <c r="B15" s="109"/>
      <c r="C15" s="110" t="s">
        <v>123</v>
      </c>
      <c r="D15" s="592" t="s">
        <v>144</v>
      </c>
      <c r="E15" s="592"/>
      <c r="F15" s="111">
        <f>635450+642371+638792+618909+636354+629845</f>
        <v>3801721</v>
      </c>
      <c r="G15" s="111"/>
    </row>
    <row r="16" spans="1:7" ht="17.25" customHeight="1">
      <c r="A16" s="103">
        <v>7</v>
      </c>
      <c r="B16" s="109"/>
      <c r="C16" s="110" t="s">
        <v>123</v>
      </c>
      <c r="D16" s="592" t="s">
        <v>145</v>
      </c>
      <c r="E16" s="592"/>
      <c r="F16" s="111">
        <v>2410046</v>
      </c>
      <c r="G16" s="111"/>
    </row>
    <row r="17" spans="1:7" ht="17.25" customHeight="1">
      <c r="A17" s="103">
        <v>8</v>
      </c>
      <c r="B17" s="109"/>
      <c r="C17" s="110" t="s">
        <v>123</v>
      </c>
      <c r="D17" s="592" t="s">
        <v>146</v>
      </c>
      <c r="E17" s="592"/>
      <c r="F17" s="111">
        <f>1374696+1083264+1101789+1035227+1024472+1009534</f>
        <v>6628982</v>
      </c>
      <c r="G17" s="111"/>
    </row>
    <row r="18" spans="1:7" ht="17.25" customHeight="1">
      <c r="A18" s="103">
        <v>9</v>
      </c>
      <c r="B18" s="109"/>
      <c r="C18" s="110" t="s">
        <v>123</v>
      </c>
      <c r="D18" s="592" t="s">
        <v>186</v>
      </c>
      <c r="E18" s="593"/>
      <c r="F18" s="111">
        <v>2430101</v>
      </c>
      <c r="G18" s="111"/>
    </row>
    <row r="19" spans="1:7" s="108" customFormat="1" ht="17.25" customHeight="1">
      <c r="A19" s="103">
        <v>10</v>
      </c>
      <c r="B19" s="107"/>
      <c r="C19" s="591" t="s">
        <v>124</v>
      </c>
      <c r="D19" s="602"/>
      <c r="E19" s="589"/>
      <c r="F19" s="105"/>
      <c r="G19" s="112">
        <f>SUM(F20:F23)</f>
        <v>23575431</v>
      </c>
    </row>
    <row r="20" spans="1:7" s="108" customFormat="1" ht="17.25" customHeight="1">
      <c r="A20" s="103">
        <v>11</v>
      </c>
      <c r="B20" s="107"/>
      <c r="C20" s="110" t="s">
        <v>123</v>
      </c>
      <c r="D20" s="592" t="s">
        <v>190</v>
      </c>
      <c r="E20" s="593"/>
      <c r="F20" s="111">
        <v>1722861</v>
      </c>
      <c r="G20" s="112"/>
    </row>
    <row r="21" spans="1:7" s="108" customFormat="1" ht="17.25" customHeight="1">
      <c r="A21" s="103">
        <v>12</v>
      </c>
      <c r="B21" s="107"/>
      <c r="C21" s="110" t="s">
        <v>123</v>
      </c>
      <c r="D21" s="592" t="s">
        <v>188</v>
      </c>
      <c r="E21" s="593"/>
      <c r="F21" s="111">
        <v>6673994</v>
      </c>
      <c r="G21" s="112"/>
    </row>
    <row r="22" spans="1:7" s="108" customFormat="1" ht="18" customHeight="1">
      <c r="A22" s="103">
        <v>13</v>
      </c>
      <c r="B22" s="107"/>
      <c r="C22" s="110" t="s">
        <v>123</v>
      </c>
      <c r="D22" s="592" t="s">
        <v>189</v>
      </c>
      <c r="E22" s="593"/>
      <c r="F22" s="111">
        <v>10584195</v>
      </c>
      <c r="G22" s="112"/>
    </row>
    <row r="23" spans="1:7" s="108" customFormat="1" ht="27.75" customHeight="1">
      <c r="A23" s="103">
        <v>14</v>
      </c>
      <c r="B23" s="107"/>
      <c r="C23" s="110" t="s">
        <v>123</v>
      </c>
      <c r="D23" s="592" t="s">
        <v>172</v>
      </c>
      <c r="E23" s="593"/>
      <c r="F23" s="111">
        <v>4594381</v>
      </c>
      <c r="G23" s="112"/>
    </row>
    <row r="24" spans="1:7" s="108" customFormat="1" ht="21.75" customHeight="1">
      <c r="A24" s="103">
        <v>15</v>
      </c>
      <c r="B24" s="107"/>
      <c r="C24" s="589" t="s">
        <v>204</v>
      </c>
      <c r="D24" s="590"/>
      <c r="E24" s="591"/>
      <c r="F24" s="111"/>
      <c r="G24" s="112">
        <f>F25</f>
        <v>268011106</v>
      </c>
    </row>
    <row r="25" spans="1:7" s="108" customFormat="1" ht="24" customHeight="1">
      <c r="A25" s="103">
        <v>16</v>
      </c>
      <c r="B25" s="107"/>
      <c r="C25" s="110" t="s">
        <v>123</v>
      </c>
      <c r="D25" s="592" t="s">
        <v>205</v>
      </c>
      <c r="E25" s="592"/>
      <c r="F25" s="111">
        <v>268011106</v>
      </c>
      <c r="G25" s="112"/>
    </row>
    <row r="26" spans="1:7" s="108" customFormat="1" ht="17.25" customHeight="1">
      <c r="A26" s="103">
        <v>17</v>
      </c>
      <c r="B26" s="107"/>
      <c r="C26" s="589" t="s">
        <v>201</v>
      </c>
      <c r="D26" s="590"/>
      <c r="E26" s="591"/>
      <c r="F26" s="111"/>
      <c r="G26" s="112">
        <f>SUM(F27:F28)</f>
        <v>2272078</v>
      </c>
    </row>
    <row r="27" spans="1:7" s="108" customFormat="1" ht="17.25" customHeight="1">
      <c r="A27" s="103">
        <v>18</v>
      </c>
      <c r="B27" s="107"/>
      <c r="C27" s="110" t="s">
        <v>123</v>
      </c>
      <c r="D27" s="592" t="s">
        <v>185</v>
      </c>
      <c r="E27" s="592"/>
      <c r="F27" s="111">
        <v>1272078</v>
      </c>
      <c r="G27" s="112"/>
    </row>
    <row r="28" spans="1:7" s="108" customFormat="1" ht="17.25" customHeight="1">
      <c r="A28" s="103">
        <v>19</v>
      </c>
      <c r="B28" s="107"/>
      <c r="C28" s="110" t="s">
        <v>123</v>
      </c>
      <c r="D28" s="592" t="s">
        <v>187</v>
      </c>
      <c r="E28" s="592"/>
      <c r="F28" s="111">
        <f>200000+130010+669990</f>
        <v>1000000</v>
      </c>
      <c r="G28" s="112"/>
    </row>
    <row r="29" spans="1:7" s="108" customFormat="1" ht="17.25" customHeight="1">
      <c r="A29" s="103">
        <v>20</v>
      </c>
      <c r="B29" s="107"/>
      <c r="C29" s="589" t="s">
        <v>202</v>
      </c>
      <c r="D29" s="590"/>
      <c r="E29" s="591"/>
      <c r="F29" s="111"/>
      <c r="G29" s="112">
        <f>SUM(F30:F37)</f>
        <v>53560418</v>
      </c>
    </row>
    <row r="30" spans="1:7" s="108" customFormat="1" ht="17.25" customHeight="1">
      <c r="A30" s="103">
        <v>21</v>
      </c>
      <c r="B30" s="107"/>
      <c r="C30" s="110" t="s">
        <v>123</v>
      </c>
      <c r="D30" s="592" t="s">
        <v>191</v>
      </c>
      <c r="E30" s="592"/>
      <c r="F30" s="111">
        <f>7905750+8600000+1200000</f>
        <v>17705750</v>
      </c>
      <c r="G30" s="112"/>
    </row>
    <row r="31" spans="1:7" s="108" customFormat="1" ht="17.25" customHeight="1">
      <c r="A31" s="103">
        <v>22</v>
      </c>
      <c r="B31" s="107"/>
      <c r="C31" s="110" t="s">
        <v>123</v>
      </c>
      <c r="D31" s="592" t="s">
        <v>192</v>
      </c>
      <c r="E31" s="592"/>
      <c r="F31" s="111">
        <v>254000</v>
      </c>
      <c r="G31" s="112"/>
    </row>
    <row r="32" spans="1:7" s="108" customFormat="1" ht="17.25" customHeight="1">
      <c r="A32" s="103">
        <v>23</v>
      </c>
      <c r="B32" s="107"/>
      <c r="C32" s="110" t="s">
        <v>123</v>
      </c>
      <c r="D32" s="592" t="s">
        <v>193</v>
      </c>
      <c r="E32" s="592"/>
      <c r="F32" s="111">
        <v>6947789</v>
      </c>
      <c r="G32" s="112"/>
    </row>
    <row r="33" spans="1:7" s="108" customFormat="1" ht="17.25" customHeight="1">
      <c r="A33" s="103">
        <v>24</v>
      </c>
      <c r="B33" s="107"/>
      <c r="C33" s="110" t="s">
        <v>123</v>
      </c>
      <c r="D33" s="592" t="s">
        <v>194</v>
      </c>
      <c r="E33" s="592"/>
      <c r="F33" s="111">
        <f>12089900+655929</f>
        <v>12745829</v>
      </c>
      <c r="G33" s="112"/>
    </row>
    <row r="34" spans="1:7" s="108" customFormat="1" ht="17.25" customHeight="1">
      <c r="A34" s="103">
        <v>25</v>
      </c>
      <c r="B34" s="107"/>
      <c r="C34" s="110" t="s">
        <v>123</v>
      </c>
      <c r="D34" s="592" t="s">
        <v>195</v>
      </c>
      <c r="E34" s="592"/>
      <c r="F34" s="111">
        <v>6096000</v>
      </c>
      <c r="G34" s="112"/>
    </row>
    <row r="35" spans="1:7" s="108" customFormat="1" ht="17.25" customHeight="1">
      <c r="A35" s="103">
        <v>26</v>
      </c>
      <c r="B35" s="107"/>
      <c r="C35" s="110" t="s">
        <v>123</v>
      </c>
      <c r="D35" s="592" t="s">
        <v>196</v>
      </c>
      <c r="E35" s="592"/>
      <c r="F35" s="111">
        <v>5702300</v>
      </c>
      <c r="G35" s="112"/>
    </row>
    <row r="36" spans="1:7" s="108" customFormat="1" ht="17.25" customHeight="1">
      <c r="A36" s="103">
        <v>27</v>
      </c>
      <c r="B36" s="107"/>
      <c r="C36" s="110" t="s">
        <v>123</v>
      </c>
      <c r="D36" s="592" t="s">
        <v>197</v>
      </c>
      <c r="E36" s="592"/>
      <c r="F36" s="111">
        <v>3810000</v>
      </c>
      <c r="G36" s="112"/>
    </row>
    <row r="37" spans="1:7" s="108" customFormat="1" ht="17.25" customHeight="1">
      <c r="A37" s="103">
        <v>28</v>
      </c>
      <c r="B37" s="107"/>
      <c r="C37" s="110" t="s">
        <v>123</v>
      </c>
      <c r="D37" s="592" t="s">
        <v>198</v>
      </c>
      <c r="E37" s="592"/>
      <c r="F37" s="111">
        <v>298750</v>
      </c>
      <c r="G37" s="112"/>
    </row>
    <row r="38" spans="1:7" s="108" customFormat="1" ht="27.75" customHeight="1">
      <c r="A38" s="103">
        <v>29</v>
      </c>
      <c r="B38" s="107"/>
      <c r="C38" s="603" t="s">
        <v>203</v>
      </c>
      <c r="D38" s="604"/>
      <c r="E38" s="605"/>
      <c r="F38" s="231"/>
      <c r="G38" s="232">
        <v>3613271</v>
      </c>
    </row>
    <row r="39" spans="1:8" s="108" customFormat="1" ht="22.5" customHeight="1">
      <c r="A39" s="103">
        <v>30</v>
      </c>
      <c r="B39" s="107"/>
      <c r="C39" s="589" t="s">
        <v>199</v>
      </c>
      <c r="D39" s="590"/>
      <c r="E39" s="591"/>
      <c r="F39" s="229"/>
      <c r="G39" s="113">
        <f>F40</f>
        <v>43564698</v>
      </c>
      <c r="H39" s="381"/>
    </row>
    <row r="40" spans="1:7" s="108" customFormat="1" ht="22.5" customHeight="1">
      <c r="A40" s="103">
        <v>31</v>
      </c>
      <c r="B40" s="107"/>
      <c r="C40" s="120" t="s">
        <v>123</v>
      </c>
      <c r="D40" s="592" t="s">
        <v>200</v>
      </c>
      <c r="E40" s="592"/>
      <c r="F40" s="230">
        <v>43564698</v>
      </c>
      <c r="G40" s="113"/>
    </row>
    <row r="41" spans="1:7" ht="12" customHeight="1">
      <c r="A41" s="103">
        <v>32</v>
      </c>
      <c r="B41" s="109"/>
      <c r="C41" s="622" t="s">
        <v>209</v>
      </c>
      <c r="D41" s="630"/>
      <c r="E41" s="630"/>
      <c r="F41" s="628"/>
      <c r="G41" s="112">
        <f>F43+F44+F45+F49+F50+F51</f>
        <v>136566867</v>
      </c>
    </row>
    <row r="42" spans="1:7" ht="12" customHeight="1">
      <c r="A42" s="103">
        <v>33</v>
      </c>
      <c r="B42" s="109"/>
      <c r="C42" s="631"/>
      <c r="D42" s="631"/>
      <c r="E42" s="631"/>
      <c r="F42" s="629"/>
      <c r="G42" s="112">
        <f>F46+F47+F48</f>
        <v>-136566867</v>
      </c>
    </row>
    <row r="43" spans="1:7" ht="17.25" customHeight="1">
      <c r="A43" s="103">
        <v>34</v>
      </c>
      <c r="B43" s="109"/>
      <c r="C43" s="233" t="s">
        <v>123</v>
      </c>
      <c r="D43" s="608" t="s">
        <v>132</v>
      </c>
      <c r="E43" s="608"/>
      <c r="F43" s="118">
        <f>6256300+5061971+4552669+3724966</f>
        <v>19595906</v>
      </c>
      <c r="G43" s="234"/>
    </row>
    <row r="44" spans="1:7" ht="17.25" customHeight="1">
      <c r="A44" s="103">
        <v>35</v>
      </c>
      <c r="B44" s="119"/>
      <c r="C44" s="233" t="s">
        <v>123</v>
      </c>
      <c r="D44" s="608" t="s">
        <v>133</v>
      </c>
      <c r="E44" s="608"/>
      <c r="F44" s="121">
        <f>797066+332945+347090+276783</f>
        <v>1753884</v>
      </c>
      <c r="G44" s="234"/>
    </row>
    <row r="45" spans="1:7" ht="17.25" customHeight="1">
      <c r="A45" s="103">
        <v>36</v>
      </c>
      <c r="B45" s="119"/>
      <c r="C45" s="233" t="s">
        <v>123</v>
      </c>
      <c r="D45" s="608" t="s">
        <v>127</v>
      </c>
      <c r="E45" s="608"/>
      <c r="F45" s="121">
        <f>22539092+9084972+939786+2905580</f>
        <v>35469430</v>
      </c>
      <c r="G45" s="234"/>
    </row>
    <row r="46" spans="1:7" ht="17.25" customHeight="1">
      <c r="A46" s="103">
        <v>37</v>
      </c>
      <c r="B46" s="119"/>
      <c r="C46" s="233" t="s">
        <v>123</v>
      </c>
      <c r="D46" s="606" t="s">
        <v>207</v>
      </c>
      <c r="E46" s="607"/>
      <c r="F46" s="121">
        <v>-5889500</v>
      </c>
      <c r="G46" s="234"/>
    </row>
    <row r="47" spans="1:7" ht="17.25" customHeight="1">
      <c r="A47" s="103">
        <v>38</v>
      </c>
      <c r="B47" s="119"/>
      <c r="C47" s="233" t="s">
        <v>123</v>
      </c>
      <c r="D47" s="625" t="s">
        <v>147</v>
      </c>
      <c r="E47" s="626"/>
      <c r="F47" s="382">
        <f>-18190945-6576972-5518496-4024748</f>
        <v>-34311161</v>
      </c>
      <c r="G47" s="234"/>
    </row>
    <row r="48" spans="1:7" ht="17.25" customHeight="1">
      <c r="A48" s="103">
        <v>39</v>
      </c>
      <c r="B48" s="119"/>
      <c r="C48" s="233" t="s">
        <v>123</v>
      </c>
      <c r="D48" s="625" t="s">
        <v>210</v>
      </c>
      <c r="E48" s="626"/>
      <c r="F48" s="382">
        <f>-18691733-8398014-14602384-54674075</f>
        <v>-96366206</v>
      </c>
      <c r="G48" s="235"/>
    </row>
    <row r="49" spans="1:7" ht="17.25" customHeight="1">
      <c r="A49" s="103">
        <v>40</v>
      </c>
      <c r="B49" s="119"/>
      <c r="C49" s="233" t="s">
        <v>123</v>
      </c>
      <c r="D49" s="606" t="s">
        <v>128</v>
      </c>
      <c r="E49" s="607"/>
      <c r="F49" s="121">
        <f>10384864+495098+79726-706526</f>
        <v>10253162</v>
      </c>
      <c r="G49" s="234"/>
    </row>
    <row r="50" spans="1:7" ht="17.25" customHeight="1">
      <c r="A50" s="103">
        <v>41</v>
      </c>
      <c r="B50" s="119"/>
      <c r="C50" s="233" t="s">
        <v>123</v>
      </c>
      <c r="D50" s="608" t="s">
        <v>129</v>
      </c>
      <c r="E50" s="608"/>
      <c r="F50" s="121">
        <f>2794856+13911609+52498020</f>
        <v>69204485</v>
      </c>
      <c r="G50" s="234"/>
    </row>
    <row r="51" spans="1:7" ht="17.25" customHeight="1">
      <c r="A51" s="103">
        <v>42</v>
      </c>
      <c r="B51" s="119"/>
      <c r="C51" s="233" t="s">
        <v>123</v>
      </c>
      <c r="D51" s="608" t="s">
        <v>211</v>
      </c>
      <c r="E51" s="608"/>
      <c r="F51" s="121">
        <v>290000</v>
      </c>
      <c r="G51" s="234"/>
    </row>
    <row r="52" spans="1:7" ht="17.25" customHeight="1">
      <c r="A52" s="103">
        <v>43</v>
      </c>
      <c r="B52" s="106" t="s">
        <v>121</v>
      </c>
      <c r="C52" s="589" t="s">
        <v>173</v>
      </c>
      <c r="D52" s="590"/>
      <c r="E52" s="591"/>
      <c r="F52" s="112"/>
      <c r="G52" s="122">
        <f>SUM(F53:F61)</f>
        <v>417614974</v>
      </c>
    </row>
    <row r="53" spans="1:7" ht="17.25" customHeight="1">
      <c r="A53" s="103">
        <v>44</v>
      </c>
      <c r="B53" s="109"/>
      <c r="C53" s="120" t="s">
        <v>123</v>
      </c>
      <c r="D53" s="592" t="s">
        <v>132</v>
      </c>
      <c r="E53" s="592"/>
      <c r="F53" s="121">
        <f>308804758-288265000</f>
        <v>20539758</v>
      </c>
      <c r="G53" s="121"/>
    </row>
    <row r="54" spans="1:7" ht="17.25" customHeight="1">
      <c r="A54" s="103">
        <v>45</v>
      </c>
      <c r="B54" s="109"/>
      <c r="C54" s="120" t="s">
        <v>123</v>
      </c>
      <c r="D54" s="592" t="s">
        <v>133</v>
      </c>
      <c r="E54" s="592"/>
      <c r="F54" s="121">
        <f>38473230-36555000</f>
        <v>1918230</v>
      </c>
      <c r="G54" s="121"/>
    </row>
    <row r="55" spans="1:7" ht="17.25" customHeight="1">
      <c r="A55" s="103">
        <v>46</v>
      </c>
      <c r="B55" s="109"/>
      <c r="C55" s="120" t="s">
        <v>123</v>
      </c>
      <c r="D55" s="592" t="s">
        <v>127</v>
      </c>
      <c r="E55" s="592"/>
      <c r="F55" s="121">
        <f>448842451-356292240</f>
        <v>92550211</v>
      </c>
      <c r="G55" s="121"/>
    </row>
    <row r="56" spans="1:7" ht="17.25" customHeight="1">
      <c r="A56" s="103">
        <v>47</v>
      </c>
      <c r="B56" s="109"/>
      <c r="C56" s="120" t="s">
        <v>123</v>
      </c>
      <c r="D56" s="592" t="s">
        <v>207</v>
      </c>
      <c r="E56" s="592"/>
      <c r="F56" s="121">
        <f>113810500-119700000</f>
        <v>-5889500</v>
      </c>
      <c r="G56" s="121"/>
    </row>
    <row r="57" spans="1:7" ht="17.25" customHeight="1">
      <c r="A57" s="103">
        <v>48</v>
      </c>
      <c r="B57" s="109"/>
      <c r="C57" s="120" t="s">
        <v>123</v>
      </c>
      <c r="D57" s="592" t="s">
        <v>174</v>
      </c>
      <c r="E57" s="592"/>
      <c r="F57" s="121">
        <f>1532319070-1402612403</f>
        <v>129706667</v>
      </c>
      <c r="G57" s="121"/>
    </row>
    <row r="58" spans="1:7" ht="17.25" customHeight="1">
      <c r="A58" s="103">
        <v>49</v>
      </c>
      <c r="B58" s="109"/>
      <c r="C58" s="120" t="s">
        <v>123</v>
      </c>
      <c r="D58" s="592" t="s">
        <v>128</v>
      </c>
      <c r="E58" s="592"/>
      <c r="F58" s="121">
        <f>898694288-852727000</f>
        <v>45967288</v>
      </c>
      <c r="G58" s="121"/>
    </row>
    <row r="59" spans="1:7" ht="17.25" customHeight="1">
      <c r="A59" s="103">
        <v>50</v>
      </c>
      <c r="B59" s="109"/>
      <c r="C59" s="120" t="s">
        <v>123</v>
      </c>
      <c r="D59" s="592" t="s">
        <v>175</v>
      </c>
      <c r="E59" s="593"/>
      <c r="F59" s="121">
        <v>89257622</v>
      </c>
      <c r="G59" s="121"/>
    </row>
    <row r="60" spans="1:7" ht="17.25" customHeight="1">
      <c r="A60" s="103">
        <v>51</v>
      </c>
      <c r="B60" s="109"/>
      <c r="C60" s="120" t="s">
        <v>123</v>
      </c>
      <c r="D60" s="592" t="s">
        <v>208</v>
      </c>
      <c r="E60" s="592"/>
      <c r="F60" s="121">
        <v>43564698</v>
      </c>
      <c r="G60" s="121"/>
    </row>
    <row r="61" spans="1:7" ht="17.25" customHeight="1">
      <c r="A61" s="103">
        <v>52</v>
      </c>
      <c r="B61" s="109"/>
      <c r="C61" s="120" t="s">
        <v>123</v>
      </c>
      <c r="D61" s="592" t="s">
        <v>171</v>
      </c>
      <c r="E61" s="592"/>
      <c r="F61" s="121">
        <v>0</v>
      </c>
      <c r="G61" s="121"/>
    </row>
    <row r="62" spans="1:7" ht="17.25" customHeight="1">
      <c r="A62" s="609" t="str">
        <f>A1</f>
        <v>10. sz. melléklet a 24/2018. (VIII. 31.) önkormányzati rendelethez</v>
      </c>
      <c r="B62" s="595"/>
      <c r="C62" s="595"/>
      <c r="D62" s="595"/>
      <c r="E62" s="595"/>
      <c r="F62" s="595"/>
      <c r="G62" s="595"/>
    </row>
    <row r="64" spans="1:7" ht="17.25" customHeight="1">
      <c r="A64" s="103"/>
      <c r="B64" s="123" t="s">
        <v>0</v>
      </c>
      <c r="C64" s="123" t="s">
        <v>1</v>
      </c>
      <c r="D64" s="123" t="s">
        <v>2</v>
      </c>
      <c r="E64" s="123" t="s">
        <v>3</v>
      </c>
      <c r="F64" s="124" t="s">
        <v>4</v>
      </c>
      <c r="G64" s="124" t="s">
        <v>5</v>
      </c>
    </row>
    <row r="65" spans="1:7" ht="17.25" customHeight="1">
      <c r="A65" s="103">
        <f>A61+1</f>
        <v>53</v>
      </c>
      <c r="B65" s="610" t="s">
        <v>130</v>
      </c>
      <c r="C65" s="611" t="s">
        <v>123</v>
      </c>
      <c r="D65" s="611"/>
      <c r="E65" s="612"/>
      <c r="F65" s="112"/>
      <c r="G65" s="122"/>
    </row>
    <row r="66" spans="1:7" ht="17.25" customHeight="1">
      <c r="A66" s="103">
        <f aca="true" t="shared" si="0" ref="A66:A129">A65+1</f>
        <v>54</v>
      </c>
      <c r="B66" s="109"/>
      <c r="C66" s="613" t="s">
        <v>131</v>
      </c>
      <c r="D66" s="614"/>
      <c r="E66" s="614"/>
      <c r="F66" s="127"/>
      <c r="G66" s="104"/>
    </row>
    <row r="67" spans="1:7" ht="17.25" customHeight="1">
      <c r="A67" s="103">
        <f t="shared" si="0"/>
        <v>55</v>
      </c>
      <c r="B67" s="109"/>
      <c r="C67" s="131" t="s">
        <v>123</v>
      </c>
      <c r="D67" s="592" t="s">
        <v>217</v>
      </c>
      <c r="E67" s="592"/>
      <c r="F67" s="128"/>
      <c r="G67" s="112">
        <f>SUM(F68:F71)</f>
        <v>166230395</v>
      </c>
    </row>
    <row r="68" spans="1:7" ht="17.25" customHeight="1">
      <c r="A68" s="103">
        <f t="shared" si="0"/>
        <v>56</v>
      </c>
      <c r="B68" s="109"/>
      <c r="C68" s="129"/>
      <c r="D68" s="116" t="s">
        <v>123</v>
      </c>
      <c r="E68" s="117" t="s">
        <v>132</v>
      </c>
      <c r="F68" s="128">
        <f>72637262+43007000</f>
        <v>115644262</v>
      </c>
      <c r="G68" s="112"/>
    </row>
    <row r="69" spans="1:7" ht="17.25" customHeight="1">
      <c r="A69" s="103">
        <f t="shared" si="0"/>
        <v>57</v>
      </c>
      <c r="B69" s="109"/>
      <c r="C69" s="129"/>
      <c r="D69" s="116" t="s">
        <v>123</v>
      </c>
      <c r="E69" s="117" t="s">
        <v>133</v>
      </c>
      <c r="F69" s="128">
        <f>13807901+8646859</f>
        <v>22454760</v>
      </c>
      <c r="G69" s="112"/>
    </row>
    <row r="70" spans="1:7" ht="17.25" customHeight="1">
      <c r="A70" s="103">
        <f t="shared" si="0"/>
        <v>58</v>
      </c>
      <c r="B70" s="109"/>
      <c r="C70" s="129"/>
      <c r="D70" s="116" t="s">
        <v>123</v>
      </c>
      <c r="E70" s="117" t="s">
        <v>127</v>
      </c>
      <c r="F70" s="121">
        <f>3019428+14652745</f>
        <v>17672173</v>
      </c>
      <c r="G70" s="121"/>
    </row>
    <row r="71" spans="1:7" ht="17.25" customHeight="1">
      <c r="A71" s="103">
        <f t="shared" si="0"/>
        <v>59</v>
      </c>
      <c r="B71" s="119"/>
      <c r="C71" s="129"/>
      <c r="D71" s="116" t="s">
        <v>123</v>
      </c>
      <c r="E71" s="117" t="s">
        <v>129</v>
      </c>
      <c r="F71" s="121">
        <f>4109200+6350000</f>
        <v>10459200</v>
      </c>
      <c r="G71" s="121"/>
    </row>
    <row r="72" spans="1:7" s="108" customFormat="1" ht="17.25" customHeight="1">
      <c r="A72" s="103">
        <f t="shared" si="0"/>
        <v>60</v>
      </c>
      <c r="B72" s="130"/>
      <c r="C72" s="610" t="s">
        <v>134</v>
      </c>
      <c r="D72" s="611"/>
      <c r="E72" s="611"/>
      <c r="F72" s="237"/>
      <c r="G72" s="115"/>
    </row>
    <row r="73" spans="1:7" ht="17.25" customHeight="1">
      <c r="A73" s="103">
        <f t="shared" si="0"/>
        <v>61</v>
      </c>
      <c r="B73" s="130"/>
      <c r="C73" s="131" t="s">
        <v>123</v>
      </c>
      <c r="D73" s="592" t="s">
        <v>217</v>
      </c>
      <c r="E73" s="592"/>
      <c r="F73" s="112"/>
      <c r="G73" s="112">
        <f>SUM(F74:F76)</f>
        <v>56268634</v>
      </c>
    </row>
    <row r="74" spans="1:7" ht="17.25" customHeight="1">
      <c r="A74" s="103">
        <f t="shared" si="0"/>
        <v>62</v>
      </c>
      <c r="B74" s="132"/>
      <c r="C74" s="133"/>
      <c r="D74" s="120" t="s">
        <v>123</v>
      </c>
      <c r="E74" s="117" t="s">
        <v>132</v>
      </c>
      <c r="F74" s="121">
        <f>30977891+2000000</f>
        <v>32977891</v>
      </c>
      <c r="G74" s="121"/>
    </row>
    <row r="75" spans="1:7" ht="17.25" customHeight="1">
      <c r="A75" s="103">
        <f t="shared" si="0"/>
        <v>63</v>
      </c>
      <c r="B75" s="132"/>
      <c r="C75" s="133"/>
      <c r="D75" s="120" t="s">
        <v>123</v>
      </c>
      <c r="E75" s="117" t="s">
        <v>133</v>
      </c>
      <c r="F75" s="121">
        <f>6890686+400000</f>
        <v>7290686</v>
      </c>
      <c r="G75" s="121"/>
    </row>
    <row r="76" spans="1:7" ht="17.25" customHeight="1">
      <c r="A76" s="103">
        <f t="shared" si="0"/>
        <v>64</v>
      </c>
      <c r="B76" s="109"/>
      <c r="C76" s="210"/>
      <c r="D76" s="120" t="s">
        <v>123</v>
      </c>
      <c r="E76" s="117" t="s">
        <v>127</v>
      </c>
      <c r="F76" s="121">
        <f>4851021+11149036</f>
        <v>16000057</v>
      </c>
      <c r="G76" s="118"/>
    </row>
    <row r="77" spans="1:7" ht="17.25" customHeight="1">
      <c r="A77" s="103">
        <f t="shared" si="0"/>
        <v>65</v>
      </c>
      <c r="B77" s="134"/>
      <c r="C77" s="613" t="s">
        <v>135</v>
      </c>
      <c r="D77" s="614"/>
      <c r="E77" s="614"/>
      <c r="F77" s="112"/>
      <c r="G77" s="135"/>
    </row>
    <row r="78" spans="1:7" ht="27" customHeight="1">
      <c r="A78" s="103">
        <f t="shared" si="0"/>
        <v>66</v>
      </c>
      <c r="B78" s="130"/>
      <c r="C78" s="139" t="s">
        <v>123</v>
      </c>
      <c r="D78" s="592" t="s">
        <v>218</v>
      </c>
      <c r="E78" s="592"/>
      <c r="F78" s="121"/>
      <c r="G78" s="112">
        <f>SUM(F79:F82)</f>
        <v>4496880</v>
      </c>
    </row>
    <row r="79" spans="1:7" ht="17.25" customHeight="1">
      <c r="A79" s="103">
        <f t="shared" si="0"/>
        <v>67</v>
      </c>
      <c r="B79" s="132"/>
      <c r="C79" s="133"/>
      <c r="D79" s="136" t="s">
        <v>123</v>
      </c>
      <c r="E79" s="117" t="s">
        <v>132</v>
      </c>
      <c r="F79" s="128">
        <f>768000+1900000</f>
        <v>2668000</v>
      </c>
      <c r="G79" s="112"/>
    </row>
    <row r="80" spans="1:7" ht="17.25" customHeight="1">
      <c r="A80" s="103">
        <f t="shared" si="0"/>
        <v>68</v>
      </c>
      <c r="B80" s="132"/>
      <c r="C80" s="133"/>
      <c r="D80" s="136" t="s">
        <v>123</v>
      </c>
      <c r="E80" s="117" t="s">
        <v>133</v>
      </c>
      <c r="F80" s="128">
        <f>168831+400000</f>
        <v>568831</v>
      </c>
      <c r="G80" s="112"/>
    </row>
    <row r="81" spans="1:7" ht="17.25" customHeight="1">
      <c r="A81" s="103">
        <f t="shared" si="0"/>
        <v>69</v>
      </c>
      <c r="B81" s="132"/>
      <c r="C81" s="133"/>
      <c r="D81" s="136" t="s">
        <v>123</v>
      </c>
      <c r="E81" s="117" t="s">
        <v>127</v>
      </c>
      <c r="F81" s="121">
        <f>111151+1148898</f>
        <v>1260049</v>
      </c>
      <c r="G81" s="115"/>
    </row>
    <row r="82" spans="1:7" s="108" customFormat="1" ht="17.25" customHeight="1">
      <c r="A82" s="103">
        <f t="shared" si="0"/>
        <v>70</v>
      </c>
      <c r="B82" s="134"/>
      <c r="C82" s="613" t="s">
        <v>136</v>
      </c>
      <c r="D82" s="614"/>
      <c r="E82" s="614"/>
      <c r="F82" s="112"/>
      <c r="G82" s="115"/>
    </row>
    <row r="83" spans="1:7" ht="17.25" customHeight="1">
      <c r="A83" s="103">
        <f t="shared" si="0"/>
        <v>71</v>
      </c>
      <c r="B83" s="130"/>
      <c r="C83" s="137" t="s">
        <v>123</v>
      </c>
      <c r="D83" s="592" t="s">
        <v>217</v>
      </c>
      <c r="E83" s="592"/>
      <c r="F83" s="121"/>
      <c r="G83" s="112">
        <f>SUM(F84:F87)</f>
        <v>34640626</v>
      </c>
    </row>
    <row r="84" spans="1:7" ht="17.25" customHeight="1">
      <c r="A84" s="103">
        <f t="shared" si="0"/>
        <v>72</v>
      </c>
      <c r="B84" s="132"/>
      <c r="C84" s="133"/>
      <c r="D84" s="120" t="s">
        <v>123</v>
      </c>
      <c r="E84" s="117" t="s">
        <v>132</v>
      </c>
      <c r="F84" s="121">
        <f>20600000+200000</f>
        <v>20800000</v>
      </c>
      <c r="G84" s="121"/>
    </row>
    <row r="85" spans="1:7" ht="17.25" customHeight="1">
      <c r="A85" s="103">
        <f t="shared" si="0"/>
        <v>73</v>
      </c>
      <c r="B85" s="132"/>
      <c r="C85" s="133"/>
      <c r="D85" s="120" t="s">
        <v>123</v>
      </c>
      <c r="E85" s="117" t="s">
        <v>133</v>
      </c>
      <c r="F85" s="121">
        <f>4015691+137784</f>
        <v>4153475</v>
      </c>
      <c r="G85" s="121"/>
    </row>
    <row r="86" spans="1:7" ht="17.25" customHeight="1">
      <c r="A86" s="103">
        <f t="shared" si="0"/>
        <v>74</v>
      </c>
      <c r="B86" s="132"/>
      <c r="C86" s="133"/>
      <c r="D86" s="120" t="s">
        <v>123</v>
      </c>
      <c r="E86" s="117" t="s">
        <v>127</v>
      </c>
      <c r="F86" s="121">
        <f>6909825+482000</f>
        <v>7391825</v>
      </c>
      <c r="G86" s="121"/>
    </row>
    <row r="87" spans="1:7" ht="17.25" customHeight="1">
      <c r="A87" s="103">
        <f t="shared" si="0"/>
        <v>75</v>
      </c>
      <c r="B87" s="132"/>
      <c r="C87" s="133"/>
      <c r="D87" s="120" t="s">
        <v>123</v>
      </c>
      <c r="E87" s="117" t="s">
        <v>129</v>
      </c>
      <c r="F87" s="121">
        <f>1977326+318000</f>
        <v>2295326</v>
      </c>
      <c r="G87" s="121"/>
    </row>
    <row r="88" spans="1:7" ht="17.25" customHeight="1">
      <c r="A88" s="103">
        <f t="shared" si="0"/>
        <v>76</v>
      </c>
      <c r="B88" s="109"/>
      <c r="C88" s="613" t="s">
        <v>150</v>
      </c>
      <c r="D88" s="614"/>
      <c r="E88" s="614"/>
      <c r="F88" s="121"/>
      <c r="G88" s="121"/>
    </row>
    <row r="89" spans="1:7" ht="17.25" customHeight="1">
      <c r="A89" s="103">
        <f t="shared" si="0"/>
        <v>77</v>
      </c>
      <c r="B89" s="109"/>
      <c r="C89" s="139" t="s">
        <v>123</v>
      </c>
      <c r="D89" s="592" t="s">
        <v>217</v>
      </c>
      <c r="E89" s="592"/>
      <c r="F89" s="121"/>
      <c r="G89" s="112">
        <f>SUM(F90:F94)</f>
        <v>15812129</v>
      </c>
    </row>
    <row r="90" spans="1:7" ht="17.25" customHeight="1">
      <c r="A90" s="103">
        <f t="shared" si="0"/>
        <v>78</v>
      </c>
      <c r="B90" s="109"/>
      <c r="C90" s="133"/>
      <c r="D90" s="136" t="s">
        <v>123</v>
      </c>
      <c r="E90" s="117" t="s">
        <v>132</v>
      </c>
      <c r="F90" s="121">
        <f>4162862+4000000</f>
        <v>8162862</v>
      </c>
      <c r="G90" s="112"/>
    </row>
    <row r="91" spans="1:7" ht="17.25" customHeight="1">
      <c r="A91" s="103">
        <f t="shared" si="0"/>
        <v>79</v>
      </c>
      <c r="B91" s="109"/>
      <c r="C91" s="133"/>
      <c r="D91" s="136" t="s">
        <v>123</v>
      </c>
      <c r="E91" s="117" t="s">
        <v>133</v>
      </c>
      <c r="F91" s="121">
        <f>820071+1641312</f>
        <v>2461383</v>
      </c>
      <c r="G91" s="121"/>
    </row>
    <row r="92" spans="1:7" ht="17.25" customHeight="1">
      <c r="A92" s="103">
        <f t="shared" si="0"/>
        <v>80</v>
      </c>
      <c r="B92" s="132"/>
      <c r="C92" s="133"/>
      <c r="D92" s="120" t="s">
        <v>123</v>
      </c>
      <c r="E92" s="117" t="s">
        <v>127</v>
      </c>
      <c r="F92" s="121">
        <f>779273</f>
        <v>779273</v>
      </c>
      <c r="G92" s="121"/>
    </row>
    <row r="93" spans="1:7" ht="17.25" customHeight="1">
      <c r="A93" s="103">
        <f t="shared" si="0"/>
        <v>81</v>
      </c>
      <c r="B93" s="132"/>
      <c r="C93" s="133"/>
      <c r="D93" s="120" t="s">
        <v>123</v>
      </c>
      <c r="E93" s="117" t="s">
        <v>129</v>
      </c>
      <c r="F93" s="121">
        <v>2808611</v>
      </c>
      <c r="G93" s="121"/>
    </row>
    <row r="94" spans="1:7" ht="17.25" customHeight="1">
      <c r="A94" s="103">
        <f t="shared" si="0"/>
        <v>82</v>
      </c>
      <c r="B94" s="132"/>
      <c r="C94" s="133"/>
      <c r="D94" s="120" t="s">
        <v>123</v>
      </c>
      <c r="E94" s="117" t="s">
        <v>219</v>
      </c>
      <c r="F94" s="121">
        <v>1600000</v>
      </c>
      <c r="G94" s="121"/>
    </row>
    <row r="95" spans="1:7" ht="17.25" customHeight="1">
      <c r="A95" s="103">
        <f t="shared" si="0"/>
        <v>83</v>
      </c>
      <c r="B95" s="132"/>
      <c r="C95" s="615" t="s">
        <v>216</v>
      </c>
      <c r="D95" s="616"/>
      <c r="E95" s="616"/>
      <c r="F95" s="121"/>
      <c r="G95" s="121">
        <f>SUM(G96:G119)</f>
        <v>0</v>
      </c>
    </row>
    <row r="96" spans="1:7" ht="12.75" customHeight="1">
      <c r="A96" s="103">
        <f t="shared" si="0"/>
        <v>84</v>
      </c>
      <c r="B96" s="132"/>
      <c r="C96" s="618" t="s">
        <v>137</v>
      </c>
      <c r="D96" s="619"/>
      <c r="E96" s="619"/>
      <c r="F96" s="121"/>
      <c r="G96" s="112">
        <f>F100+F99+F98</f>
        <v>-7253477</v>
      </c>
    </row>
    <row r="97" spans="1:7" ht="12.75" customHeight="1">
      <c r="A97" s="103">
        <f t="shared" si="0"/>
        <v>85</v>
      </c>
      <c r="B97" s="130"/>
      <c r="C97" s="620"/>
      <c r="D97" s="621"/>
      <c r="E97" s="621"/>
      <c r="F97" s="113"/>
      <c r="G97" s="113">
        <f>F101</f>
        <v>7253477</v>
      </c>
    </row>
    <row r="98" spans="1:7" ht="15.75" customHeight="1">
      <c r="A98" s="103">
        <f t="shared" si="0"/>
        <v>86</v>
      </c>
      <c r="B98" s="134"/>
      <c r="C98" s="125"/>
      <c r="D98" s="120" t="s">
        <v>123</v>
      </c>
      <c r="E98" s="114" t="s">
        <v>125</v>
      </c>
      <c r="F98" s="121">
        <v>-3716046</v>
      </c>
      <c r="G98" s="140"/>
    </row>
    <row r="99" spans="1:7" ht="16.5" customHeight="1">
      <c r="A99" s="103">
        <f t="shared" si="0"/>
        <v>87</v>
      </c>
      <c r="B99" s="134"/>
      <c r="C99" s="125"/>
      <c r="D99" s="120" t="s">
        <v>123</v>
      </c>
      <c r="E99" s="114" t="s">
        <v>126</v>
      </c>
      <c r="F99" s="118">
        <v>-725281</v>
      </c>
      <c r="G99" s="141"/>
    </row>
    <row r="100" spans="1:7" ht="17.25" customHeight="1">
      <c r="A100" s="103">
        <f t="shared" si="0"/>
        <v>88</v>
      </c>
      <c r="B100" s="134"/>
      <c r="C100" s="125"/>
      <c r="D100" s="120" t="s">
        <v>123</v>
      </c>
      <c r="E100" s="114" t="s">
        <v>138</v>
      </c>
      <c r="F100" s="118">
        <v>-2812150</v>
      </c>
      <c r="G100" s="135"/>
    </row>
    <row r="101" spans="1:7" ht="17.25" customHeight="1">
      <c r="A101" s="103">
        <f t="shared" si="0"/>
        <v>89</v>
      </c>
      <c r="B101" s="134"/>
      <c r="C101" s="125"/>
      <c r="D101" s="120" t="s">
        <v>123</v>
      </c>
      <c r="E101" s="114" t="s">
        <v>129</v>
      </c>
      <c r="F101" s="121">
        <v>7253477</v>
      </c>
      <c r="G101" s="104"/>
    </row>
    <row r="102" spans="1:7" ht="14.25" customHeight="1">
      <c r="A102" s="103">
        <f t="shared" si="0"/>
        <v>90</v>
      </c>
      <c r="B102" s="134"/>
      <c r="C102" s="618" t="s">
        <v>139</v>
      </c>
      <c r="D102" s="622"/>
      <c r="E102" s="623"/>
      <c r="F102" s="121"/>
      <c r="G102" s="104">
        <f>F104</f>
        <v>-1109203</v>
      </c>
    </row>
    <row r="103" spans="1:7" ht="13.5" customHeight="1">
      <c r="A103" s="103">
        <f t="shared" si="0"/>
        <v>91</v>
      </c>
      <c r="B103" s="134"/>
      <c r="C103" s="620"/>
      <c r="D103" s="621"/>
      <c r="E103" s="624"/>
      <c r="F103" s="121"/>
      <c r="G103" s="104">
        <f>F105</f>
        <v>1109203</v>
      </c>
    </row>
    <row r="104" spans="1:7" ht="13.5" customHeight="1">
      <c r="A104" s="103">
        <f t="shared" si="0"/>
        <v>92</v>
      </c>
      <c r="B104" s="134"/>
      <c r="C104" s="133"/>
      <c r="D104" s="120" t="s">
        <v>123</v>
      </c>
      <c r="E104" s="117" t="s">
        <v>138</v>
      </c>
      <c r="F104" s="121">
        <v>-1109203</v>
      </c>
      <c r="G104" s="140"/>
    </row>
    <row r="105" spans="1:7" ht="13.5" customHeight="1">
      <c r="A105" s="103">
        <f t="shared" si="0"/>
        <v>93</v>
      </c>
      <c r="B105" s="134"/>
      <c r="C105" s="133"/>
      <c r="D105" s="120" t="s">
        <v>123</v>
      </c>
      <c r="E105" s="114" t="s">
        <v>129</v>
      </c>
      <c r="F105" s="121">
        <v>1109203</v>
      </c>
      <c r="G105" s="140"/>
    </row>
    <row r="106" spans="1:7" ht="14.25" customHeight="1">
      <c r="A106" s="103">
        <f t="shared" si="0"/>
        <v>94</v>
      </c>
      <c r="B106" s="134"/>
      <c r="C106" s="618" t="s">
        <v>176</v>
      </c>
      <c r="D106" s="622"/>
      <c r="E106" s="623"/>
      <c r="F106" s="121"/>
      <c r="G106" s="140">
        <f>F108</f>
        <v>-23494</v>
      </c>
    </row>
    <row r="107" spans="1:7" ht="14.25" customHeight="1">
      <c r="A107" s="103">
        <f t="shared" si="0"/>
        <v>95</v>
      </c>
      <c r="B107" s="134"/>
      <c r="C107" s="620"/>
      <c r="D107" s="621"/>
      <c r="E107" s="624"/>
      <c r="F107" s="121"/>
      <c r="G107" s="140">
        <f>F109</f>
        <v>23494</v>
      </c>
    </row>
    <row r="108" spans="1:7" ht="14.25" customHeight="1">
      <c r="A108" s="103">
        <f t="shared" si="0"/>
        <v>96</v>
      </c>
      <c r="B108" s="134"/>
      <c r="C108" s="133"/>
      <c r="D108" s="120" t="s">
        <v>123</v>
      </c>
      <c r="E108" s="117" t="s">
        <v>138</v>
      </c>
      <c r="F108" s="121">
        <v>-23494</v>
      </c>
      <c r="G108" s="140"/>
    </row>
    <row r="109" spans="1:7" ht="14.25" customHeight="1">
      <c r="A109" s="103">
        <f t="shared" si="0"/>
        <v>97</v>
      </c>
      <c r="B109" s="134"/>
      <c r="C109" s="133"/>
      <c r="D109" s="120" t="s">
        <v>123</v>
      </c>
      <c r="E109" s="114" t="s">
        <v>129</v>
      </c>
      <c r="F109" s="121">
        <v>23494</v>
      </c>
      <c r="G109" s="140"/>
    </row>
    <row r="110" spans="1:7" ht="14.25" customHeight="1">
      <c r="A110" s="103">
        <f t="shared" si="0"/>
        <v>98</v>
      </c>
      <c r="B110" s="134"/>
      <c r="C110" s="618" t="s">
        <v>177</v>
      </c>
      <c r="D110" s="622"/>
      <c r="E110" s="623"/>
      <c r="F110" s="121"/>
      <c r="G110" s="140">
        <f>F112+F113+F114</f>
        <v>-5026948</v>
      </c>
    </row>
    <row r="111" spans="1:7" ht="14.25" customHeight="1">
      <c r="A111" s="103">
        <f t="shared" si="0"/>
        <v>99</v>
      </c>
      <c r="B111" s="134"/>
      <c r="C111" s="620"/>
      <c r="D111" s="621"/>
      <c r="E111" s="624"/>
      <c r="F111" s="121"/>
      <c r="G111" s="140">
        <f>F115</f>
        <v>5026948</v>
      </c>
    </row>
    <row r="112" spans="1:7" ht="14.25" customHeight="1">
      <c r="A112" s="103">
        <f t="shared" si="0"/>
        <v>100</v>
      </c>
      <c r="B112" s="134"/>
      <c r="C112" s="133"/>
      <c r="D112" s="120" t="s">
        <v>123</v>
      </c>
      <c r="E112" s="117" t="s">
        <v>178</v>
      </c>
      <c r="F112" s="121">
        <v>-1600000</v>
      </c>
      <c r="G112" s="140"/>
    </row>
    <row r="113" spans="1:7" ht="14.25" customHeight="1">
      <c r="A113" s="103">
        <f t="shared" si="0"/>
        <v>101</v>
      </c>
      <c r="B113" s="134"/>
      <c r="C113" s="133"/>
      <c r="D113" s="120" t="s">
        <v>123</v>
      </c>
      <c r="E113" s="117" t="s">
        <v>126</v>
      </c>
      <c r="F113" s="121">
        <v>-311175</v>
      </c>
      <c r="G113" s="140"/>
    </row>
    <row r="114" spans="1:7" ht="14.25" customHeight="1">
      <c r="A114" s="103">
        <f t="shared" si="0"/>
        <v>102</v>
      </c>
      <c r="B114" s="134"/>
      <c r="C114" s="133"/>
      <c r="D114" s="120" t="s">
        <v>123</v>
      </c>
      <c r="E114" s="117" t="s">
        <v>138</v>
      </c>
      <c r="F114" s="121">
        <v>-3115773</v>
      </c>
      <c r="G114" s="140"/>
    </row>
    <row r="115" spans="1:7" ht="14.25" customHeight="1">
      <c r="A115" s="103">
        <f t="shared" si="0"/>
        <v>103</v>
      </c>
      <c r="B115" s="134"/>
      <c r="C115" s="133"/>
      <c r="D115" s="120" t="s">
        <v>123</v>
      </c>
      <c r="E115" s="117" t="s">
        <v>179</v>
      </c>
      <c r="F115" s="121">
        <v>5026948</v>
      </c>
      <c r="G115" s="140"/>
    </row>
    <row r="116" spans="1:7" ht="13.5" customHeight="1">
      <c r="A116" s="103">
        <f t="shared" si="0"/>
        <v>104</v>
      </c>
      <c r="B116" s="130"/>
      <c r="C116" s="618" t="s">
        <v>140</v>
      </c>
      <c r="D116" s="622"/>
      <c r="E116" s="623"/>
      <c r="F116" s="121"/>
      <c r="G116" s="104">
        <f>F118</f>
        <v>-87495</v>
      </c>
    </row>
    <row r="117" spans="1:7" ht="13.5" customHeight="1">
      <c r="A117" s="103">
        <f t="shared" si="0"/>
        <v>105</v>
      </c>
      <c r="B117" s="130"/>
      <c r="C117" s="620"/>
      <c r="D117" s="621"/>
      <c r="E117" s="624"/>
      <c r="F117" s="121"/>
      <c r="G117" s="104">
        <f>F119</f>
        <v>87495</v>
      </c>
    </row>
    <row r="118" spans="1:7" ht="15.75" customHeight="1">
      <c r="A118" s="103">
        <f t="shared" si="0"/>
        <v>106</v>
      </c>
      <c r="B118" s="130"/>
      <c r="C118" s="133"/>
      <c r="D118" s="120" t="s">
        <v>123</v>
      </c>
      <c r="E118" s="117" t="s">
        <v>138</v>
      </c>
      <c r="F118" s="121">
        <v>-87495</v>
      </c>
      <c r="G118" s="104"/>
    </row>
    <row r="119" spans="1:7" ht="15.75" customHeight="1">
      <c r="A119" s="103">
        <f t="shared" si="0"/>
        <v>107</v>
      </c>
      <c r="B119" s="130"/>
      <c r="C119" s="133"/>
      <c r="D119" s="142" t="s">
        <v>123</v>
      </c>
      <c r="E119" s="117" t="s">
        <v>179</v>
      </c>
      <c r="F119" s="121">
        <v>87495</v>
      </c>
      <c r="G119" s="104"/>
    </row>
    <row r="120" spans="1:7" ht="17.25" customHeight="1">
      <c r="A120" s="103">
        <f t="shared" si="0"/>
        <v>108</v>
      </c>
      <c r="B120" s="130"/>
      <c r="C120" s="615" t="s">
        <v>148</v>
      </c>
      <c r="D120" s="616"/>
      <c r="E120" s="616"/>
      <c r="F120" s="121"/>
      <c r="G120" s="104">
        <f>F124+F125</f>
        <v>6352502</v>
      </c>
    </row>
    <row r="121" spans="1:7" ht="17.25" customHeight="1">
      <c r="A121" s="103">
        <f t="shared" si="0"/>
        <v>109</v>
      </c>
      <c r="B121" s="130"/>
      <c r="C121" s="616"/>
      <c r="D121" s="616"/>
      <c r="E121" s="616"/>
      <c r="F121" s="121"/>
      <c r="G121" s="104">
        <f>F122+F123</f>
        <v>-6352502</v>
      </c>
    </row>
    <row r="122" spans="1:7" ht="15" customHeight="1">
      <c r="A122" s="103">
        <f t="shared" si="0"/>
        <v>110</v>
      </c>
      <c r="B122" s="130"/>
      <c r="C122" s="133"/>
      <c r="D122" s="116" t="s">
        <v>123</v>
      </c>
      <c r="E122" s="117" t="s">
        <v>125</v>
      </c>
      <c r="F122" s="121">
        <f>F98+F112</f>
        <v>-5316046</v>
      </c>
      <c r="G122" s="104"/>
    </row>
    <row r="123" spans="1:7" ht="17.25" customHeight="1">
      <c r="A123" s="103">
        <f t="shared" si="0"/>
        <v>111</v>
      </c>
      <c r="B123" s="130"/>
      <c r="C123" s="133"/>
      <c r="D123" s="116" t="s">
        <v>123</v>
      </c>
      <c r="E123" s="117" t="s">
        <v>126</v>
      </c>
      <c r="F123" s="121">
        <f>F99+F113</f>
        <v>-1036456</v>
      </c>
      <c r="G123" s="128"/>
    </row>
    <row r="124" spans="1:7" ht="17.25" customHeight="1">
      <c r="A124" s="103">
        <f t="shared" si="0"/>
        <v>112</v>
      </c>
      <c r="B124" s="130"/>
      <c r="C124" s="133"/>
      <c r="D124" s="116" t="s">
        <v>123</v>
      </c>
      <c r="E124" s="117" t="s">
        <v>138</v>
      </c>
      <c r="F124" s="121">
        <f>F100+F104+F108+F114+F118</f>
        <v>-7148115</v>
      </c>
      <c r="G124" s="128"/>
    </row>
    <row r="125" spans="1:7" ht="17.25" customHeight="1">
      <c r="A125" s="103">
        <f t="shared" si="0"/>
        <v>113</v>
      </c>
      <c r="B125" s="130"/>
      <c r="C125" s="133"/>
      <c r="D125" s="120" t="s">
        <v>123</v>
      </c>
      <c r="E125" s="117" t="s">
        <v>129</v>
      </c>
      <c r="F125" s="121">
        <f>F101+F105+F109+F115+F119</f>
        <v>13500617</v>
      </c>
      <c r="G125" s="128"/>
    </row>
    <row r="126" spans="1:7" ht="17.25" customHeight="1">
      <c r="A126" s="103">
        <f t="shared" si="0"/>
        <v>114</v>
      </c>
      <c r="B126" s="143"/>
      <c r="C126" s="615" t="s">
        <v>149</v>
      </c>
      <c r="D126" s="615"/>
      <c r="E126" s="615"/>
      <c r="F126" s="112"/>
      <c r="G126" s="112">
        <f>SUM(G67:G94)</f>
        <v>277448664</v>
      </c>
    </row>
    <row r="127" spans="1:7" ht="17.25" customHeight="1">
      <c r="A127" s="103">
        <f t="shared" si="0"/>
        <v>115</v>
      </c>
      <c r="B127" s="143"/>
      <c r="C127" s="615" t="s">
        <v>141</v>
      </c>
      <c r="D127" s="615"/>
      <c r="E127" s="615"/>
      <c r="F127" s="112"/>
      <c r="G127" s="112">
        <f>G38</f>
        <v>3613271</v>
      </c>
    </row>
    <row r="128" spans="1:7" ht="17.25" customHeight="1">
      <c r="A128" s="103">
        <f t="shared" si="0"/>
        <v>116</v>
      </c>
      <c r="B128" s="126" t="s">
        <v>142</v>
      </c>
      <c r="C128" s="138"/>
      <c r="D128" s="138"/>
      <c r="E128" s="138"/>
      <c r="F128" s="138"/>
      <c r="G128" s="112">
        <f>SUM(G126:G127)</f>
        <v>281061935</v>
      </c>
    </row>
    <row r="129" spans="1:7" ht="17.25" customHeight="1">
      <c r="A129" s="103">
        <f t="shared" si="0"/>
        <v>117</v>
      </c>
      <c r="B129" s="138" t="s">
        <v>143</v>
      </c>
      <c r="C129" s="144"/>
      <c r="D129" s="144"/>
      <c r="E129" s="145"/>
      <c r="F129" s="238"/>
      <c r="G129" s="112">
        <f>G52+G128</f>
        <v>698676909</v>
      </c>
    </row>
    <row r="130" spans="1:7" ht="17.25" customHeight="1">
      <c r="A130" s="103"/>
      <c r="B130" s="125"/>
      <c r="C130" s="144"/>
      <c r="D130" s="144"/>
      <c r="E130" s="145" t="s">
        <v>403</v>
      </c>
      <c r="F130" s="238"/>
      <c r="G130" s="112">
        <v>250000000</v>
      </c>
    </row>
    <row r="131" spans="1:7" ht="17.25" customHeight="1">
      <c r="A131" s="103">
        <f>A129+1</f>
        <v>118</v>
      </c>
      <c r="B131" s="610" t="s">
        <v>183</v>
      </c>
      <c r="C131" s="459"/>
      <c r="D131" s="459"/>
      <c r="E131" s="617"/>
      <c r="F131" s="236"/>
      <c r="G131" s="112">
        <f>G10+G129+G130</f>
        <v>5537940788</v>
      </c>
    </row>
    <row r="132" spans="6:7" ht="17.25" customHeight="1">
      <c r="F132" s="94"/>
      <c r="G132" s="94"/>
    </row>
    <row r="133" spans="6:7" ht="17.25" customHeight="1">
      <c r="F133" s="94"/>
      <c r="G133" s="94"/>
    </row>
    <row r="134" spans="6:8" ht="17.25" customHeight="1">
      <c r="F134" s="94"/>
      <c r="G134" s="94"/>
      <c r="H134" s="146"/>
    </row>
    <row r="135" spans="3:7" ht="17.25" customHeight="1">
      <c r="C135" s="108"/>
      <c r="D135" s="108"/>
      <c r="E135" s="108"/>
      <c r="F135" s="94"/>
      <c r="G135" s="94"/>
    </row>
    <row r="136" spans="3:7" ht="17.25" customHeight="1">
      <c r="C136" s="108"/>
      <c r="D136" s="108"/>
      <c r="E136" s="108"/>
      <c r="F136" s="94"/>
      <c r="G136" s="94"/>
    </row>
    <row r="137" s="108" customFormat="1" ht="17.25" customHeight="1"/>
    <row r="138" s="108" customFormat="1" ht="17.25" customHeight="1"/>
    <row r="139" s="108" customFormat="1" ht="17.25" customHeight="1"/>
    <row r="140" spans="3:5" s="108" customFormat="1" ht="17.25" customHeight="1">
      <c r="C140" s="94"/>
      <c r="D140" s="94"/>
      <c r="E140" s="94"/>
    </row>
    <row r="141" spans="3:5" s="108" customFormat="1" ht="17.25" customHeight="1">
      <c r="C141" s="94"/>
      <c r="D141" s="94"/>
      <c r="E141" s="94"/>
    </row>
    <row r="158" spans="2:7" s="147" customFormat="1" ht="17.25" customHeight="1">
      <c r="B158" s="94"/>
      <c r="C158" s="94"/>
      <c r="D158" s="94"/>
      <c r="E158" s="94"/>
      <c r="F158" s="95"/>
      <c r="G158" s="96"/>
    </row>
    <row r="159" spans="2:7" s="147" customFormat="1" ht="17.25" customHeight="1">
      <c r="B159" s="94"/>
      <c r="C159" s="94"/>
      <c r="D159" s="94"/>
      <c r="E159" s="94"/>
      <c r="F159" s="95"/>
      <c r="G159" s="96"/>
    </row>
    <row r="160" spans="2:7" s="147" customFormat="1" ht="17.25" customHeight="1">
      <c r="B160" s="94"/>
      <c r="C160" s="94"/>
      <c r="D160" s="94"/>
      <c r="E160" s="94"/>
      <c r="F160" s="95"/>
      <c r="G160" s="96"/>
    </row>
    <row r="164" spans="2:7" s="132" customFormat="1" ht="17.25" customHeight="1">
      <c r="B164" s="94"/>
      <c r="C164" s="94"/>
      <c r="D164" s="94"/>
      <c r="E164" s="94"/>
      <c r="F164" s="95"/>
      <c r="G164" s="96"/>
    </row>
    <row r="170" spans="2:7" s="147" customFormat="1" ht="17.25" customHeight="1">
      <c r="B170" s="94"/>
      <c r="C170" s="94"/>
      <c r="D170" s="94"/>
      <c r="E170" s="94"/>
      <c r="F170" s="95"/>
      <c r="G170" s="96"/>
    </row>
    <row r="171" spans="2:7" s="147" customFormat="1" ht="17.25" customHeight="1">
      <c r="B171" s="94"/>
      <c r="C171" s="94"/>
      <c r="D171" s="94"/>
      <c r="E171" s="94"/>
      <c r="F171" s="95"/>
      <c r="G171" s="96"/>
    </row>
  </sheetData>
  <sheetProtection/>
  <mergeCells count="77">
    <mergeCell ref="F41:F42"/>
    <mergeCell ref="D45:E45"/>
    <mergeCell ref="D48:E48"/>
    <mergeCell ref="D43:E43"/>
    <mergeCell ref="D44:E44"/>
    <mergeCell ref="C41:E42"/>
    <mergeCell ref="C120:E121"/>
    <mergeCell ref="D50:E50"/>
    <mergeCell ref="D46:E46"/>
    <mergeCell ref="D47:E47"/>
    <mergeCell ref="B10:E10"/>
    <mergeCell ref="D18:E18"/>
    <mergeCell ref="D22:E22"/>
    <mergeCell ref="D20:E20"/>
    <mergeCell ref="D21:E21"/>
    <mergeCell ref="D30:E30"/>
    <mergeCell ref="D89:E89"/>
    <mergeCell ref="C95:E95"/>
    <mergeCell ref="C126:E126"/>
    <mergeCell ref="C127:E127"/>
    <mergeCell ref="B131:E131"/>
    <mergeCell ref="C96:E97"/>
    <mergeCell ref="C102:E103"/>
    <mergeCell ref="C106:E107"/>
    <mergeCell ref="C110:E111"/>
    <mergeCell ref="C116:E117"/>
    <mergeCell ref="D73:E73"/>
    <mergeCell ref="C77:E77"/>
    <mergeCell ref="D78:E78"/>
    <mergeCell ref="C82:E82"/>
    <mergeCell ref="D83:E83"/>
    <mergeCell ref="C88:E88"/>
    <mergeCell ref="A62:G62"/>
    <mergeCell ref="B65:E65"/>
    <mergeCell ref="C66:E66"/>
    <mergeCell ref="C72:E72"/>
    <mergeCell ref="D67:E67"/>
    <mergeCell ref="D58:E58"/>
    <mergeCell ref="D59:E59"/>
    <mergeCell ref="C19:E19"/>
    <mergeCell ref="C39:E39"/>
    <mergeCell ref="D40:E40"/>
    <mergeCell ref="C29:E29"/>
    <mergeCell ref="D37:E37"/>
    <mergeCell ref="D55:E55"/>
    <mergeCell ref="C24:E24"/>
    <mergeCell ref="D49:E49"/>
    <mergeCell ref="D33:E33"/>
    <mergeCell ref="D51:E51"/>
    <mergeCell ref="C13:E13"/>
    <mergeCell ref="D14:E14"/>
    <mergeCell ref="C38:E38"/>
    <mergeCell ref="D25:E25"/>
    <mergeCell ref="D28:E28"/>
    <mergeCell ref="D31:E31"/>
    <mergeCell ref="D32:E32"/>
    <mergeCell ref="D27:E27"/>
    <mergeCell ref="D34:E34"/>
    <mergeCell ref="D35:E35"/>
    <mergeCell ref="D17:E17"/>
    <mergeCell ref="D15:E15"/>
    <mergeCell ref="D61:E61"/>
    <mergeCell ref="D36:E36"/>
    <mergeCell ref="A1:G1"/>
    <mergeCell ref="A4:G4"/>
    <mergeCell ref="A5:G5"/>
    <mergeCell ref="B11:E11"/>
    <mergeCell ref="C12:E12"/>
    <mergeCell ref="D16:E16"/>
    <mergeCell ref="C26:E26"/>
    <mergeCell ref="D23:E23"/>
    <mergeCell ref="D60:E60"/>
    <mergeCell ref="C52:E52"/>
    <mergeCell ref="D53:E53"/>
    <mergeCell ref="D54:E54"/>
    <mergeCell ref="D56:E56"/>
    <mergeCell ref="D57:E57"/>
  </mergeCells>
  <printOptions/>
  <pageMargins left="0" right="0" top="0" bottom="0" header="0" footer="0"/>
  <pageSetup horizontalDpi="600" verticalDpi="600" orientation="portrait" paperSize="9" scale="7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1"/>
  <sheetViews>
    <sheetView showZeros="0" view="pageBreakPreview" zoomScale="75" zoomScaleSheetLayoutView="75" zoomScalePageLayoutView="0" workbookViewId="0" topLeftCell="Y1">
      <selection activeCell="U2" sqref="U2"/>
    </sheetView>
  </sheetViews>
  <sheetFormatPr defaultColWidth="9.140625" defaultRowHeight="12.75"/>
  <cols>
    <col min="1" max="1" width="3.28125" style="3" customWidth="1"/>
    <col min="2" max="2" width="28.140625" style="3" customWidth="1"/>
    <col min="3" max="3" width="14.8515625" style="3" customWidth="1"/>
    <col min="4" max="4" width="14.7109375" style="3" customWidth="1"/>
    <col min="5" max="5" width="14.140625" style="3" customWidth="1"/>
    <col min="6" max="6" width="13.7109375" style="3" customWidth="1"/>
    <col min="7" max="7" width="13.00390625" style="3" customWidth="1"/>
    <col min="8" max="8" width="13.7109375" style="3" customWidth="1"/>
    <col min="9" max="9" width="15.421875" style="3" customWidth="1"/>
    <col min="10" max="10" width="15.140625" style="3" customWidth="1"/>
    <col min="11" max="11" width="15.140625" style="3" bestFit="1" customWidth="1"/>
    <col min="12" max="12" width="13.00390625" style="3" customWidth="1"/>
    <col min="13" max="13" width="13.421875" style="3" customWidth="1"/>
    <col min="14" max="14" width="13.421875" style="3" bestFit="1" customWidth="1"/>
    <col min="15" max="15" width="13.28125" style="3" customWidth="1"/>
    <col min="16" max="16" width="14.421875" style="3" customWidth="1"/>
    <col min="17" max="17" width="13.8515625" style="3" customWidth="1"/>
    <col min="18" max="18" width="17.7109375" style="3" customWidth="1"/>
    <col min="19" max="19" width="16.28125" style="3" customWidth="1"/>
    <col min="20" max="20" width="9.57421875" style="3" customWidth="1"/>
    <col min="21" max="21" width="11.7109375" style="3" customWidth="1"/>
    <col min="22" max="22" width="15.8515625" style="3" bestFit="1" customWidth="1"/>
    <col min="23" max="23" width="16.00390625" style="3" customWidth="1"/>
    <col min="24" max="24" width="15.8515625" style="3" hidden="1" customWidth="1"/>
    <col min="25" max="25" width="4.57421875" style="3" customWidth="1"/>
    <col min="26" max="26" width="26.00390625" style="3" customWidth="1"/>
    <col min="27" max="27" width="13.57421875" style="3" customWidth="1"/>
    <col min="28" max="28" width="13.7109375" style="3" customWidth="1"/>
    <col min="29" max="30" width="14.00390625" style="3" bestFit="1" customWidth="1"/>
    <col min="31" max="31" width="12.57421875" style="3" customWidth="1"/>
    <col min="32" max="32" width="12.140625" style="3" customWidth="1"/>
    <col min="33" max="33" width="9.8515625" style="3" customWidth="1"/>
    <col min="34" max="34" width="13.00390625" style="3" customWidth="1"/>
    <col min="35" max="35" width="13.28125" style="3" customWidth="1"/>
    <col min="36" max="36" width="17.57421875" style="3" customWidth="1"/>
    <col min="37" max="37" width="15.8515625" style="3" bestFit="1" customWidth="1"/>
    <col min="38" max="38" width="11.140625" style="3" customWidth="1"/>
    <col min="39" max="39" width="16.57421875" style="3" customWidth="1"/>
    <col min="40" max="40" width="16.8515625" style="3" customWidth="1"/>
    <col min="41" max="41" width="18.140625" style="3" customWidth="1"/>
    <col min="42" max="42" width="12.8515625" style="3" customWidth="1"/>
    <col min="43" max="16384" width="9.140625" style="3" customWidth="1"/>
  </cols>
  <sheetData>
    <row r="1" spans="1:42" s="1" customFormat="1" ht="23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94" t="s">
        <v>407</v>
      </c>
      <c r="O1" s="395"/>
      <c r="P1" s="395"/>
      <c r="Q1" s="395"/>
      <c r="R1" s="395"/>
      <c r="S1" s="395"/>
      <c r="T1" s="395"/>
      <c r="U1" s="395"/>
      <c r="V1" s="395"/>
      <c r="W1" s="396"/>
      <c r="X1" s="219"/>
      <c r="Y1" s="26"/>
      <c r="Z1" s="26"/>
      <c r="AA1" s="26"/>
      <c r="AB1" s="26"/>
      <c r="AC1" s="26"/>
      <c r="AD1" s="26"/>
      <c r="AE1" s="26"/>
      <c r="AF1" s="26"/>
      <c r="AG1" s="26"/>
      <c r="AI1" s="26"/>
      <c r="AK1" s="27"/>
      <c r="AL1" s="28"/>
      <c r="AM1" s="28"/>
      <c r="AN1" s="28"/>
      <c r="AO1" s="27"/>
      <c r="AP1" s="28" t="str">
        <f>N1</f>
        <v>2. sz. melléklet a 24/2018. (VIII. 31.) önkormányzati rendelethez</v>
      </c>
    </row>
    <row r="2" spans="1:39" s="29" customFormat="1" ht="28.5" customHeight="1">
      <c r="A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42" ht="20.25">
      <c r="A3" s="425" t="s">
        <v>213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222"/>
      <c r="Y3" s="397" t="str">
        <f>A3</f>
        <v>Békés Város Önkormányzata és intézményei 2018. évi  kiadási előirányzatának I.  félévi teljesítése</v>
      </c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</row>
    <row r="4" spans="1:42" ht="23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2"/>
      <c r="AO4" s="32"/>
      <c r="AP4" s="32"/>
    </row>
    <row r="5" spans="1:42" ht="25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2"/>
      <c r="AP5" s="32"/>
    </row>
    <row r="6" spans="1:42" ht="17.25" customHeight="1">
      <c r="A6" s="33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  <c r="G6" s="34" t="s">
        <v>5</v>
      </c>
      <c r="H6" s="34" t="s">
        <v>6</v>
      </c>
      <c r="I6" s="34" t="s">
        <v>7</v>
      </c>
      <c r="J6" s="34" t="s">
        <v>8</v>
      </c>
      <c r="K6" s="34" t="s">
        <v>9</v>
      </c>
      <c r="L6" s="34" t="s">
        <v>10</v>
      </c>
      <c r="M6" s="34" t="s">
        <v>11</v>
      </c>
      <c r="N6" s="34" t="s">
        <v>12</v>
      </c>
      <c r="O6" s="34" t="s">
        <v>13</v>
      </c>
      <c r="P6" s="34" t="s">
        <v>14</v>
      </c>
      <c r="Q6" s="34" t="s">
        <v>15</v>
      </c>
      <c r="R6" s="34" t="s">
        <v>16</v>
      </c>
      <c r="S6" s="34" t="s">
        <v>17</v>
      </c>
      <c r="T6" s="34" t="s">
        <v>18</v>
      </c>
      <c r="U6" s="34" t="s">
        <v>19</v>
      </c>
      <c r="V6" s="34" t="s">
        <v>20</v>
      </c>
      <c r="W6" s="34" t="s">
        <v>21</v>
      </c>
      <c r="X6" s="34"/>
      <c r="Y6" s="33"/>
      <c r="Z6" s="35" t="s">
        <v>68</v>
      </c>
      <c r="AA6" s="36" t="s">
        <v>22</v>
      </c>
      <c r="AB6" s="36" t="s">
        <v>23</v>
      </c>
      <c r="AC6" s="36" t="s">
        <v>24</v>
      </c>
      <c r="AD6" s="36" t="s">
        <v>25</v>
      </c>
      <c r="AE6" s="36" t="s">
        <v>26</v>
      </c>
      <c r="AF6" s="36" t="s">
        <v>27</v>
      </c>
      <c r="AG6" s="36" t="s">
        <v>28</v>
      </c>
      <c r="AH6" s="36" t="s">
        <v>29</v>
      </c>
      <c r="AI6" s="36" t="s">
        <v>30</v>
      </c>
      <c r="AJ6" s="36" t="s">
        <v>31</v>
      </c>
      <c r="AK6" s="36" t="s">
        <v>32</v>
      </c>
      <c r="AL6" s="36" t="s">
        <v>33</v>
      </c>
      <c r="AM6" s="36" t="s">
        <v>34</v>
      </c>
      <c r="AN6" s="36" t="s">
        <v>35</v>
      </c>
      <c r="AO6" s="36" t="s">
        <v>69</v>
      </c>
      <c r="AP6" s="36" t="s">
        <v>70</v>
      </c>
    </row>
    <row r="7" spans="1:42" ht="21" customHeight="1">
      <c r="A7" s="7">
        <v>1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 t="s">
        <v>36</v>
      </c>
      <c r="X7" s="38"/>
      <c r="Y7" s="39">
        <f aca="true" t="shared" si="0" ref="Y7:Y18">A7</f>
        <v>1</v>
      </c>
      <c r="Z7" s="40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8" t="str">
        <f>W7</f>
        <v> Ft-ban</v>
      </c>
      <c r="AO7" s="428"/>
      <c r="AP7" s="42"/>
    </row>
    <row r="8" spans="1:42" ht="24.75" customHeight="1">
      <c r="A8" s="9">
        <f aca="true" t="shared" si="1" ref="A8:A18">A7+1</f>
        <v>2</v>
      </c>
      <c r="B8" s="399" t="s">
        <v>38</v>
      </c>
      <c r="C8" s="400" t="s">
        <v>71</v>
      </c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220"/>
      <c r="Y8" s="10">
        <f t="shared" si="0"/>
        <v>2</v>
      </c>
      <c r="Z8" s="429" t="s">
        <v>38</v>
      </c>
      <c r="AA8" s="430" t="s">
        <v>72</v>
      </c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 t="s">
        <v>73</v>
      </c>
      <c r="AN8" s="430"/>
      <c r="AO8" s="430"/>
      <c r="AP8" s="430"/>
    </row>
    <row r="9" spans="1:42" ht="39.75" customHeight="1">
      <c r="A9" s="9">
        <f t="shared" si="1"/>
        <v>3</v>
      </c>
      <c r="B9" s="399"/>
      <c r="C9" s="400" t="s">
        <v>74</v>
      </c>
      <c r="D9" s="400"/>
      <c r="E9" s="400"/>
      <c r="F9" s="400" t="s">
        <v>75</v>
      </c>
      <c r="G9" s="400"/>
      <c r="H9" s="400"/>
      <c r="I9" s="400" t="s">
        <v>76</v>
      </c>
      <c r="J9" s="400"/>
      <c r="K9" s="400"/>
      <c r="L9" s="400" t="s">
        <v>77</v>
      </c>
      <c r="M9" s="400"/>
      <c r="N9" s="400"/>
      <c r="O9" s="400" t="s">
        <v>78</v>
      </c>
      <c r="P9" s="400"/>
      <c r="Q9" s="400"/>
      <c r="R9" s="413" t="s">
        <v>79</v>
      </c>
      <c r="S9" s="416"/>
      <c r="T9" s="417"/>
      <c r="U9" s="413" t="s">
        <v>80</v>
      </c>
      <c r="V9" s="416"/>
      <c r="W9" s="417"/>
      <c r="X9" s="221"/>
      <c r="Y9" s="10">
        <f t="shared" si="0"/>
        <v>3</v>
      </c>
      <c r="Z9" s="399"/>
      <c r="AA9" s="400" t="s">
        <v>81</v>
      </c>
      <c r="AB9" s="400"/>
      <c r="AC9" s="400"/>
      <c r="AD9" s="400" t="s">
        <v>82</v>
      </c>
      <c r="AE9" s="400"/>
      <c r="AF9" s="400"/>
      <c r="AG9" s="400" t="s">
        <v>83</v>
      </c>
      <c r="AH9" s="400"/>
      <c r="AI9" s="400"/>
      <c r="AJ9" s="400" t="s">
        <v>84</v>
      </c>
      <c r="AK9" s="400"/>
      <c r="AL9" s="400"/>
      <c r="AM9" s="400"/>
      <c r="AN9" s="400"/>
      <c r="AO9" s="400"/>
      <c r="AP9" s="400"/>
    </row>
    <row r="10" spans="1:42" ht="67.5" customHeight="1">
      <c r="A10" s="9">
        <f t="shared" si="1"/>
        <v>4</v>
      </c>
      <c r="B10" s="399"/>
      <c r="C10" s="11" t="s">
        <v>85</v>
      </c>
      <c r="D10" s="11" t="s">
        <v>86</v>
      </c>
      <c r="E10" s="11" t="s">
        <v>57</v>
      </c>
      <c r="F10" s="11" t="s">
        <v>85</v>
      </c>
      <c r="G10" s="11" t="s">
        <v>86</v>
      </c>
      <c r="H10" s="11" t="s">
        <v>57</v>
      </c>
      <c r="I10" s="11" t="s">
        <v>85</v>
      </c>
      <c r="J10" s="11" t="s">
        <v>86</v>
      </c>
      <c r="K10" s="11" t="s">
        <v>57</v>
      </c>
      <c r="L10" s="11" t="s">
        <v>85</v>
      </c>
      <c r="M10" s="11" t="s">
        <v>86</v>
      </c>
      <c r="N10" s="11" t="s">
        <v>57</v>
      </c>
      <c r="O10" s="11" t="s">
        <v>85</v>
      </c>
      <c r="P10" s="11" t="s">
        <v>86</v>
      </c>
      <c r="Q10" s="11" t="s">
        <v>57</v>
      </c>
      <c r="R10" s="11" t="s">
        <v>85</v>
      </c>
      <c r="S10" s="11" t="s">
        <v>86</v>
      </c>
      <c r="T10" s="11" t="s">
        <v>57</v>
      </c>
      <c r="U10" s="11" t="s">
        <v>55</v>
      </c>
      <c r="V10" s="11" t="s">
        <v>56</v>
      </c>
      <c r="W10" s="11" t="s">
        <v>57</v>
      </c>
      <c r="X10" s="11"/>
      <c r="Y10" s="10">
        <f t="shared" si="0"/>
        <v>4</v>
      </c>
      <c r="Z10" s="399"/>
      <c r="AA10" s="11" t="s">
        <v>85</v>
      </c>
      <c r="AB10" s="11" t="s">
        <v>86</v>
      </c>
      <c r="AC10" s="11" t="s">
        <v>57</v>
      </c>
      <c r="AD10" s="11" t="s">
        <v>85</v>
      </c>
      <c r="AE10" s="11" t="s">
        <v>86</v>
      </c>
      <c r="AF10" s="11" t="s">
        <v>57</v>
      </c>
      <c r="AG10" s="11" t="s">
        <v>85</v>
      </c>
      <c r="AH10" s="11" t="s">
        <v>86</v>
      </c>
      <c r="AI10" s="11" t="s">
        <v>57</v>
      </c>
      <c r="AJ10" s="11" t="s">
        <v>85</v>
      </c>
      <c r="AK10" s="11" t="s">
        <v>86</v>
      </c>
      <c r="AL10" s="11" t="s">
        <v>57</v>
      </c>
      <c r="AM10" s="11" t="s">
        <v>85</v>
      </c>
      <c r="AN10" s="11" t="s">
        <v>86</v>
      </c>
      <c r="AO10" s="11" t="s">
        <v>57</v>
      </c>
      <c r="AP10" s="11" t="s">
        <v>59</v>
      </c>
    </row>
    <row r="11" spans="1:42" ht="45" customHeight="1">
      <c r="A11" s="9">
        <f t="shared" si="1"/>
        <v>5</v>
      </c>
      <c r="B11" s="19" t="s">
        <v>60</v>
      </c>
      <c r="C11" s="43">
        <v>319618000</v>
      </c>
      <c r="D11" s="43">
        <v>433140417</v>
      </c>
      <c r="E11" s="43">
        <v>163938640</v>
      </c>
      <c r="F11" s="43">
        <v>62760000</v>
      </c>
      <c r="G11" s="43">
        <v>84806873</v>
      </c>
      <c r="H11" s="43">
        <v>35369570</v>
      </c>
      <c r="I11" s="43">
        <v>194161000</v>
      </c>
      <c r="J11" s="43">
        <v>209021023</v>
      </c>
      <c r="K11" s="43">
        <v>114223845</v>
      </c>
      <c r="L11" s="43"/>
      <c r="M11" s="43"/>
      <c r="N11" s="43"/>
      <c r="O11" s="43">
        <v>3500000</v>
      </c>
      <c r="P11" s="43">
        <v>3500000</v>
      </c>
      <c r="Q11" s="43">
        <v>1791034</v>
      </c>
      <c r="R11" s="43"/>
      <c r="S11" s="43"/>
      <c r="T11" s="43"/>
      <c r="U11" s="43"/>
      <c r="V11" s="43"/>
      <c r="W11" s="43"/>
      <c r="X11" s="43"/>
      <c r="Y11" s="10">
        <f t="shared" si="0"/>
        <v>5</v>
      </c>
      <c r="Z11" s="12" t="str">
        <f aca="true" t="shared" si="2" ref="Z11:Z18">B11</f>
        <v>Gyógyászati Központ és Gyógyfürdő</v>
      </c>
      <c r="AA11" s="43"/>
      <c r="AB11" s="43">
        <v>17712677</v>
      </c>
      <c r="AC11" s="43">
        <v>16060677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4">
        <f>C11+F11+I11+L11+O11+R11+U11+AA11+AD11+AG11+AJ11</f>
        <v>580039000</v>
      </c>
      <c r="AN11" s="44">
        <f aca="true" t="shared" si="3" ref="AM11:AN16">SUM(D11+G11+J11+M11+P11+S11+AB11+AE11+AH11+AK11)</f>
        <v>748180990</v>
      </c>
      <c r="AO11" s="44">
        <f aca="true" t="shared" si="4" ref="AO11:AO18">SUM(E11+H11+K11+N11+Q11+W11+AC11+AF11+AI11+AL11)</f>
        <v>331383766</v>
      </c>
      <c r="AP11" s="218">
        <f>AO11/AN11</f>
        <v>0.442919254069794</v>
      </c>
    </row>
    <row r="12" spans="1:42" ht="45" customHeight="1">
      <c r="A12" s="9">
        <f t="shared" si="1"/>
        <v>6</v>
      </c>
      <c r="B12" s="12" t="s">
        <v>61</v>
      </c>
      <c r="C12" s="43">
        <v>50298695</v>
      </c>
      <c r="D12" s="43">
        <v>83410486</v>
      </c>
      <c r="E12" s="43">
        <v>30856272</v>
      </c>
      <c r="F12" s="43">
        <v>10698000</v>
      </c>
      <c r="G12" s="43">
        <v>18015429</v>
      </c>
      <c r="H12" s="43">
        <v>5204335</v>
      </c>
      <c r="I12" s="43">
        <v>51692000</v>
      </c>
      <c r="J12" s="43">
        <v>66872854</v>
      </c>
      <c r="K12" s="43">
        <v>37791218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10">
        <f t="shared" si="0"/>
        <v>6</v>
      </c>
      <c r="Z12" s="12" t="str">
        <f t="shared" si="2"/>
        <v>Kecskeméti Gábor Kulturális Központ</v>
      </c>
      <c r="AA12" s="43"/>
      <c r="AB12" s="43">
        <v>1109203</v>
      </c>
      <c r="AC12" s="43">
        <v>1014893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4">
        <f>C12+F12+I12+L12+O12+R12+U12+AA12+AD12+AG12+AJ12</f>
        <v>112688695</v>
      </c>
      <c r="AN12" s="44">
        <f t="shared" si="3"/>
        <v>169407972</v>
      </c>
      <c r="AO12" s="44">
        <f t="shared" si="4"/>
        <v>74866718</v>
      </c>
      <c r="AP12" s="218">
        <f aca="true" t="shared" si="5" ref="AP12:AP18">AO12/AN12</f>
        <v>0.44193149304685614</v>
      </c>
    </row>
    <row r="13" spans="1:42" ht="34.5" customHeight="1">
      <c r="A13" s="9">
        <f t="shared" si="1"/>
        <v>7</v>
      </c>
      <c r="B13" s="12" t="s">
        <v>62</v>
      </c>
      <c r="C13" s="43">
        <v>13363000</v>
      </c>
      <c r="D13" s="43">
        <v>16174600</v>
      </c>
      <c r="E13" s="43">
        <v>7317696</v>
      </c>
      <c r="F13" s="43">
        <v>2533000</v>
      </c>
      <c r="G13" s="43">
        <v>3130608</v>
      </c>
      <c r="H13" s="43">
        <v>1355395</v>
      </c>
      <c r="I13" s="43">
        <v>5707000</v>
      </c>
      <c r="J13" s="43">
        <v>6943555</v>
      </c>
      <c r="K13" s="43">
        <v>3705944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10">
        <f t="shared" si="0"/>
        <v>7</v>
      </c>
      <c r="Z13" s="12" t="str">
        <f t="shared" si="2"/>
        <v>Jantyik Mátyás Múzeum</v>
      </c>
      <c r="AA13" s="43"/>
      <c r="AB13" s="43">
        <v>23494</v>
      </c>
      <c r="AC13" s="43">
        <v>23494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4">
        <f>C13+F13+I13+L13+O13+R13+U13+AA13+AD13+AG13+AJ13</f>
        <v>21603000</v>
      </c>
      <c r="AN13" s="44">
        <f t="shared" si="3"/>
        <v>26272257</v>
      </c>
      <c r="AO13" s="44">
        <f t="shared" si="4"/>
        <v>12402529</v>
      </c>
      <c r="AP13" s="218">
        <f t="shared" si="5"/>
        <v>0.4720770278701217</v>
      </c>
    </row>
    <row r="14" spans="1:42" ht="34.5" customHeight="1">
      <c r="A14" s="9">
        <f t="shared" si="1"/>
        <v>8</v>
      </c>
      <c r="B14" s="18" t="s">
        <v>63</v>
      </c>
      <c r="C14" s="43">
        <v>22297000</v>
      </c>
      <c r="D14" s="43">
        <v>41727093</v>
      </c>
      <c r="E14" s="43">
        <v>13237162</v>
      </c>
      <c r="F14" s="43">
        <v>4231000</v>
      </c>
      <c r="G14" s="43">
        <v>8119522</v>
      </c>
      <c r="H14" s="43">
        <v>2500407</v>
      </c>
      <c r="I14" s="43">
        <v>6700000</v>
      </c>
      <c r="J14" s="43">
        <v>10976052</v>
      </c>
      <c r="K14" s="43">
        <v>6855207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10">
        <f t="shared" si="0"/>
        <v>8</v>
      </c>
      <c r="Z14" s="12" t="str">
        <f t="shared" si="2"/>
        <v>Püski Sándor Könyvtár</v>
      </c>
      <c r="AA14" s="43"/>
      <c r="AB14" s="43">
        <v>7322274</v>
      </c>
      <c r="AC14" s="43">
        <v>5780263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4">
        <f>C14+F14+I14+L14+O14+R14+U14+AA14+AD14+AG14+AJ14</f>
        <v>33228000</v>
      </c>
      <c r="AN14" s="44">
        <f t="shared" si="3"/>
        <v>68144941</v>
      </c>
      <c r="AO14" s="44">
        <f t="shared" si="4"/>
        <v>28373039</v>
      </c>
      <c r="AP14" s="218">
        <f t="shared" si="5"/>
        <v>0.4163631017011226</v>
      </c>
    </row>
    <row r="15" spans="1:42" ht="34.5" customHeight="1">
      <c r="A15" s="9">
        <f t="shared" si="1"/>
        <v>9</v>
      </c>
      <c r="B15" s="22" t="s">
        <v>64</v>
      </c>
      <c r="C15" s="44">
        <f aca="true" t="shared" si="6" ref="C15:S15">SUM(C11:C14)</f>
        <v>405576695</v>
      </c>
      <c r="D15" s="44">
        <f t="shared" si="6"/>
        <v>574452596</v>
      </c>
      <c r="E15" s="44">
        <f t="shared" si="6"/>
        <v>215349770</v>
      </c>
      <c r="F15" s="44">
        <f t="shared" si="6"/>
        <v>80222000</v>
      </c>
      <c r="G15" s="44">
        <f t="shared" si="6"/>
        <v>114072432</v>
      </c>
      <c r="H15" s="44">
        <f t="shared" si="6"/>
        <v>44429707</v>
      </c>
      <c r="I15" s="44">
        <f t="shared" si="6"/>
        <v>258260000</v>
      </c>
      <c r="J15" s="44">
        <f t="shared" si="6"/>
        <v>293813484</v>
      </c>
      <c r="K15" s="44">
        <f t="shared" si="6"/>
        <v>162576214</v>
      </c>
      <c r="L15" s="44">
        <f t="shared" si="6"/>
        <v>0</v>
      </c>
      <c r="M15" s="44">
        <f t="shared" si="6"/>
        <v>0</v>
      </c>
      <c r="N15" s="44">
        <f t="shared" si="6"/>
        <v>0</v>
      </c>
      <c r="O15" s="44">
        <f t="shared" si="6"/>
        <v>3500000</v>
      </c>
      <c r="P15" s="44">
        <f t="shared" si="6"/>
        <v>3500000</v>
      </c>
      <c r="Q15" s="44">
        <f t="shared" si="6"/>
        <v>1791034</v>
      </c>
      <c r="R15" s="44">
        <f t="shared" si="6"/>
        <v>0</v>
      </c>
      <c r="S15" s="44">
        <f t="shared" si="6"/>
        <v>0</v>
      </c>
      <c r="T15" s="44"/>
      <c r="U15" s="44"/>
      <c r="V15" s="44"/>
      <c r="W15" s="44">
        <f>SUM(W11:W14)</f>
        <v>0</v>
      </c>
      <c r="X15" s="44"/>
      <c r="Y15" s="10">
        <f t="shared" si="0"/>
        <v>9</v>
      </c>
      <c r="Z15" s="22" t="str">
        <f t="shared" si="2"/>
        <v>Költségvetési szervek összesen:</v>
      </c>
      <c r="AA15" s="44">
        <f aca="true" t="shared" si="7" ref="AA15:AL15">SUM(AA11:AA14)</f>
        <v>0</v>
      </c>
      <c r="AB15" s="44">
        <f t="shared" si="7"/>
        <v>26167648</v>
      </c>
      <c r="AC15" s="44">
        <f t="shared" si="7"/>
        <v>22879327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7"/>
        <v>0</v>
      </c>
      <c r="AL15" s="44">
        <f t="shared" si="7"/>
        <v>0</v>
      </c>
      <c r="AM15" s="44">
        <f t="shared" si="3"/>
        <v>747558695</v>
      </c>
      <c r="AN15" s="44">
        <f t="shared" si="3"/>
        <v>1012006160</v>
      </c>
      <c r="AO15" s="44">
        <f t="shared" si="4"/>
        <v>447026052</v>
      </c>
      <c r="AP15" s="218">
        <f t="shared" si="5"/>
        <v>0.44172265907946645</v>
      </c>
    </row>
    <row r="16" spans="1:42" ht="34.5" customHeight="1">
      <c r="A16" s="9">
        <f t="shared" si="1"/>
        <v>10</v>
      </c>
      <c r="B16" s="24" t="s">
        <v>65</v>
      </c>
      <c r="C16" s="43">
        <v>253456000</v>
      </c>
      <c r="D16" s="43">
        <v>262286863</v>
      </c>
      <c r="E16" s="43">
        <v>113649993</v>
      </c>
      <c r="F16" s="43">
        <v>59418000</v>
      </c>
      <c r="G16" s="43">
        <v>62013723</v>
      </c>
      <c r="H16" s="43">
        <v>24362540</v>
      </c>
      <c r="I16" s="43">
        <v>233562000</v>
      </c>
      <c r="J16" s="43">
        <v>233322282</v>
      </c>
      <c r="K16" s="43">
        <v>115523019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10">
        <f t="shared" si="0"/>
        <v>10</v>
      </c>
      <c r="Z16" s="12" t="str">
        <f t="shared" si="2"/>
        <v>Polgármesteri Hivatal</v>
      </c>
      <c r="AA16" s="43"/>
      <c r="AB16" s="43">
        <v>3827602</v>
      </c>
      <c r="AC16" s="43">
        <v>3719463</v>
      </c>
      <c r="AD16" s="43"/>
      <c r="AE16" s="43">
        <v>1600000</v>
      </c>
      <c r="AF16" s="43"/>
      <c r="AG16" s="43"/>
      <c r="AH16" s="43"/>
      <c r="AI16" s="43"/>
      <c r="AJ16" s="43"/>
      <c r="AK16" s="43"/>
      <c r="AL16" s="43"/>
      <c r="AM16" s="44">
        <f t="shared" si="3"/>
        <v>546436000</v>
      </c>
      <c r="AN16" s="44">
        <f t="shared" si="3"/>
        <v>563050470</v>
      </c>
      <c r="AO16" s="44">
        <f t="shared" si="4"/>
        <v>257255015</v>
      </c>
      <c r="AP16" s="218">
        <f t="shared" si="5"/>
        <v>0.45689512522740633</v>
      </c>
    </row>
    <row r="17" spans="1:42" ht="34.5" customHeight="1">
      <c r="A17" s="9">
        <f t="shared" si="1"/>
        <v>11</v>
      </c>
      <c r="B17" s="24" t="s">
        <v>87</v>
      </c>
      <c r="C17" s="43">
        <v>288265000</v>
      </c>
      <c r="D17" s="43">
        <v>308804758</v>
      </c>
      <c r="E17" s="43">
        <v>154022338</v>
      </c>
      <c r="F17" s="43">
        <v>36555000</v>
      </c>
      <c r="G17" s="43">
        <v>38473230</v>
      </c>
      <c r="H17" s="43">
        <v>19474136</v>
      </c>
      <c r="I17" s="43">
        <v>356292240</v>
      </c>
      <c r="J17" s="43">
        <v>448842451</v>
      </c>
      <c r="K17" s="43">
        <v>277275337</v>
      </c>
      <c r="L17" s="43">
        <v>119700000</v>
      </c>
      <c r="M17" s="43">
        <v>113810500</v>
      </c>
      <c r="N17" s="43">
        <v>37821963</v>
      </c>
      <c r="O17" s="43">
        <v>852727000</v>
      </c>
      <c r="P17" s="43">
        <v>898694288</v>
      </c>
      <c r="Q17" s="43">
        <v>442867392</v>
      </c>
      <c r="R17" s="343">
        <v>124425171</v>
      </c>
      <c r="S17" s="343">
        <f>'5.sz.m'!F31</f>
        <v>78199638</v>
      </c>
      <c r="T17" s="43"/>
      <c r="U17" s="43">
        <v>45458541</v>
      </c>
      <c r="V17" s="43">
        <v>45458541</v>
      </c>
      <c r="W17" s="43">
        <v>45458541</v>
      </c>
      <c r="X17" s="43"/>
      <c r="Y17" s="10">
        <f t="shared" si="0"/>
        <v>11</v>
      </c>
      <c r="Z17" s="12" t="str">
        <f t="shared" si="2"/>
        <v> Önkormányzat </v>
      </c>
      <c r="AA17" s="43">
        <f>36658000+124101000</f>
        <v>160759000</v>
      </c>
      <c r="AB17" s="43">
        <f>43909768+206106854</f>
        <v>250016622</v>
      </c>
      <c r="AC17" s="43">
        <f>58756805+7251768</f>
        <v>66008573</v>
      </c>
      <c r="AD17" s="43">
        <v>32900000</v>
      </c>
      <c r="AE17" s="43">
        <v>32900000</v>
      </c>
      <c r="AF17" s="43">
        <v>4580000</v>
      </c>
      <c r="AG17" s="43"/>
      <c r="AH17" s="43">
        <f>43564698</f>
        <v>43564698</v>
      </c>
      <c r="AI17" s="43">
        <v>43564698</v>
      </c>
      <c r="AJ17" s="343">
        <f>1278187232</f>
        <v>1278187232</v>
      </c>
      <c r="AK17" s="343">
        <f>'5.sz.m'!F50</f>
        <v>1704119432</v>
      </c>
      <c r="AL17" s="43"/>
      <c r="AM17" s="44">
        <f>SUM(C17+F17+I17+L17+O17+R17+U17+AA17+AD17+AG17+AJ17)</f>
        <v>3295269184</v>
      </c>
      <c r="AN17" s="44">
        <f>SUM(D17+G17+J17+M17+P17+S17+V17+AB17+AE17+AH17+AK17)</f>
        <v>3962884158</v>
      </c>
      <c r="AO17" s="44">
        <f t="shared" si="4"/>
        <v>1091072978</v>
      </c>
      <c r="AP17" s="218">
        <f t="shared" si="5"/>
        <v>0.27532295532722456</v>
      </c>
    </row>
    <row r="18" spans="1:42" ht="34.5" customHeight="1">
      <c r="A18" s="9">
        <f t="shared" si="1"/>
        <v>12</v>
      </c>
      <c r="B18" s="22" t="s">
        <v>67</v>
      </c>
      <c r="C18" s="44">
        <f aca="true" t="shared" si="8" ref="C18:S18">SUM(C15:C17)</f>
        <v>947297695</v>
      </c>
      <c r="D18" s="44">
        <f t="shared" si="8"/>
        <v>1145544217</v>
      </c>
      <c r="E18" s="44">
        <f t="shared" si="8"/>
        <v>483022101</v>
      </c>
      <c r="F18" s="44">
        <f t="shared" si="8"/>
        <v>176195000</v>
      </c>
      <c r="G18" s="44">
        <f t="shared" si="8"/>
        <v>214559385</v>
      </c>
      <c r="H18" s="44">
        <f t="shared" si="8"/>
        <v>88266383</v>
      </c>
      <c r="I18" s="44">
        <f t="shared" si="8"/>
        <v>848114240</v>
      </c>
      <c r="J18" s="44">
        <f t="shared" si="8"/>
        <v>975978217</v>
      </c>
      <c r="K18" s="44">
        <f t="shared" si="8"/>
        <v>555374570</v>
      </c>
      <c r="L18" s="44">
        <f t="shared" si="8"/>
        <v>119700000</v>
      </c>
      <c r="M18" s="44">
        <f t="shared" si="8"/>
        <v>113810500</v>
      </c>
      <c r="N18" s="44">
        <f t="shared" si="8"/>
        <v>37821963</v>
      </c>
      <c r="O18" s="242">
        <f t="shared" si="8"/>
        <v>856227000</v>
      </c>
      <c r="P18" s="242">
        <f t="shared" si="8"/>
        <v>902194288</v>
      </c>
      <c r="Q18" s="242">
        <f t="shared" si="8"/>
        <v>444658426</v>
      </c>
      <c r="R18" s="44">
        <f t="shared" si="8"/>
        <v>124425171</v>
      </c>
      <c r="S18" s="44">
        <f t="shared" si="8"/>
        <v>78199638</v>
      </c>
      <c r="T18" s="44"/>
      <c r="U18" s="44">
        <f>SUM(U15:U17)</f>
        <v>45458541</v>
      </c>
      <c r="V18" s="44">
        <f>SUM(V15:V17)</f>
        <v>45458541</v>
      </c>
      <c r="W18" s="44">
        <f>SUM(W15:W17)</f>
        <v>45458541</v>
      </c>
      <c r="X18" s="44">
        <f>SUM(+T18+Q18+N18+K18+H18+E18)</f>
        <v>1609143443</v>
      </c>
      <c r="Y18" s="10">
        <f t="shared" si="0"/>
        <v>12</v>
      </c>
      <c r="Z18" s="22" t="str">
        <f t="shared" si="2"/>
        <v>Békés Város mindösszesen:</v>
      </c>
      <c r="AA18" s="44">
        <f aca="true" t="shared" si="9" ref="AA18:AL18">SUM(AA15:AA17)</f>
        <v>160759000</v>
      </c>
      <c r="AB18" s="44">
        <f t="shared" si="9"/>
        <v>280011872</v>
      </c>
      <c r="AC18" s="44">
        <f t="shared" si="9"/>
        <v>92607363</v>
      </c>
      <c r="AD18" s="44">
        <f t="shared" si="9"/>
        <v>32900000</v>
      </c>
      <c r="AE18" s="44">
        <f t="shared" si="9"/>
        <v>34500000</v>
      </c>
      <c r="AF18" s="44">
        <f t="shared" si="9"/>
        <v>4580000</v>
      </c>
      <c r="AG18" s="44">
        <f t="shared" si="9"/>
        <v>0</v>
      </c>
      <c r="AH18" s="44">
        <f t="shared" si="9"/>
        <v>43564698</v>
      </c>
      <c r="AI18" s="44">
        <f t="shared" si="9"/>
        <v>43564698</v>
      </c>
      <c r="AJ18" s="44">
        <f t="shared" si="9"/>
        <v>1278187232</v>
      </c>
      <c r="AK18" s="44">
        <f t="shared" si="9"/>
        <v>1704119432</v>
      </c>
      <c r="AL18" s="44">
        <f t="shared" si="9"/>
        <v>0</v>
      </c>
      <c r="AM18" s="44">
        <f>SUM(C18+F18+I18+L18+O18+R18+U18+AA18+AD18+AG18+AJ18)</f>
        <v>4589263879</v>
      </c>
      <c r="AN18" s="44">
        <f>SUM(D18+G18+J18+M18+P18+S18+V18+AB18+AE18+AH18+AK18)</f>
        <v>5537940788</v>
      </c>
      <c r="AO18" s="44">
        <f t="shared" si="4"/>
        <v>1795354045</v>
      </c>
      <c r="AP18" s="218">
        <f t="shared" si="5"/>
        <v>0.32419162893368225</v>
      </c>
    </row>
    <row r="19" spans="18:41" s="206" customFormat="1" ht="60" customHeight="1">
      <c r="R19" s="207">
        <f>R17+AJ17</f>
        <v>1402612403</v>
      </c>
      <c r="S19" s="207">
        <f>S17+AK17</f>
        <v>1782319070</v>
      </c>
      <c r="V19" s="207">
        <f>V18+S18+P18+M18+J18+G18+D18</f>
        <v>3475744786</v>
      </c>
      <c r="W19" s="206">
        <f>X18/X19</f>
        <v>0.4681307435545595</v>
      </c>
      <c r="X19" s="207">
        <f>D18+F18+J18+M18+P18+S18+W18</f>
        <v>3437380401</v>
      </c>
      <c r="AB19" s="207"/>
      <c r="AC19" s="207" t="s">
        <v>171</v>
      </c>
      <c r="AD19" s="207" t="s">
        <v>171</v>
      </c>
      <c r="AJ19" s="207"/>
      <c r="AK19" s="207" t="s">
        <v>171</v>
      </c>
      <c r="AL19" s="207"/>
      <c r="AM19" s="240">
        <f>AM18-'1.sz.m.'!AI18</f>
        <v>0</v>
      </c>
      <c r="AN19" s="240">
        <f>AN18-'1.sz.m.'!AJ18</f>
        <v>0</v>
      </c>
      <c r="AO19" s="240"/>
    </row>
    <row r="20" spans="15:38" ht="12.75">
      <c r="O20" s="25"/>
      <c r="P20" s="25"/>
      <c r="Q20" s="25"/>
      <c r="R20" s="25"/>
      <c r="S20" s="25"/>
      <c r="T20" s="25"/>
      <c r="U20" s="25"/>
      <c r="V20" s="25"/>
      <c r="W20" s="389"/>
      <c r="X20" s="25"/>
      <c r="Y20" s="25"/>
      <c r="AD20" s="25"/>
      <c r="AE20" s="25"/>
      <c r="AF20" s="25"/>
      <c r="AJ20" s="25"/>
      <c r="AK20" s="25"/>
      <c r="AL20" s="25"/>
    </row>
    <row r="21" spans="18:23" ht="12.75">
      <c r="R21" s="208"/>
      <c r="S21" s="389"/>
      <c r="V21" s="208"/>
      <c r="W21" s="208"/>
    </row>
  </sheetData>
  <sheetProtection/>
  <mergeCells count="20">
    <mergeCell ref="L9:N9"/>
    <mergeCell ref="AA9:AC9"/>
    <mergeCell ref="AG9:AI9"/>
    <mergeCell ref="AJ9:AL9"/>
    <mergeCell ref="Y3:AP3"/>
    <mergeCell ref="AN7:AO7"/>
    <mergeCell ref="Z8:Z10"/>
    <mergeCell ref="AA8:AL8"/>
    <mergeCell ref="AM8:AP9"/>
    <mergeCell ref="AD9:AF9"/>
    <mergeCell ref="N1:W1"/>
    <mergeCell ref="A3:W3"/>
    <mergeCell ref="R9:T9"/>
    <mergeCell ref="U9:W9"/>
    <mergeCell ref="B8:B10"/>
    <mergeCell ref="C8:W8"/>
    <mergeCell ref="C9:E9"/>
    <mergeCell ref="O9:Q9"/>
    <mergeCell ref="I9:K9"/>
    <mergeCell ref="F9:H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43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3.8515625" style="251" bestFit="1" customWidth="1"/>
    <col min="2" max="2" width="34.00390625" style="249" bestFit="1" customWidth="1"/>
    <col min="3" max="3" width="19.57421875" style="249" bestFit="1" customWidth="1"/>
    <col min="4" max="4" width="32.8515625" style="249" bestFit="1" customWidth="1"/>
    <col min="5" max="5" width="18.57421875" style="249" bestFit="1" customWidth="1"/>
    <col min="6" max="6" width="9.140625" style="249" customWidth="1"/>
    <col min="7" max="7" width="18.57421875" style="249" bestFit="1" customWidth="1"/>
    <col min="8" max="16384" width="9.140625" style="249" customWidth="1"/>
  </cols>
  <sheetData>
    <row r="1" spans="1:5" ht="15.75">
      <c r="A1" s="248"/>
      <c r="B1" s="248"/>
      <c r="C1" s="248"/>
      <c r="D1" s="248"/>
      <c r="E1" s="248"/>
    </row>
    <row r="2" spans="1:5" ht="15.75">
      <c r="A2" s="250"/>
      <c r="B2" s="250"/>
      <c r="C2" s="250"/>
      <c r="D2" s="250"/>
      <c r="E2" s="250"/>
    </row>
    <row r="3" spans="1:5" ht="15.75">
      <c r="A3" s="250"/>
      <c r="B3" s="396" t="s">
        <v>408</v>
      </c>
      <c r="C3" s="396"/>
      <c r="D3" s="396"/>
      <c r="E3" s="395"/>
    </row>
    <row r="4" spans="1:5" ht="15.75">
      <c r="A4" s="250"/>
      <c r="B4" s="251"/>
      <c r="C4" s="251"/>
      <c r="D4" s="251"/>
      <c r="E4" s="251"/>
    </row>
    <row r="5" spans="1:5" ht="15.75">
      <c r="A5" s="250"/>
      <c r="B5" s="251"/>
      <c r="C5" s="251"/>
      <c r="D5" s="251"/>
      <c r="E5" s="251"/>
    </row>
    <row r="6" spans="1:5" ht="42.75" customHeight="1">
      <c r="A6" s="250"/>
      <c r="B6" s="433" t="s">
        <v>269</v>
      </c>
      <c r="C6" s="433"/>
      <c r="D6" s="433"/>
      <c r="E6" s="433"/>
    </row>
    <row r="7" spans="1:5" ht="15.75">
      <c r="A7" s="250"/>
      <c r="B7" s="251"/>
      <c r="C7" s="251"/>
      <c r="D7" s="251"/>
      <c r="E7" s="251"/>
    </row>
    <row r="8" spans="1:5" ht="16.5" thickBot="1">
      <c r="A8" s="252"/>
      <c r="B8" s="253" t="s">
        <v>0</v>
      </c>
      <c r="C8" s="254" t="s">
        <v>1</v>
      </c>
      <c r="D8" s="254" t="s">
        <v>2</v>
      </c>
      <c r="E8" s="254" t="s">
        <v>3</v>
      </c>
    </row>
    <row r="9" spans="1:5" ht="15.75">
      <c r="A9" s="255" t="s">
        <v>97</v>
      </c>
      <c r="B9" s="434" t="s">
        <v>270</v>
      </c>
      <c r="C9" s="435"/>
      <c r="D9" s="435"/>
      <c r="E9" s="436"/>
    </row>
    <row r="10" spans="1:5" ht="15.75">
      <c r="A10" s="256" t="s">
        <v>98</v>
      </c>
      <c r="B10" s="437" t="s">
        <v>39</v>
      </c>
      <c r="C10" s="431"/>
      <c r="D10" s="431" t="s">
        <v>71</v>
      </c>
      <c r="E10" s="432"/>
    </row>
    <row r="11" spans="1:5" ht="25.5" customHeight="1">
      <c r="A11" s="256" t="s">
        <v>99</v>
      </c>
      <c r="B11" s="259" t="s">
        <v>271</v>
      </c>
      <c r="C11" s="257" t="s">
        <v>272</v>
      </c>
      <c r="D11" s="257" t="s">
        <v>271</v>
      </c>
      <c r="E11" s="258" t="s">
        <v>272</v>
      </c>
    </row>
    <row r="12" spans="1:5" ht="24" customHeight="1">
      <c r="A12" s="256" t="s">
        <v>100</v>
      </c>
      <c r="B12" s="260" t="s">
        <v>45</v>
      </c>
      <c r="C12" s="261">
        <f>'1.sz.m.'!D18</f>
        <v>441243033</v>
      </c>
      <c r="D12" s="262" t="s">
        <v>74</v>
      </c>
      <c r="E12" s="263">
        <f>'2.sz.m.'!D18</f>
        <v>1145544217</v>
      </c>
    </row>
    <row r="13" spans="1:5" ht="26.25" customHeight="1">
      <c r="A13" s="256" t="s">
        <v>101</v>
      </c>
      <c r="B13" s="260" t="s">
        <v>46</v>
      </c>
      <c r="C13" s="261">
        <f>'1.sz.m.'!G18</f>
        <v>576988000</v>
      </c>
      <c r="D13" s="262" t="s">
        <v>273</v>
      </c>
      <c r="E13" s="263">
        <f>'2.sz.m.'!G18</f>
        <v>214559385</v>
      </c>
    </row>
    <row r="14" spans="1:5" ht="21.75" customHeight="1">
      <c r="A14" s="256" t="s">
        <v>102</v>
      </c>
      <c r="B14" s="260" t="s">
        <v>47</v>
      </c>
      <c r="C14" s="261">
        <f>'1.sz.m.'!J18</f>
        <v>1266757054</v>
      </c>
      <c r="D14" s="262" t="s">
        <v>274</v>
      </c>
      <c r="E14" s="263">
        <f>'2.sz.m.'!J18</f>
        <v>975978217</v>
      </c>
    </row>
    <row r="15" spans="1:5" ht="31.5" customHeight="1">
      <c r="A15" s="256" t="s">
        <v>103</v>
      </c>
      <c r="B15" s="260" t="s">
        <v>48</v>
      </c>
      <c r="C15" s="261">
        <f>'1.sz.m.'!P18</f>
        <v>953871801</v>
      </c>
      <c r="D15" s="438" t="s">
        <v>77</v>
      </c>
      <c r="E15" s="440">
        <f>'2.sz.m.'!M18</f>
        <v>113810500</v>
      </c>
    </row>
    <row r="16" spans="1:5" ht="21.75" customHeight="1">
      <c r="A16" s="256" t="s">
        <v>104</v>
      </c>
      <c r="B16" s="264"/>
      <c r="C16" s="265"/>
      <c r="D16" s="439"/>
      <c r="E16" s="441"/>
    </row>
    <row r="17" spans="1:5" ht="31.5">
      <c r="A17" s="256" t="s">
        <v>105</v>
      </c>
      <c r="B17" s="260"/>
      <c r="C17" s="261"/>
      <c r="D17" s="262" t="s">
        <v>275</v>
      </c>
      <c r="E17" s="263">
        <f>'2.sz.m.'!P18</f>
        <v>902194288</v>
      </c>
    </row>
    <row r="18" spans="1:5" ht="21.75" customHeight="1">
      <c r="A18" s="256" t="s">
        <v>107</v>
      </c>
      <c r="B18" s="260"/>
      <c r="C18" s="261"/>
      <c r="D18" s="262" t="s">
        <v>276</v>
      </c>
      <c r="E18" s="263">
        <f>'2.sz.m.'!S18</f>
        <v>78199638</v>
      </c>
    </row>
    <row r="19" spans="1:5" ht="21.75" customHeight="1">
      <c r="A19" s="256" t="s">
        <v>108</v>
      </c>
      <c r="B19" s="260"/>
      <c r="C19" s="261"/>
      <c r="D19" s="262" t="s">
        <v>80</v>
      </c>
      <c r="E19" s="263">
        <f>'2.sz.m.'!V18</f>
        <v>45458541</v>
      </c>
    </row>
    <row r="20" spans="1:5" ht="22.5" customHeight="1">
      <c r="A20" s="256" t="s">
        <v>109</v>
      </c>
      <c r="B20" s="264" t="s">
        <v>277</v>
      </c>
      <c r="C20" s="265">
        <f>SUM(C12:C19)</f>
        <v>3238859888</v>
      </c>
      <c r="D20" s="266" t="s">
        <v>278</v>
      </c>
      <c r="E20" s="267">
        <f>SUM(E12:E19)</f>
        <v>3475744786</v>
      </c>
    </row>
    <row r="21" spans="1:7" ht="19.5" customHeight="1">
      <c r="A21" s="256" t="s">
        <v>110</v>
      </c>
      <c r="B21" s="442" t="s">
        <v>279</v>
      </c>
      <c r="C21" s="443"/>
      <c r="D21" s="443"/>
      <c r="E21" s="268">
        <f>C20-E20</f>
        <v>-236884898</v>
      </c>
      <c r="G21" s="269"/>
    </row>
    <row r="22" spans="1:5" ht="22.5" customHeight="1">
      <c r="A22" s="256" t="s">
        <v>111</v>
      </c>
      <c r="B22" s="444" t="s">
        <v>280</v>
      </c>
      <c r="C22" s="445"/>
      <c r="D22" s="445"/>
      <c r="E22" s="268">
        <f>'1.sz.m.'!S18</f>
        <v>252838416</v>
      </c>
    </row>
    <row r="23" spans="1:5" ht="21" customHeight="1">
      <c r="A23" s="256" t="s">
        <v>112</v>
      </c>
      <c r="B23" s="442" t="s">
        <v>281</v>
      </c>
      <c r="C23" s="443"/>
      <c r="D23" s="443"/>
      <c r="E23" s="268">
        <f>E22+E21</f>
        <v>15953518</v>
      </c>
    </row>
    <row r="24" spans="1:5" ht="15.75">
      <c r="A24" s="270"/>
      <c r="B24" s="271"/>
      <c r="C24" s="272"/>
      <c r="D24" s="272"/>
      <c r="E24" s="273"/>
    </row>
    <row r="25" spans="1:5" ht="15.75">
      <c r="A25" s="256" t="s">
        <v>113</v>
      </c>
      <c r="B25" s="451" t="s">
        <v>282</v>
      </c>
      <c r="C25" s="452"/>
      <c r="D25" s="452"/>
      <c r="E25" s="453"/>
    </row>
    <row r="26" spans="1:5" ht="15.75">
      <c r="A26" s="256" t="s">
        <v>283</v>
      </c>
      <c r="B26" s="437" t="s">
        <v>41</v>
      </c>
      <c r="C26" s="431"/>
      <c r="D26" s="431" t="s">
        <v>72</v>
      </c>
      <c r="E26" s="432"/>
    </row>
    <row r="27" spans="1:5" ht="15.75">
      <c r="A27" s="256" t="s">
        <v>284</v>
      </c>
      <c r="B27" s="259" t="s">
        <v>271</v>
      </c>
      <c r="C27" s="257" t="s">
        <v>272</v>
      </c>
      <c r="D27" s="257" t="s">
        <v>271</v>
      </c>
      <c r="E27" s="258" t="s">
        <v>272</v>
      </c>
    </row>
    <row r="28" spans="1:5" ht="27.75" customHeight="1">
      <c r="A28" s="256" t="s">
        <v>285</v>
      </c>
      <c r="B28" s="260" t="s">
        <v>49</v>
      </c>
      <c r="C28" s="261">
        <f>'1.sz.m.'!X18</f>
        <v>79133418</v>
      </c>
      <c r="D28" s="262" t="s">
        <v>81</v>
      </c>
      <c r="E28" s="263">
        <f>'2.sz.m.'!AB18</f>
        <v>280011872</v>
      </c>
    </row>
    <row r="29" spans="1:5" ht="21.75" customHeight="1">
      <c r="A29" s="256" t="s">
        <v>286</v>
      </c>
      <c r="B29" s="260" t="s">
        <v>50</v>
      </c>
      <c r="C29" s="261">
        <f>'1.sz.m.'!AA18</f>
        <v>106714000</v>
      </c>
      <c r="D29" s="262" t="s">
        <v>82</v>
      </c>
      <c r="E29" s="263">
        <f>'2.sz.m.'!AE18+'2.sz.m.'!AI18</f>
        <v>78064698</v>
      </c>
    </row>
    <row r="30" spans="1:5" ht="30" customHeight="1">
      <c r="A30" s="256" t="s">
        <v>287</v>
      </c>
      <c r="B30" s="260" t="s">
        <v>392</v>
      </c>
      <c r="C30" s="261">
        <f>'1.sz.m.'!AG18</f>
        <v>293564698</v>
      </c>
      <c r="D30" s="262" t="s">
        <v>288</v>
      </c>
      <c r="E30" s="263">
        <f>'2.sz.m.'!AK18</f>
        <v>1704119432</v>
      </c>
    </row>
    <row r="31" spans="1:5" ht="24" customHeight="1">
      <c r="A31" s="256" t="s">
        <v>289</v>
      </c>
      <c r="B31" s="264" t="s">
        <v>290</v>
      </c>
      <c r="C31" s="274">
        <f>SUM(C28:C30)</f>
        <v>479412116</v>
      </c>
      <c r="D31" s="266" t="s">
        <v>291</v>
      </c>
      <c r="E31" s="268">
        <f>SUM(E28:E30)</f>
        <v>2062196002</v>
      </c>
    </row>
    <row r="32" spans="1:7" ht="19.5" customHeight="1">
      <c r="A32" s="256" t="s">
        <v>292</v>
      </c>
      <c r="B32" s="442" t="s">
        <v>293</v>
      </c>
      <c r="C32" s="443"/>
      <c r="D32" s="443"/>
      <c r="E32" s="268">
        <f>C31-E31</f>
        <v>-1582783886</v>
      </c>
      <c r="G32" s="269" t="s">
        <v>171</v>
      </c>
    </row>
    <row r="33" spans="1:7" ht="19.5" customHeight="1">
      <c r="A33" s="256" t="s">
        <v>294</v>
      </c>
      <c r="B33" s="444" t="s">
        <v>295</v>
      </c>
      <c r="C33" s="445"/>
      <c r="D33" s="445"/>
      <c r="E33" s="268">
        <f>'1.sz.m.'!AD18</f>
        <v>1566830368</v>
      </c>
      <c r="G33" s="269"/>
    </row>
    <row r="34" spans="1:7" ht="19.5" customHeight="1">
      <c r="A34" s="256" t="s">
        <v>296</v>
      </c>
      <c r="B34" s="442" t="s">
        <v>297</v>
      </c>
      <c r="C34" s="443"/>
      <c r="D34" s="443"/>
      <c r="E34" s="268">
        <f>E33+E32</f>
        <v>-15953518</v>
      </c>
      <c r="G34" s="269"/>
    </row>
    <row r="35" spans="1:7" ht="35.25" customHeight="1">
      <c r="A35" s="256" t="s">
        <v>298</v>
      </c>
      <c r="B35" s="446" t="s">
        <v>299</v>
      </c>
      <c r="C35" s="447"/>
      <c r="D35" s="448"/>
      <c r="E35" s="268">
        <f>E23</f>
        <v>15953518</v>
      </c>
      <c r="G35" s="269"/>
    </row>
    <row r="36" spans="1:7" ht="19.5" customHeight="1" thickBot="1">
      <c r="A36" s="256" t="s">
        <v>300</v>
      </c>
      <c r="B36" s="449" t="s">
        <v>301</v>
      </c>
      <c r="C36" s="450"/>
      <c r="D36" s="450"/>
      <c r="E36" s="275">
        <f>E34+E35</f>
        <v>0</v>
      </c>
      <c r="G36" s="276"/>
    </row>
    <row r="37" spans="2:5" ht="15.75">
      <c r="B37" s="251"/>
      <c r="C37" s="251"/>
      <c r="D37" s="251"/>
      <c r="E37" s="251"/>
    </row>
    <row r="38" ht="15.75">
      <c r="G38" s="269"/>
    </row>
    <row r="40" ht="15.75">
      <c r="G40" s="269"/>
    </row>
  </sheetData>
  <sheetProtection/>
  <mergeCells count="18">
    <mergeCell ref="B32:D32"/>
    <mergeCell ref="B33:D33"/>
    <mergeCell ref="B34:D34"/>
    <mergeCell ref="B35:D35"/>
    <mergeCell ref="B36:D36"/>
    <mergeCell ref="B21:D21"/>
    <mergeCell ref="B22:D22"/>
    <mergeCell ref="B23:D23"/>
    <mergeCell ref="B25:E25"/>
    <mergeCell ref="B26:C26"/>
    <mergeCell ref="D26:E26"/>
    <mergeCell ref="B3:E3"/>
    <mergeCell ref="B6:E6"/>
    <mergeCell ref="B9:E9"/>
    <mergeCell ref="B10:C10"/>
    <mergeCell ref="D10:E10"/>
    <mergeCell ref="D15:D16"/>
    <mergeCell ref="E15:E1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view="pageBreakPreview" zoomScale="75" zoomScaleSheetLayoutView="75" zoomScalePageLayoutView="0" workbookViewId="0" topLeftCell="A70">
      <selection activeCell="I1" sqref="I1:L1"/>
    </sheetView>
  </sheetViews>
  <sheetFormatPr defaultColWidth="9.140625" defaultRowHeight="18" customHeight="1"/>
  <cols>
    <col min="1" max="1" width="5.00390625" style="198" customWidth="1"/>
    <col min="2" max="2" width="4.421875" style="151" customWidth="1"/>
    <col min="3" max="3" width="5.00390625" style="151" customWidth="1"/>
    <col min="4" max="8" width="9.140625" style="151" customWidth="1"/>
    <col min="9" max="9" width="18.28125" style="151" customWidth="1"/>
    <col min="10" max="10" width="14.140625" style="151" customWidth="1"/>
    <col min="11" max="11" width="15.7109375" style="151" customWidth="1"/>
    <col min="12" max="12" width="13.8515625" style="151" customWidth="1"/>
    <col min="13" max="16384" width="9.140625" style="151" customWidth="1"/>
  </cols>
  <sheetData>
    <row r="1" spans="1:12" ht="18" customHeight="1">
      <c r="A1" s="150"/>
      <c r="C1" s="152"/>
      <c r="D1" s="152"/>
      <c r="E1" s="152"/>
      <c r="F1" s="152"/>
      <c r="G1" s="152"/>
      <c r="H1" s="152"/>
      <c r="I1" s="454" t="s">
        <v>409</v>
      </c>
      <c r="J1" s="455"/>
      <c r="K1" s="455"/>
      <c r="L1" s="455"/>
    </row>
    <row r="2" spans="1:12" ht="18" customHeight="1">
      <c r="A2" s="150"/>
      <c r="C2" s="152"/>
      <c r="D2" s="152"/>
      <c r="E2" s="152"/>
      <c r="F2" s="152"/>
      <c r="G2" s="152"/>
      <c r="H2" s="152"/>
      <c r="I2" s="152"/>
      <c r="J2" s="152"/>
      <c r="L2" s="152"/>
    </row>
    <row r="3" spans="1:10" ht="18" customHeight="1">
      <c r="A3" s="150"/>
      <c r="B3" s="153"/>
      <c r="C3" s="153"/>
      <c r="D3" s="153"/>
      <c r="E3" s="153"/>
      <c r="F3" s="153"/>
      <c r="G3" s="153"/>
      <c r="H3" s="153"/>
      <c r="I3" s="153"/>
      <c r="J3" s="153"/>
    </row>
    <row r="4" spans="1:12" ht="23.25" customHeight="1">
      <c r="A4" s="479" t="s">
        <v>88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23.25" customHeight="1">
      <c r="A5" s="479" t="s">
        <v>214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12" ht="23.25" customHeight="1">
      <c r="A6" s="479" t="s">
        <v>89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</row>
    <row r="7" spans="1:12" ht="18" customHeight="1">
      <c r="A7" s="154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0" ht="18" customHeight="1">
      <c r="A8" s="155"/>
      <c r="B8" s="476"/>
      <c r="C8" s="476"/>
      <c r="D8" s="476"/>
      <c r="E8" s="476"/>
      <c r="F8" s="476"/>
      <c r="G8" s="476"/>
      <c r="H8" s="476"/>
      <c r="I8" s="476"/>
      <c r="J8" s="476"/>
    </row>
    <row r="9" spans="1:12" ht="18" customHeight="1">
      <c r="A9" s="156"/>
      <c r="B9" s="157" t="s">
        <v>0</v>
      </c>
      <c r="C9" s="156" t="s">
        <v>1</v>
      </c>
      <c r="D9" s="156" t="s">
        <v>2</v>
      </c>
      <c r="E9" s="156" t="s">
        <v>3</v>
      </c>
      <c r="F9" s="156" t="s">
        <v>4</v>
      </c>
      <c r="G9" s="156" t="s">
        <v>5</v>
      </c>
      <c r="H9" s="156" t="s">
        <v>6</v>
      </c>
      <c r="I9" s="156" t="s">
        <v>7</v>
      </c>
      <c r="J9" s="156" t="s">
        <v>8</v>
      </c>
      <c r="K9" s="156" t="s">
        <v>9</v>
      </c>
      <c r="L9" s="156" t="s">
        <v>10</v>
      </c>
    </row>
    <row r="10" spans="1:12" ht="18" customHeight="1">
      <c r="A10" s="156">
        <v>1</v>
      </c>
      <c r="B10" s="158"/>
      <c r="C10" s="153"/>
      <c r="D10" s="153"/>
      <c r="E10" s="153"/>
      <c r="F10" s="153"/>
      <c r="G10" s="153"/>
      <c r="H10" s="153"/>
      <c r="I10" s="153"/>
      <c r="J10" s="159"/>
      <c r="L10" s="148" t="s">
        <v>90</v>
      </c>
    </row>
    <row r="11" spans="1:12" ht="18" customHeight="1">
      <c r="A11" s="481">
        <f>A10+1</f>
        <v>2</v>
      </c>
      <c r="B11" s="483" t="s">
        <v>38</v>
      </c>
      <c r="C11" s="483"/>
      <c r="D11" s="483"/>
      <c r="E11" s="483"/>
      <c r="F11" s="483"/>
      <c r="G11" s="483"/>
      <c r="H11" s="483"/>
      <c r="I11" s="484"/>
      <c r="J11" s="477" t="s">
        <v>92</v>
      </c>
      <c r="K11" s="478"/>
      <c r="L11" s="487" t="s">
        <v>57</v>
      </c>
    </row>
    <row r="12" spans="1:12" ht="18" customHeight="1">
      <c r="A12" s="482"/>
      <c r="B12" s="485"/>
      <c r="C12" s="485"/>
      <c r="D12" s="485"/>
      <c r="E12" s="485"/>
      <c r="F12" s="485"/>
      <c r="G12" s="485"/>
      <c r="H12" s="485"/>
      <c r="I12" s="486"/>
      <c r="J12" s="162" t="s">
        <v>93</v>
      </c>
      <c r="K12" s="162" t="s">
        <v>94</v>
      </c>
      <c r="L12" s="488"/>
    </row>
    <row r="13" spans="1:12" ht="24.75" customHeight="1">
      <c r="A13" s="160">
        <v>3</v>
      </c>
      <c r="B13" s="163" t="s">
        <v>152</v>
      </c>
      <c r="C13" s="489" t="s">
        <v>153</v>
      </c>
      <c r="D13" s="489"/>
      <c r="E13" s="489"/>
      <c r="F13" s="489"/>
      <c r="G13" s="489"/>
      <c r="H13" s="489"/>
      <c r="I13" s="489"/>
      <c r="J13" s="379">
        <f>J15+J18</f>
        <v>123165000</v>
      </c>
      <c r="K13" s="379">
        <f>K15+K18</f>
        <v>126403500</v>
      </c>
      <c r="L13" s="379">
        <f>L15+L18</f>
        <v>3450503</v>
      </c>
    </row>
    <row r="14" spans="1:12" ht="18" customHeight="1">
      <c r="A14" s="161">
        <f aca="true" t="shared" si="0" ref="A14:A44">A13+1</f>
        <v>4</v>
      </c>
      <c r="B14" s="164"/>
      <c r="C14" s="457" t="s">
        <v>154</v>
      </c>
      <c r="D14" s="457"/>
      <c r="E14" s="457"/>
      <c r="F14" s="457"/>
      <c r="G14" s="457"/>
      <c r="H14" s="457"/>
      <c r="I14" s="457"/>
      <c r="J14" s="165"/>
      <c r="K14" s="166"/>
      <c r="L14" s="166"/>
    </row>
    <row r="15" spans="1:12" ht="18" customHeight="1">
      <c r="A15" s="161">
        <f t="shared" si="0"/>
        <v>5</v>
      </c>
      <c r="B15" s="164" t="s">
        <v>155</v>
      </c>
      <c r="C15" s="504" t="s">
        <v>156</v>
      </c>
      <c r="D15" s="504"/>
      <c r="E15" s="504"/>
      <c r="F15" s="504"/>
      <c r="G15" s="504"/>
      <c r="H15" s="504"/>
      <c r="I15" s="505"/>
      <c r="J15" s="169">
        <f>SUM(J16:J17)</f>
        <v>31090000</v>
      </c>
      <c r="K15" s="169">
        <f>SUM(K16:K17)</f>
        <v>31090000</v>
      </c>
      <c r="L15" s="169">
        <f>SUM(L16:L17)</f>
        <v>0</v>
      </c>
    </row>
    <row r="16" spans="1:12" ht="18" customHeight="1">
      <c r="A16" s="161">
        <f t="shared" si="0"/>
        <v>6</v>
      </c>
      <c r="B16" s="167"/>
      <c r="C16" s="168" t="s">
        <v>97</v>
      </c>
      <c r="D16" s="492" t="s">
        <v>250</v>
      </c>
      <c r="E16" s="492"/>
      <c r="F16" s="492"/>
      <c r="G16" s="492"/>
      <c r="H16" s="492"/>
      <c r="I16" s="493"/>
      <c r="J16" s="166">
        <f>6370000+1720000</f>
        <v>8090000</v>
      </c>
      <c r="K16" s="166">
        <v>8090000</v>
      </c>
      <c r="L16" s="166">
        <v>0</v>
      </c>
    </row>
    <row r="17" spans="1:12" ht="18" customHeight="1">
      <c r="A17" s="161">
        <f t="shared" si="0"/>
        <v>7</v>
      </c>
      <c r="B17" s="167"/>
      <c r="C17" s="168" t="s">
        <v>98</v>
      </c>
      <c r="D17" s="492" t="s">
        <v>252</v>
      </c>
      <c r="E17" s="492"/>
      <c r="F17" s="492"/>
      <c r="G17" s="492"/>
      <c r="H17" s="492"/>
      <c r="I17" s="493"/>
      <c r="J17" s="166">
        <v>23000000</v>
      </c>
      <c r="K17" s="166">
        <v>23000000</v>
      </c>
      <c r="L17" s="166">
        <v>0</v>
      </c>
    </row>
    <row r="18" spans="1:12" ht="18" customHeight="1">
      <c r="A18" s="380" t="s">
        <v>104</v>
      </c>
      <c r="B18" s="170" t="s">
        <v>157</v>
      </c>
      <c r="C18" s="506" t="s">
        <v>244</v>
      </c>
      <c r="D18" s="507"/>
      <c r="E18" s="507"/>
      <c r="F18" s="507"/>
      <c r="G18" s="507"/>
      <c r="H18" s="507"/>
      <c r="I18" s="507"/>
      <c r="J18" s="169">
        <f>SUM(J19:J27)</f>
        <v>92075000</v>
      </c>
      <c r="K18" s="169">
        <f>SUM(K19:K28)</f>
        <v>95313500</v>
      </c>
      <c r="L18" s="169">
        <f>SUM(L19:L28)</f>
        <v>3450503</v>
      </c>
    </row>
    <row r="19" spans="1:12" ht="18" customHeight="1">
      <c r="A19" s="161">
        <v>9</v>
      </c>
      <c r="B19" s="167"/>
      <c r="C19" s="168" t="s">
        <v>97</v>
      </c>
      <c r="D19" s="465" t="s">
        <v>245</v>
      </c>
      <c r="E19" s="466"/>
      <c r="F19" s="466"/>
      <c r="G19" s="466"/>
      <c r="H19" s="466"/>
      <c r="I19" s="466"/>
      <c r="J19" s="166">
        <f>4000000+1080000</f>
        <v>5080000</v>
      </c>
      <c r="K19" s="166">
        <v>5080000</v>
      </c>
      <c r="L19" s="166">
        <v>212003</v>
      </c>
    </row>
    <row r="20" spans="1:12" ht="18" customHeight="1">
      <c r="A20" s="161">
        <f t="shared" si="0"/>
        <v>10</v>
      </c>
      <c r="B20" s="167"/>
      <c r="C20" s="168" t="s">
        <v>98</v>
      </c>
      <c r="D20" s="465" t="s">
        <v>246</v>
      </c>
      <c r="E20" s="466"/>
      <c r="F20" s="466"/>
      <c r="G20" s="466"/>
      <c r="H20" s="466"/>
      <c r="I20" s="466"/>
      <c r="J20" s="166">
        <f>50000000+13500000</f>
        <v>63500000</v>
      </c>
      <c r="K20" s="166">
        <v>63500000</v>
      </c>
      <c r="L20" s="166">
        <v>0</v>
      </c>
    </row>
    <row r="21" spans="1:12" ht="18" customHeight="1">
      <c r="A21" s="161">
        <f t="shared" si="0"/>
        <v>11</v>
      </c>
      <c r="B21" s="167"/>
      <c r="C21" s="168" t="s">
        <v>99</v>
      </c>
      <c r="D21" s="465" t="s">
        <v>247</v>
      </c>
      <c r="E21" s="466"/>
      <c r="F21" s="466"/>
      <c r="G21" s="466"/>
      <c r="H21" s="466"/>
      <c r="I21" s="466"/>
      <c r="J21" s="166">
        <f>1500000+405000</f>
        <v>1905000</v>
      </c>
      <c r="K21" s="166">
        <v>1905000</v>
      </c>
      <c r="L21" s="166">
        <v>0</v>
      </c>
    </row>
    <row r="22" spans="1:12" ht="18" customHeight="1">
      <c r="A22" s="161">
        <f t="shared" si="0"/>
        <v>12</v>
      </c>
      <c r="B22" s="167"/>
      <c r="C22" s="168" t="s">
        <v>100</v>
      </c>
      <c r="D22" s="465" t="s">
        <v>248</v>
      </c>
      <c r="E22" s="466"/>
      <c r="F22" s="466"/>
      <c r="G22" s="466"/>
      <c r="H22" s="466"/>
      <c r="I22" s="466"/>
      <c r="J22" s="166">
        <f>5000000+1350000</f>
        <v>6350000</v>
      </c>
      <c r="K22" s="166">
        <v>6350000</v>
      </c>
      <c r="L22" s="166">
        <v>0</v>
      </c>
    </row>
    <row r="23" spans="1:12" ht="18" customHeight="1">
      <c r="A23" s="161">
        <f t="shared" si="0"/>
        <v>13</v>
      </c>
      <c r="B23" s="167"/>
      <c r="C23" s="168" t="s">
        <v>101</v>
      </c>
      <c r="D23" s="493" t="s">
        <v>249</v>
      </c>
      <c r="E23" s="529"/>
      <c r="F23" s="529"/>
      <c r="G23" s="529"/>
      <c r="H23" s="529"/>
      <c r="I23" s="529"/>
      <c r="J23" s="166">
        <f>2000000+540000</f>
        <v>2540000</v>
      </c>
      <c r="K23" s="166">
        <v>2540000</v>
      </c>
      <c r="L23" s="166">
        <v>0</v>
      </c>
    </row>
    <row r="24" spans="1:12" ht="18" customHeight="1">
      <c r="A24" s="161">
        <v>14</v>
      </c>
      <c r="B24" s="167"/>
      <c r="C24" s="168" t="s">
        <v>102</v>
      </c>
      <c r="D24" s="492" t="s">
        <v>251</v>
      </c>
      <c r="E24" s="492"/>
      <c r="F24" s="492"/>
      <c r="G24" s="492"/>
      <c r="H24" s="492"/>
      <c r="I24" s="493"/>
      <c r="J24" s="166">
        <f>6000000+1620000</f>
        <v>7620000</v>
      </c>
      <c r="K24" s="166">
        <v>7620000</v>
      </c>
      <c r="L24" s="166">
        <v>0</v>
      </c>
    </row>
    <row r="25" spans="1:12" ht="18" customHeight="1">
      <c r="A25" s="161">
        <v>15</v>
      </c>
      <c r="B25" s="167"/>
      <c r="C25" s="168" t="s">
        <v>103</v>
      </c>
      <c r="D25" s="492" t="s">
        <v>253</v>
      </c>
      <c r="E25" s="492"/>
      <c r="F25" s="492"/>
      <c r="G25" s="492"/>
      <c r="H25" s="492"/>
      <c r="I25" s="493"/>
      <c r="J25" s="166">
        <f>1000000+270000</f>
        <v>1270000</v>
      </c>
      <c r="K25" s="166">
        <v>1270000</v>
      </c>
      <c r="L25" s="166">
        <v>0</v>
      </c>
    </row>
    <row r="26" spans="1:12" ht="18" customHeight="1">
      <c r="A26" s="161">
        <f t="shared" si="0"/>
        <v>16</v>
      </c>
      <c r="B26" s="167"/>
      <c r="C26" s="168">
        <v>8</v>
      </c>
      <c r="D26" s="492" t="s">
        <v>254</v>
      </c>
      <c r="E26" s="492"/>
      <c r="F26" s="492"/>
      <c r="G26" s="492"/>
      <c r="H26" s="492"/>
      <c r="I26" s="493"/>
      <c r="J26" s="166">
        <f>2000000+540000</f>
        <v>2540000</v>
      </c>
      <c r="K26" s="166">
        <v>2540000</v>
      </c>
      <c r="L26" s="166">
        <v>0</v>
      </c>
    </row>
    <row r="27" spans="1:12" ht="18" customHeight="1">
      <c r="A27" s="161">
        <f t="shared" si="0"/>
        <v>17</v>
      </c>
      <c r="B27" s="167"/>
      <c r="C27" s="168" t="s">
        <v>105</v>
      </c>
      <c r="D27" s="492" t="s">
        <v>255</v>
      </c>
      <c r="E27" s="492"/>
      <c r="F27" s="492"/>
      <c r="G27" s="492"/>
      <c r="H27" s="492"/>
      <c r="I27" s="493"/>
      <c r="J27" s="166">
        <v>1270000</v>
      </c>
      <c r="K27" s="166">
        <v>1270000</v>
      </c>
      <c r="L27" s="166">
        <v>0</v>
      </c>
    </row>
    <row r="28" spans="1:12" ht="18" customHeight="1">
      <c r="A28" s="161">
        <v>18</v>
      </c>
      <c r="B28" s="167"/>
      <c r="C28" s="168" t="s">
        <v>107</v>
      </c>
      <c r="D28" s="492" t="s">
        <v>397</v>
      </c>
      <c r="E28" s="492"/>
      <c r="F28" s="492"/>
      <c r="G28" s="492"/>
      <c r="H28" s="492"/>
      <c r="I28" s="493"/>
      <c r="J28" s="166">
        <v>0</v>
      </c>
      <c r="K28" s="166">
        <v>3238500</v>
      </c>
      <c r="L28" s="166">
        <v>3238500</v>
      </c>
    </row>
    <row r="29" spans="1:12" ht="18" customHeight="1">
      <c r="A29" s="161">
        <v>19</v>
      </c>
      <c r="B29" s="171" t="s">
        <v>114</v>
      </c>
      <c r="C29" s="457" t="s">
        <v>398</v>
      </c>
      <c r="D29" s="457"/>
      <c r="E29" s="457"/>
      <c r="F29" s="457"/>
      <c r="G29" s="457"/>
      <c r="H29" s="457"/>
      <c r="I29" s="458"/>
      <c r="J29" s="169">
        <f>SUM(J31:J35)</f>
        <v>37594000</v>
      </c>
      <c r="K29" s="169">
        <f>SUM(K30:K35)</f>
        <v>101102976</v>
      </c>
      <c r="L29" s="169">
        <f>SUM(L30:L35)</f>
        <v>40047832</v>
      </c>
    </row>
    <row r="30" spans="1:12" ht="18" customHeight="1">
      <c r="A30" s="161">
        <v>20</v>
      </c>
      <c r="B30" s="171"/>
      <c r="C30" s="168" t="s">
        <v>97</v>
      </c>
      <c r="D30" s="510" t="s">
        <v>234</v>
      </c>
      <c r="E30" s="508"/>
      <c r="F30" s="508"/>
      <c r="G30" s="508"/>
      <c r="H30" s="508"/>
      <c r="I30" s="509"/>
      <c r="J30" s="192">
        <v>0</v>
      </c>
      <c r="K30" s="194">
        <v>7620000</v>
      </c>
      <c r="L30" s="194">
        <v>7620000</v>
      </c>
    </row>
    <row r="31" spans="1:12" ht="18" customHeight="1">
      <c r="A31" s="161">
        <v>21</v>
      </c>
      <c r="B31" s="171"/>
      <c r="C31" s="168" t="s">
        <v>98</v>
      </c>
      <c r="D31" s="510" t="s">
        <v>235</v>
      </c>
      <c r="E31" s="508"/>
      <c r="F31" s="508"/>
      <c r="G31" s="508"/>
      <c r="H31" s="508"/>
      <c r="I31" s="509"/>
      <c r="J31" s="192">
        <v>0</v>
      </c>
      <c r="K31" s="194">
        <v>52498020</v>
      </c>
      <c r="L31" s="194">
        <v>26249010</v>
      </c>
    </row>
    <row r="32" spans="1:12" ht="18" customHeight="1">
      <c r="A32" s="161">
        <v>22</v>
      </c>
      <c r="B32" s="171"/>
      <c r="C32" s="168" t="s">
        <v>99</v>
      </c>
      <c r="D32" s="473" t="s">
        <v>399</v>
      </c>
      <c r="E32" s="508"/>
      <c r="F32" s="508"/>
      <c r="G32" s="508"/>
      <c r="H32" s="508"/>
      <c r="I32" s="509"/>
      <c r="J32" s="192">
        <v>0</v>
      </c>
      <c r="K32" s="194">
        <f>1699099+458757</f>
        <v>2157856</v>
      </c>
      <c r="L32" s="194">
        <f>1699099+458757</f>
        <v>2157856</v>
      </c>
    </row>
    <row r="33" spans="1:12" ht="18" customHeight="1">
      <c r="A33" s="161">
        <v>23</v>
      </c>
      <c r="B33" s="171"/>
      <c r="C33" s="168" t="s">
        <v>100</v>
      </c>
      <c r="D33" s="473" t="s">
        <v>400</v>
      </c>
      <c r="E33" s="508"/>
      <c r="F33" s="508"/>
      <c r="G33" s="508"/>
      <c r="H33" s="508"/>
      <c r="I33" s="509"/>
      <c r="J33" s="192">
        <v>0</v>
      </c>
      <c r="K33" s="194">
        <v>560000</v>
      </c>
      <c r="L33" s="194">
        <v>560000</v>
      </c>
    </row>
    <row r="34" spans="1:12" ht="27" customHeight="1">
      <c r="A34" s="161">
        <v>24</v>
      </c>
      <c r="B34" s="171"/>
      <c r="C34" s="378" t="s">
        <v>101</v>
      </c>
      <c r="D34" s="492" t="s">
        <v>256</v>
      </c>
      <c r="E34" s="492"/>
      <c r="F34" s="492"/>
      <c r="G34" s="492"/>
      <c r="H34" s="492"/>
      <c r="I34" s="493"/>
      <c r="J34" s="166">
        <f>24864000+6714000</f>
        <v>31578000</v>
      </c>
      <c r="K34" s="166">
        <v>31578000</v>
      </c>
      <c r="L34" s="166">
        <v>0</v>
      </c>
    </row>
    <row r="35" spans="1:12" ht="18" customHeight="1">
      <c r="A35" s="161">
        <v>25</v>
      </c>
      <c r="B35" s="171"/>
      <c r="C35" s="377" t="s">
        <v>102</v>
      </c>
      <c r="D35" s="492" t="s">
        <v>260</v>
      </c>
      <c r="E35" s="492"/>
      <c r="F35" s="492"/>
      <c r="G35" s="492"/>
      <c r="H35" s="492"/>
      <c r="I35" s="493"/>
      <c r="J35" s="166">
        <v>6016000</v>
      </c>
      <c r="K35" s="166">
        <v>6689100</v>
      </c>
      <c r="L35" s="166">
        <v>3460966</v>
      </c>
    </row>
    <row r="36" spans="1:12" ht="18" customHeight="1">
      <c r="A36" s="161">
        <v>26</v>
      </c>
      <c r="B36" s="172" t="s">
        <v>115</v>
      </c>
      <c r="C36" s="502" t="s">
        <v>158</v>
      </c>
      <c r="D36" s="489"/>
      <c r="E36" s="489"/>
      <c r="F36" s="489"/>
      <c r="G36" s="489"/>
      <c r="H36" s="489"/>
      <c r="I36" s="503"/>
      <c r="J36" s="173"/>
      <c r="K36" s="174"/>
      <c r="L36" s="174"/>
    </row>
    <row r="37" spans="1:12" ht="18" customHeight="1">
      <c r="A37" s="161">
        <v>27</v>
      </c>
      <c r="B37" s="167"/>
      <c r="C37" s="168" t="s">
        <v>97</v>
      </c>
      <c r="D37" s="494" t="s">
        <v>159</v>
      </c>
      <c r="E37" s="495"/>
      <c r="F37" s="495"/>
      <c r="G37" s="495"/>
      <c r="H37" s="495"/>
      <c r="I37" s="496"/>
      <c r="J37" s="166">
        <v>10000000</v>
      </c>
      <c r="K37" s="166">
        <v>10000000</v>
      </c>
      <c r="L37" s="166">
        <v>2825000</v>
      </c>
    </row>
    <row r="38" spans="1:12" ht="18" customHeight="1">
      <c r="A38" s="161">
        <f t="shared" si="0"/>
        <v>28</v>
      </c>
      <c r="B38" s="167"/>
      <c r="C38" s="168" t="s">
        <v>98</v>
      </c>
      <c r="D38" s="497" t="s">
        <v>160</v>
      </c>
      <c r="E38" s="498"/>
      <c r="F38" s="498"/>
      <c r="G38" s="498"/>
      <c r="H38" s="498"/>
      <c r="I38" s="499"/>
      <c r="J38" s="166">
        <v>1000000</v>
      </c>
      <c r="K38" s="166">
        <v>1000000</v>
      </c>
      <c r="L38" s="166">
        <v>255000</v>
      </c>
    </row>
    <row r="39" spans="1:12" ht="18" customHeight="1">
      <c r="A39" s="161">
        <f t="shared" si="0"/>
        <v>29</v>
      </c>
      <c r="B39" s="167"/>
      <c r="C39" s="168" t="s">
        <v>99</v>
      </c>
      <c r="D39" s="497" t="s">
        <v>161</v>
      </c>
      <c r="E39" s="498"/>
      <c r="F39" s="498"/>
      <c r="G39" s="498"/>
      <c r="H39" s="498"/>
      <c r="I39" s="499"/>
      <c r="J39" s="166">
        <v>6200000</v>
      </c>
      <c r="K39" s="166">
        <v>6200000</v>
      </c>
      <c r="L39" s="166"/>
    </row>
    <row r="40" spans="1:12" ht="18" customHeight="1">
      <c r="A40" s="161">
        <f t="shared" si="0"/>
        <v>30</v>
      </c>
      <c r="B40" s="167"/>
      <c r="C40" s="168" t="s">
        <v>100</v>
      </c>
      <c r="D40" s="473" t="s">
        <v>267</v>
      </c>
      <c r="E40" s="474"/>
      <c r="F40" s="474"/>
      <c r="G40" s="474"/>
      <c r="H40" s="474"/>
      <c r="I40" s="475"/>
      <c r="J40" s="166">
        <v>14200000</v>
      </c>
      <c r="K40" s="166">
        <v>14200000</v>
      </c>
      <c r="L40" s="166"/>
    </row>
    <row r="41" spans="1:12" ht="26.25" customHeight="1">
      <c r="A41" s="161">
        <f t="shared" si="0"/>
        <v>31</v>
      </c>
      <c r="B41" s="167"/>
      <c r="C41" s="168" t="s">
        <v>101</v>
      </c>
      <c r="D41" s="490" t="s">
        <v>268</v>
      </c>
      <c r="E41" s="490"/>
      <c r="F41" s="490"/>
      <c r="G41" s="490"/>
      <c r="H41" s="490"/>
      <c r="I41" s="491"/>
      <c r="J41" s="166">
        <v>1500000</v>
      </c>
      <c r="K41" s="166">
        <v>1500000</v>
      </c>
      <c r="L41" s="166">
        <v>1500000</v>
      </c>
    </row>
    <row r="42" spans="1:12" ht="18" customHeight="1">
      <c r="A42" s="161">
        <f t="shared" si="0"/>
        <v>32</v>
      </c>
      <c r="B42" s="167"/>
      <c r="C42" s="168" t="s">
        <v>102</v>
      </c>
      <c r="D42" s="516"/>
      <c r="E42" s="517"/>
      <c r="F42" s="517"/>
      <c r="G42" s="517"/>
      <c r="H42" s="517"/>
      <c r="I42" s="518"/>
      <c r="J42" s="166"/>
      <c r="K42" s="166"/>
      <c r="L42" s="166"/>
    </row>
    <row r="43" spans="1:12" ht="18" customHeight="1">
      <c r="A43" s="161">
        <f t="shared" si="0"/>
        <v>33</v>
      </c>
      <c r="B43" s="175" t="s">
        <v>115</v>
      </c>
      <c r="C43" s="513" t="s">
        <v>162</v>
      </c>
      <c r="D43" s="514"/>
      <c r="E43" s="514"/>
      <c r="F43" s="514"/>
      <c r="G43" s="514"/>
      <c r="H43" s="514"/>
      <c r="I43" s="515"/>
      <c r="J43" s="176">
        <f>SUM(J37:J42)</f>
        <v>32900000</v>
      </c>
      <c r="K43" s="176">
        <f>SUM(K37:K42)</f>
        <v>32900000</v>
      </c>
      <c r="L43" s="176">
        <f>SUM(L37:L42)</f>
        <v>4580000</v>
      </c>
    </row>
    <row r="44" spans="1:12" ht="18" customHeight="1">
      <c r="A44" s="161">
        <f t="shared" si="0"/>
        <v>34</v>
      </c>
      <c r="B44" s="175" t="s">
        <v>155</v>
      </c>
      <c r="C44" s="513" t="s">
        <v>401</v>
      </c>
      <c r="D44" s="514"/>
      <c r="E44" s="514"/>
      <c r="F44" s="514"/>
      <c r="G44" s="514"/>
      <c r="H44" s="514"/>
      <c r="I44" s="515"/>
      <c r="J44" s="176">
        <f>J43+J29+J13</f>
        <v>193659000</v>
      </c>
      <c r="K44" s="176">
        <f>K43+K29+K13</f>
        <v>260406476</v>
      </c>
      <c r="L44" s="176">
        <f>L43+L29+L13</f>
        <v>48078335</v>
      </c>
    </row>
    <row r="45" spans="1:12" ht="18" customHeight="1">
      <c r="A45" s="177"/>
      <c r="B45" s="178"/>
      <c r="C45" s="179"/>
      <c r="D45" s="179"/>
      <c r="E45" s="179"/>
      <c r="F45" s="179"/>
      <c r="G45" s="179"/>
      <c r="H45" s="179"/>
      <c r="I45" s="454" t="str">
        <f>I1</f>
        <v>4. sz. melléklet a 24/2018. (VIII. 31.) önkormányzati rendelethez</v>
      </c>
      <c r="J45" s="455"/>
      <c r="K45" s="455"/>
      <c r="L45" s="455"/>
    </row>
    <row r="46" spans="1:12" ht="18" customHeight="1">
      <c r="A46" s="155"/>
      <c r="B46" s="180"/>
      <c r="C46" s="177"/>
      <c r="D46" s="177"/>
      <c r="E46" s="177"/>
      <c r="F46" s="177"/>
      <c r="G46" s="177"/>
      <c r="H46" s="177"/>
      <c r="I46" s="177"/>
      <c r="J46" s="181"/>
      <c r="K46" s="182"/>
      <c r="L46" s="182"/>
    </row>
    <row r="47" spans="1:12" ht="18" customHeight="1">
      <c r="A47" s="183"/>
      <c r="B47" s="184"/>
      <c r="C47" s="185"/>
      <c r="D47" s="185"/>
      <c r="E47" s="185"/>
      <c r="F47" s="185"/>
      <c r="G47" s="185"/>
      <c r="H47" s="185"/>
      <c r="I47" s="185"/>
      <c r="J47" s="186"/>
      <c r="K47" s="187"/>
      <c r="L47" s="188" t="s">
        <v>90</v>
      </c>
    </row>
    <row r="48" spans="1:12" ht="18" customHeight="1">
      <c r="A48" s="500"/>
      <c r="B48" s="521" t="s">
        <v>38</v>
      </c>
      <c r="C48" s="522"/>
      <c r="D48" s="522"/>
      <c r="E48" s="522"/>
      <c r="F48" s="522"/>
      <c r="G48" s="522"/>
      <c r="H48" s="522"/>
      <c r="I48" s="523"/>
      <c r="J48" s="519" t="s">
        <v>92</v>
      </c>
      <c r="K48" s="520"/>
      <c r="L48" s="511" t="s">
        <v>57</v>
      </c>
    </row>
    <row r="49" spans="1:12" ht="18" customHeight="1">
      <c r="A49" s="501"/>
      <c r="B49" s="524"/>
      <c r="C49" s="525"/>
      <c r="D49" s="525"/>
      <c r="E49" s="525"/>
      <c r="F49" s="525"/>
      <c r="G49" s="525"/>
      <c r="H49" s="525"/>
      <c r="I49" s="526"/>
      <c r="J49" s="247" t="s">
        <v>93</v>
      </c>
      <c r="K49" s="247" t="s">
        <v>94</v>
      </c>
      <c r="L49" s="512"/>
    </row>
    <row r="50" spans="1:12" ht="18" customHeight="1">
      <c r="A50" s="189">
        <f>A44+1</f>
        <v>35</v>
      </c>
      <c r="B50" s="190" t="s">
        <v>163</v>
      </c>
      <c r="C50" s="489" t="s">
        <v>164</v>
      </c>
      <c r="D50" s="489"/>
      <c r="E50" s="489"/>
      <c r="F50" s="489"/>
      <c r="G50" s="489"/>
      <c r="H50" s="489"/>
      <c r="I50" s="503"/>
      <c r="J50" s="173"/>
      <c r="K50" s="174"/>
      <c r="L50" s="174"/>
    </row>
    <row r="51" spans="1:12" ht="18" customHeight="1">
      <c r="A51" s="189">
        <f>A50+1</f>
        <v>36</v>
      </c>
      <c r="B51" s="191"/>
      <c r="C51" s="456" t="s">
        <v>165</v>
      </c>
      <c r="D51" s="457"/>
      <c r="E51" s="457"/>
      <c r="F51" s="457"/>
      <c r="G51" s="457"/>
      <c r="H51" s="457"/>
      <c r="I51" s="458"/>
      <c r="J51" s="192"/>
      <c r="K51" s="169">
        <f>SUM(K52:K56)</f>
        <v>17712677</v>
      </c>
      <c r="L51" s="169">
        <f>SUM(L52:L56)</f>
        <v>16060677</v>
      </c>
    </row>
    <row r="52" spans="1:12" ht="18" customHeight="1">
      <c r="A52" s="189">
        <f>A51+1</f>
        <v>37</v>
      </c>
      <c r="B52" s="193"/>
      <c r="C52" s="459" t="s">
        <v>378</v>
      </c>
      <c r="D52" s="460"/>
      <c r="E52" s="460"/>
      <c r="F52" s="460"/>
      <c r="G52" s="460"/>
      <c r="H52" s="460"/>
      <c r="I52" s="461"/>
      <c r="J52" s="192"/>
      <c r="K52" s="224">
        <v>3184866</v>
      </c>
      <c r="L52" s="224">
        <v>3184866</v>
      </c>
    </row>
    <row r="53" spans="1:12" ht="18" customHeight="1">
      <c r="A53" s="189"/>
      <c r="B53" s="193"/>
      <c r="C53" s="459" t="s">
        <v>375</v>
      </c>
      <c r="D53" s="460"/>
      <c r="E53" s="460"/>
      <c r="F53" s="460"/>
      <c r="G53" s="460"/>
      <c r="H53" s="460"/>
      <c r="I53" s="461"/>
      <c r="J53" s="192"/>
      <c r="K53" s="224">
        <v>1795276</v>
      </c>
      <c r="L53" s="224">
        <v>1795276</v>
      </c>
    </row>
    <row r="54" spans="1:12" ht="18" customHeight="1">
      <c r="A54" s="189" t="s">
        <v>374</v>
      </c>
      <c r="B54" s="193"/>
      <c r="C54" s="459" t="s">
        <v>376</v>
      </c>
      <c r="D54" s="460"/>
      <c r="E54" s="460"/>
      <c r="F54" s="460"/>
      <c r="G54" s="460"/>
      <c r="H54" s="460"/>
      <c r="I54" s="461"/>
      <c r="J54" s="192"/>
      <c r="K54" s="224">
        <v>9643944</v>
      </c>
      <c r="L54" s="224">
        <v>8343157</v>
      </c>
    </row>
    <row r="55" spans="1:12" ht="18" customHeight="1">
      <c r="A55" s="189" t="s">
        <v>374</v>
      </c>
      <c r="B55" s="193"/>
      <c r="C55" s="459" t="s">
        <v>377</v>
      </c>
      <c r="D55" s="460"/>
      <c r="E55" s="460"/>
      <c r="F55" s="460"/>
      <c r="G55" s="460"/>
      <c r="H55" s="460"/>
      <c r="I55" s="461"/>
      <c r="J55" s="192"/>
      <c r="K55" s="224">
        <v>3088591</v>
      </c>
      <c r="L55" s="224">
        <v>2737378</v>
      </c>
    </row>
    <row r="56" spans="1:12" ht="18" customHeight="1">
      <c r="A56" s="189" t="e">
        <f>#REF!+1</f>
        <v>#REF!</v>
      </c>
      <c r="B56" s="193"/>
      <c r="C56" s="460"/>
      <c r="D56" s="460"/>
      <c r="E56" s="460"/>
      <c r="F56" s="460"/>
      <c r="G56" s="460"/>
      <c r="H56" s="460"/>
      <c r="I56" s="461"/>
      <c r="J56" s="192"/>
      <c r="K56" s="224"/>
      <c r="L56" s="224"/>
    </row>
    <row r="57" spans="1:12" ht="18" customHeight="1">
      <c r="A57" s="189" t="e">
        <f>A56+1</f>
        <v>#REF!</v>
      </c>
      <c r="B57" s="191"/>
      <c r="C57" s="456" t="s">
        <v>166</v>
      </c>
      <c r="D57" s="457"/>
      <c r="E57" s="457"/>
      <c r="F57" s="457"/>
      <c r="G57" s="457"/>
      <c r="H57" s="457"/>
      <c r="I57" s="458"/>
      <c r="J57" s="192"/>
      <c r="K57" s="169">
        <v>1109203</v>
      </c>
      <c r="L57" s="169">
        <f>SUM(L58:L60)</f>
        <v>1014893</v>
      </c>
    </row>
    <row r="58" spans="1:13" ht="18" customHeight="1">
      <c r="A58" s="189" t="e">
        <f>A57+1</f>
        <v>#REF!</v>
      </c>
      <c r="B58" s="193"/>
      <c r="C58" s="459" t="s">
        <v>379</v>
      </c>
      <c r="D58" s="460"/>
      <c r="E58" s="460"/>
      <c r="F58" s="460"/>
      <c r="G58" s="460"/>
      <c r="H58" s="460"/>
      <c r="I58" s="461"/>
      <c r="J58" s="192"/>
      <c r="K58" s="194">
        <v>873387</v>
      </c>
      <c r="L58" s="194">
        <v>799128</v>
      </c>
      <c r="M58" s="201"/>
    </row>
    <row r="59" spans="1:13" ht="18" customHeight="1">
      <c r="A59" s="189" t="e">
        <f>A58+1</f>
        <v>#REF!</v>
      </c>
      <c r="B59" s="193"/>
      <c r="C59" s="459" t="s">
        <v>380</v>
      </c>
      <c r="D59" s="460"/>
      <c r="E59" s="460"/>
      <c r="F59" s="460"/>
      <c r="G59" s="460"/>
      <c r="H59" s="460"/>
      <c r="I59" s="461"/>
      <c r="J59" s="192"/>
      <c r="K59" s="194">
        <v>235816</v>
      </c>
      <c r="L59" s="194">
        <v>215765</v>
      </c>
      <c r="M59" s="201"/>
    </row>
    <row r="60" spans="1:13" ht="18" customHeight="1">
      <c r="A60" s="189">
        <v>55</v>
      </c>
      <c r="B60" s="193"/>
      <c r="C60" s="462"/>
      <c r="D60" s="463"/>
      <c r="E60" s="463"/>
      <c r="F60" s="463"/>
      <c r="G60" s="463"/>
      <c r="H60" s="463"/>
      <c r="I60" s="464"/>
      <c r="J60" s="192"/>
      <c r="K60" s="194"/>
      <c r="L60" s="194"/>
      <c r="M60" s="201"/>
    </row>
    <row r="61" spans="1:13" ht="18" customHeight="1">
      <c r="A61" s="189">
        <f>A60+1</f>
        <v>56</v>
      </c>
      <c r="B61" s="223"/>
      <c r="C61" s="456" t="s">
        <v>180</v>
      </c>
      <c r="D61" s="457"/>
      <c r="E61" s="457"/>
      <c r="F61" s="457"/>
      <c r="G61" s="457"/>
      <c r="H61" s="457"/>
      <c r="I61" s="458"/>
      <c r="J61" s="192"/>
      <c r="K61" s="169">
        <f>SUM(K62:K63)</f>
        <v>23494</v>
      </c>
      <c r="L61" s="169">
        <f>SUM(L62:L63)</f>
        <v>23494</v>
      </c>
      <c r="M61" s="201"/>
    </row>
    <row r="62" spans="1:13" ht="18" customHeight="1">
      <c r="A62" s="189"/>
      <c r="B62" s="223"/>
      <c r="C62" s="528" t="s">
        <v>381</v>
      </c>
      <c r="D62" s="463"/>
      <c r="E62" s="463"/>
      <c r="F62" s="463"/>
      <c r="G62" s="463"/>
      <c r="H62" s="463"/>
      <c r="I62" s="464"/>
      <c r="J62" s="192"/>
      <c r="K62" s="166">
        <v>18499</v>
      </c>
      <c r="L62" s="166">
        <v>18499</v>
      </c>
      <c r="M62" s="201"/>
    </row>
    <row r="63" spans="1:13" ht="18" customHeight="1">
      <c r="A63" s="189"/>
      <c r="B63" s="223"/>
      <c r="C63" s="528" t="s">
        <v>382</v>
      </c>
      <c r="D63" s="463"/>
      <c r="E63" s="463"/>
      <c r="F63" s="463"/>
      <c r="G63" s="463"/>
      <c r="H63" s="463"/>
      <c r="I63" s="464"/>
      <c r="J63" s="192"/>
      <c r="K63" s="166">
        <v>4995</v>
      </c>
      <c r="L63" s="166">
        <v>4995</v>
      </c>
      <c r="M63" s="201"/>
    </row>
    <row r="64" spans="1:13" ht="18" customHeight="1">
      <c r="A64" s="189"/>
      <c r="B64" s="223"/>
      <c r="C64" s="528"/>
      <c r="D64" s="463"/>
      <c r="E64" s="463"/>
      <c r="F64" s="463"/>
      <c r="G64" s="463"/>
      <c r="H64" s="463"/>
      <c r="I64" s="464"/>
      <c r="J64" s="192"/>
      <c r="K64" s="166"/>
      <c r="L64" s="166"/>
      <c r="M64" s="201"/>
    </row>
    <row r="65" spans="1:12" ht="18" customHeight="1">
      <c r="A65" s="189">
        <v>57</v>
      </c>
      <c r="B65" s="191"/>
      <c r="C65" s="456" t="s">
        <v>167</v>
      </c>
      <c r="D65" s="457"/>
      <c r="E65" s="457"/>
      <c r="F65" s="457"/>
      <c r="G65" s="457"/>
      <c r="H65" s="457"/>
      <c r="I65" s="458"/>
      <c r="J65" s="192"/>
      <c r="K65" s="169">
        <f>SUM(K66:K73)</f>
        <v>7322274</v>
      </c>
      <c r="L65" s="169">
        <f>SUM(L66:L72)</f>
        <v>5780263</v>
      </c>
    </row>
    <row r="66" spans="1:12" ht="18" customHeight="1">
      <c r="A66" s="189">
        <f>A65+1</f>
        <v>58</v>
      </c>
      <c r="B66" s="191"/>
      <c r="C66" s="527" t="s">
        <v>383</v>
      </c>
      <c r="D66" s="460"/>
      <c r="E66" s="460"/>
      <c r="F66" s="460"/>
      <c r="G66" s="460"/>
      <c r="H66" s="460"/>
      <c r="I66" s="461"/>
      <c r="J66" s="192"/>
      <c r="K66" s="166">
        <v>180580</v>
      </c>
      <c r="L66" s="166">
        <v>180580</v>
      </c>
    </row>
    <row r="67" spans="1:12" ht="18" customHeight="1">
      <c r="A67" s="189"/>
      <c r="B67" s="191"/>
      <c r="C67" s="527" t="s">
        <v>384</v>
      </c>
      <c r="D67" s="460"/>
      <c r="E67" s="460"/>
      <c r="F67" s="460"/>
      <c r="G67" s="460"/>
      <c r="H67" s="460"/>
      <c r="I67" s="461"/>
      <c r="J67" s="192"/>
      <c r="K67" s="166">
        <v>2795152</v>
      </c>
      <c r="L67" s="166">
        <v>2795152</v>
      </c>
    </row>
    <row r="68" spans="1:12" ht="18" customHeight="1">
      <c r="A68" s="189"/>
      <c r="B68" s="191"/>
      <c r="C68" s="527" t="s">
        <v>385</v>
      </c>
      <c r="D68" s="460"/>
      <c r="E68" s="460"/>
      <c r="F68" s="460"/>
      <c r="G68" s="460"/>
      <c r="H68" s="460"/>
      <c r="I68" s="461"/>
      <c r="J68" s="192"/>
      <c r="K68" s="166">
        <v>427872</v>
      </c>
      <c r="L68" s="166">
        <v>427872</v>
      </c>
    </row>
    <row r="69" spans="1:12" ht="18" customHeight="1">
      <c r="A69" s="189"/>
      <c r="B69" s="191"/>
      <c r="C69" s="527" t="s">
        <v>386</v>
      </c>
      <c r="D69" s="460"/>
      <c r="E69" s="460"/>
      <c r="F69" s="460"/>
      <c r="G69" s="460"/>
      <c r="H69" s="460"/>
      <c r="I69" s="461"/>
      <c r="J69" s="192"/>
      <c r="K69" s="166">
        <v>554220</v>
      </c>
      <c r="L69" s="166">
        <v>284220</v>
      </c>
    </row>
    <row r="70" spans="1:12" ht="18" customHeight="1">
      <c r="A70" s="189"/>
      <c r="B70" s="191"/>
      <c r="C70" s="527" t="s">
        <v>387</v>
      </c>
      <c r="D70" s="460"/>
      <c r="E70" s="460"/>
      <c r="F70" s="460"/>
      <c r="G70" s="460"/>
      <c r="H70" s="460"/>
      <c r="I70" s="461"/>
      <c r="J70" s="192"/>
      <c r="K70" s="166">
        <v>2000000</v>
      </c>
      <c r="L70" s="166">
        <v>764889</v>
      </c>
    </row>
    <row r="71" spans="1:12" ht="18" customHeight="1">
      <c r="A71" s="189"/>
      <c r="B71" s="191"/>
      <c r="C71" s="527" t="s">
        <v>388</v>
      </c>
      <c r="D71" s="460"/>
      <c r="E71" s="460"/>
      <c r="F71" s="460"/>
      <c r="G71" s="460"/>
      <c r="H71" s="460"/>
      <c r="I71" s="461"/>
      <c r="J71" s="192"/>
      <c r="K71" s="166">
        <v>231290</v>
      </c>
      <c r="L71" s="166">
        <v>231290</v>
      </c>
    </row>
    <row r="72" spans="1:12" ht="18" customHeight="1">
      <c r="A72" s="189"/>
      <c r="B72" s="191"/>
      <c r="C72" s="527" t="s">
        <v>382</v>
      </c>
      <c r="D72" s="460"/>
      <c r="E72" s="460"/>
      <c r="F72" s="460"/>
      <c r="G72" s="460"/>
      <c r="H72" s="460"/>
      <c r="I72" s="461"/>
      <c r="J72" s="192"/>
      <c r="K72" s="166">
        <v>1133160</v>
      </c>
      <c r="L72" s="166">
        <v>1096260</v>
      </c>
    </row>
    <row r="73" spans="1:12" ht="18" customHeight="1">
      <c r="A73" s="189">
        <v>58</v>
      </c>
      <c r="B73" s="193"/>
      <c r="C73" s="527"/>
      <c r="D73" s="460"/>
      <c r="E73" s="460"/>
      <c r="F73" s="460"/>
      <c r="G73" s="460"/>
      <c r="H73" s="460"/>
      <c r="I73" s="461"/>
      <c r="J73" s="192"/>
      <c r="K73" s="194"/>
      <c r="L73" s="194"/>
    </row>
    <row r="74" spans="1:12" ht="18" customHeight="1">
      <c r="A74" s="189">
        <f>A73+1</f>
        <v>59</v>
      </c>
      <c r="B74" s="191"/>
      <c r="C74" s="456" t="s">
        <v>168</v>
      </c>
      <c r="D74" s="457"/>
      <c r="E74" s="457"/>
      <c r="F74" s="457"/>
      <c r="G74" s="457"/>
      <c r="H74" s="457"/>
      <c r="I74" s="458"/>
      <c r="J74" s="192"/>
      <c r="K74" s="169">
        <f>SUM(K75:K80)</f>
        <v>5427602</v>
      </c>
      <c r="L74" s="169">
        <f>SUM(L75:L80)</f>
        <v>3719463</v>
      </c>
    </row>
    <row r="75" spans="1:12" ht="18" customHeight="1">
      <c r="A75" s="189">
        <v>59</v>
      </c>
      <c r="B75" s="193"/>
      <c r="C75" s="459" t="s">
        <v>375</v>
      </c>
      <c r="D75" s="460"/>
      <c r="E75" s="460"/>
      <c r="F75" s="460"/>
      <c r="G75" s="460"/>
      <c r="H75" s="460"/>
      <c r="I75" s="461"/>
      <c r="J75" s="192"/>
      <c r="K75" s="194">
        <v>2418371</v>
      </c>
      <c r="L75" s="194">
        <v>2365223</v>
      </c>
    </row>
    <row r="76" spans="1:12" ht="18" customHeight="1">
      <c r="A76" s="189">
        <f>A75+1</f>
        <v>60</v>
      </c>
      <c r="B76" s="193"/>
      <c r="C76" s="459" t="s">
        <v>389</v>
      </c>
      <c r="D76" s="460"/>
      <c r="E76" s="460"/>
      <c r="F76" s="460"/>
      <c r="G76" s="460"/>
      <c r="H76" s="460"/>
      <c r="I76" s="461"/>
      <c r="J76" s="192"/>
      <c r="K76" s="166">
        <v>595490</v>
      </c>
      <c r="L76" s="194">
        <v>563490</v>
      </c>
    </row>
    <row r="77" spans="1:12" ht="18" customHeight="1">
      <c r="A77" s="189">
        <v>60</v>
      </c>
      <c r="B77" s="193"/>
      <c r="C77" s="459" t="s">
        <v>382</v>
      </c>
      <c r="D77" s="460"/>
      <c r="E77" s="460"/>
      <c r="F77" s="460"/>
      <c r="G77" s="460"/>
      <c r="H77" s="460"/>
      <c r="I77" s="461"/>
      <c r="J77" s="192"/>
      <c r="K77" s="194">
        <v>813741</v>
      </c>
      <c r="L77" s="194">
        <v>790750</v>
      </c>
    </row>
    <row r="78" spans="1:12" ht="18" customHeight="1">
      <c r="A78" s="189"/>
      <c r="B78" s="193"/>
      <c r="C78" s="459" t="s">
        <v>168</v>
      </c>
      <c r="D78" s="460"/>
      <c r="E78" s="460"/>
      <c r="F78" s="460"/>
      <c r="G78" s="460"/>
      <c r="H78" s="460"/>
      <c r="I78" s="461"/>
      <c r="J78" s="192"/>
      <c r="K78" s="194"/>
      <c r="L78" s="194"/>
    </row>
    <row r="79" spans="1:12" ht="18" customHeight="1">
      <c r="A79" s="189"/>
      <c r="B79" s="193"/>
      <c r="C79" s="459" t="s">
        <v>390</v>
      </c>
      <c r="D79" s="460"/>
      <c r="E79" s="460"/>
      <c r="F79" s="460"/>
      <c r="G79" s="460"/>
      <c r="H79" s="460"/>
      <c r="I79" s="461"/>
      <c r="J79" s="192"/>
      <c r="K79" s="194">
        <v>1600000</v>
      </c>
      <c r="L79" s="194">
        <v>0</v>
      </c>
    </row>
    <row r="80" spans="1:12" ht="18" customHeight="1">
      <c r="A80" s="189">
        <f>A77+1</f>
        <v>61</v>
      </c>
      <c r="B80" s="193"/>
      <c r="C80" s="460"/>
      <c r="D80" s="460"/>
      <c r="E80" s="460"/>
      <c r="F80" s="460"/>
      <c r="G80" s="460"/>
      <c r="H80" s="460"/>
      <c r="I80" s="461"/>
      <c r="J80" s="192"/>
      <c r="K80" s="194"/>
      <c r="L80" s="194"/>
    </row>
    <row r="81" spans="1:12" ht="18" customHeight="1">
      <c r="A81" s="189">
        <v>61</v>
      </c>
      <c r="B81" s="191"/>
      <c r="C81" s="456" t="s">
        <v>169</v>
      </c>
      <c r="D81" s="457"/>
      <c r="E81" s="457"/>
      <c r="F81" s="457"/>
      <c r="G81" s="457"/>
      <c r="H81" s="457"/>
      <c r="I81" s="458"/>
      <c r="J81" s="192"/>
      <c r="K81" s="169">
        <f>SUM(K82:K91)</f>
        <v>22510146</v>
      </c>
      <c r="L81" s="169">
        <f>SUM(L82:L92)</f>
        <v>22510238</v>
      </c>
    </row>
    <row r="82" spans="1:12" ht="18" customHeight="1">
      <c r="A82" s="189">
        <f>A81+1</f>
        <v>62</v>
      </c>
      <c r="B82" s="193"/>
      <c r="C82" s="470" t="s">
        <v>257</v>
      </c>
      <c r="D82" s="460"/>
      <c r="E82" s="460"/>
      <c r="F82" s="460"/>
      <c r="G82" s="460"/>
      <c r="H82" s="460"/>
      <c r="I82" s="461"/>
      <c r="J82" s="192">
        <v>0</v>
      </c>
      <c r="K82" s="194">
        <f>1356583+366278</f>
        <v>1722861</v>
      </c>
      <c r="L82" s="194">
        <f>1356583+366278</f>
        <v>1722861</v>
      </c>
    </row>
    <row r="83" spans="1:12" ht="18" customHeight="1">
      <c r="A83" s="189" t="e">
        <f>#REF!+1</f>
        <v>#REF!</v>
      </c>
      <c r="B83" s="193"/>
      <c r="C83" s="470" t="s">
        <v>258</v>
      </c>
      <c r="D83" s="460"/>
      <c r="E83" s="460"/>
      <c r="F83" s="460"/>
      <c r="G83" s="460"/>
      <c r="H83" s="460"/>
      <c r="I83" s="461"/>
      <c r="J83" s="192">
        <v>0</v>
      </c>
      <c r="K83" s="194">
        <f>109075+403981</f>
        <v>513056</v>
      </c>
      <c r="L83" s="194">
        <f>109075+403981</f>
        <v>513056</v>
      </c>
    </row>
    <row r="84" spans="1:12" ht="18" customHeight="1">
      <c r="A84" s="189">
        <v>63</v>
      </c>
      <c r="B84" s="193"/>
      <c r="C84" s="470" t="s">
        <v>266</v>
      </c>
      <c r="D84" s="460"/>
      <c r="E84" s="460"/>
      <c r="F84" s="460"/>
      <c r="G84" s="460"/>
      <c r="H84" s="460"/>
      <c r="I84" s="461"/>
      <c r="J84" s="192">
        <v>0</v>
      </c>
      <c r="K84" s="194">
        <f>1399489+377862</f>
        <v>1777351</v>
      </c>
      <c r="L84" s="194">
        <f>1399489+377862</f>
        <v>1777351</v>
      </c>
    </row>
    <row r="85" spans="1:12" ht="18" customHeight="1">
      <c r="A85" s="189">
        <f>A84+1</f>
        <v>64</v>
      </c>
      <c r="B85" s="193"/>
      <c r="C85" s="470" t="s">
        <v>259</v>
      </c>
      <c r="D85" s="460"/>
      <c r="E85" s="460"/>
      <c r="F85" s="460"/>
      <c r="G85" s="460"/>
      <c r="H85" s="460"/>
      <c r="I85" s="461"/>
      <c r="J85" s="192">
        <v>0</v>
      </c>
      <c r="K85" s="194">
        <f>4913283+1326586</f>
        <v>6239869</v>
      </c>
      <c r="L85" s="194">
        <f>4913283+1326586</f>
        <v>6239869</v>
      </c>
    </row>
    <row r="86" spans="1:12" ht="18" customHeight="1">
      <c r="A86" s="189">
        <v>64</v>
      </c>
      <c r="B86" s="193"/>
      <c r="C86" s="470" t="s">
        <v>265</v>
      </c>
      <c r="D86" s="460"/>
      <c r="E86" s="460"/>
      <c r="F86" s="460"/>
      <c r="G86" s="460"/>
      <c r="H86" s="460"/>
      <c r="I86" s="461"/>
      <c r="J86" s="192">
        <v>0</v>
      </c>
      <c r="K86" s="194">
        <v>9800000</v>
      </c>
      <c r="L86" s="226">
        <v>9800000</v>
      </c>
    </row>
    <row r="87" spans="1:12" ht="18" customHeight="1">
      <c r="A87" s="189">
        <f>A86+1</f>
        <v>65</v>
      </c>
      <c r="B87" s="193"/>
      <c r="C87" s="470" t="s">
        <v>261</v>
      </c>
      <c r="D87" s="460"/>
      <c r="E87" s="460"/>
      <c r="F87" s="460"/>
      <c r="G87" s="460"/>
      <c r="H87" s="460"/>
      <c r="I87" s="461"/>
      <c r="J87" s="192">
        <v>0</v>
      </c>
      <c r="K87" s="194">
        <f>3190+11810</f>
        <v>15000</v>
      </c>
      <c r="L87" s="194">
        <f>3190+11810</f>
        <v>15000</v>
      </c>
    </row>
    <row r="88" spans="1:12" ht="18" customHeight="1">
      <c r="A88" s="189">
        <v>65</v>
      </c>
      <c r="B88" s="193"/>
      <c r="C88" s="470" t="s">
        <v>262</v>
      </c>
      <c r="D88" s="460"/>
      <c r="E88" s="460"/>
      <c r="F88" s="460"/>
      <c r="G88" s="460"/>
      <c r="H88" s="460"/>
      <c r="I88" s="461"/>
      <c r="J88" s="194">
        <v>0</v>
      </c>
      <c r="K88" s="194">
        <f>62000</f>
        <v>62000</v>
      </c>
      <c r="L88" s="194">
        <f>62000</f>
        <v>62000</v>
      </c>
    </row>
    <row r="89" spans="1:12" ht="18" customHeight="1">
      <c r="A89" s="189">
        <f>A88+1</f>
        <v>66</v>
      </c>
      <c r="B89" s="193"/>
      <c r="C89" s="470" t="s">
        <v>263</v>
      </c>
      <c r="D89" s="460"/>
      <c r="E89" s="460"/>
      <c r="F89" s="460"/>
      <c r="G89" s="460"/>
      <c r="H89" s="460"/>
      <c r="I89" s="461"/>
      <c r="J89" s="192">
        <v>0</v>
      </c>
      <c r="K89" s="194">
        <f>58806+217800</f>
        <v>276606</v>
      </c>
      <c r="L89" s="194">
        <f>58806+217800</f>
        <v>276606</v>
      </c>
    </row>
    <row r="90" spans="1:12" ht="18" customHeight="1">
      <c r="A90" s="189">
        <v>66</v>
      </c>
      <c r="B90" s="193"/>
      <c r="C90" s="473" t="s">
        <v>264</v>
      </c>
      <c r="D90" s="474"/>
      <c r="E90" s="474"/>
      <c r="F90" s="474"/>
      <c r="G90" s="474"/>
      <c r="H90" s="474"/>
      <c r="I90" s="475"/>
      <c r="J90" s="165">
        <v>0</v>
      </c>
      <c r="K90" s="241">
        <v>2103403</v>
      </c>
      <c r="L90" s="241">
        <v>2103495</v>
      </c>
    </row>
    <row r="91" spans="1:12" ht="18" customHeight="1">
      <c r="A91" s="189" t="e">
        <f>#REF!+1</f>
        <v>#REF!</v>
      </c>
      <c r="B91" s="193"/>
      <c r="C91" s="471"/>
      <c r="D91" s="471"/>
      <c r="E91" s="471"/>
      <c r="F91" s="471"/>
      <c r="G91" s="471"/>
      <c r="H91" s="471"/>
      <c r="I91" s="472"/>
      <c r="J91" s="192"/>
      <c r="K91" s="194"/>
      <c r="L91" s="194"/>
    </row>
    <row r="92" spans="1:12" ht="18" customHeight="1">
      <c r="A92" s="189">
        <v>76</v>
      </c>
      <c r="B92" s="193"/>
      <c r="C92" s="470"/>
      <c r="D92" s="460"/>
      <c r="E92" s="460"/>
      <c r="F92" s="460"/>
      <c r="G92" s="460"/>
      <c r="H92" s="460"/>
      <c r="I92" s="461"/>
      <c r="J92" s="192"/>
      <c r="K92" s="194"/>
      <c r="L92" s="194"/>
    </row>
    <row r="93" spans="1:12" ht="18" customHeight="1">
      <c r="A93" s="189">
        <f>A92+1</f>
        <v>77</v>
      </c>
      <c r="B93" s="195" t="s">
        <v>163</v>
      </c>
      <c r="C93" s="468" t="s">
        <v>170</v>
      </c>
      <c r="D93" s="468"/>
      <c r="E93" s="468"/>
      <c r="F93" s="468"/>
      <c r="G93" s="468"/>
      <c r="H93" s="468"/>
      <c r="I93" s="469"/>
      <c r="J93" s="196">
        <v>0</v>
      </c>
      <c r="K93" s="169">
        <f>K51+K57+K61+K65+K74+K81</f>
        <v>54105396</v>
      </c>
      <c r="L93" s="169">
        <f>L51+L57+L61+L65+L74+L81</f>
        <v>49109028</v>
      </c>
    </row>
    <row r="94" spans="1:12" ht="18" customHeight="1">
      <c r="A94" s="189">
        <v>77</v>
      </c>
      <c r="B94" s="197"/>
      <c r="C94" s="467" t="s">
        <v>242</v>
      </c>
      <c r="D94" s="468"/>
      <c r="E94" s="468"/>
      <c r="F94" s="468"/>
      <c r="G94" s="468"/>
      <c r="H94" s="468"/>
      <c r="I94" s="469"/>
      <c r="J94" s="169">
        <f>J44+J93</f>
        <v>193659000</v>
      </c>
      <c r="K94" s="169">
        <f>K44+K93</f>
        <v>314511872</v>
      </c>
      <c r="L94" s="169">
        <f>L44+L93</f>
        <v>97187363</v>
      </c>
    </row>
    <row r="95" spans="2:12" ht="18" customHeight="1">
      <c r="B95" s="199"/>
      <c r="C95" s="199"/>
      <c r="D95" s="199"/>
      <c r="E95" s="199"/>
      <c r="F95" s="199"/>
      <c r="G95" s="199"/>
      <c r="H95" s="199"/>
      <c r="I95" s="199"/>
      <c r="J95" s="199"/>
      <c r="K95" s="342" t="s">
        <v>171</v>
      </c>
      <c r="L95" s="225" t="s">
        <v>171</v>
      </c>
    </row>
    <row r="96" spans="2:12" ht="18" customHeight="1">
      <c r="B96" s="199"/>
      <c r="C96" s="199"/>
      <c r="D96" s="199"/>
      <c r="E96" s="199"/>
      <c r="F96" s="199"/>
      <c r="G96" s="199"/>
      <c r="H96" s="199"/>
      <c r="I96" s="199"/>
      <c r="J96" s="199"/>
      <c r="K96" s="225" t="s">
        <v>171</v>
      </c>
      <c r="L96" s="225" t="s">
        <v>171</v>
      </c>
    </row>
    <row r="97" spans="2:12" ht="18" customHeight="1">
      <c r="B97" s="199"/>
      <c r="C97" s="199"/>
      <c r="D97" s="199"/>
      <c r="E97" s="199"/>
      <c r="F97" s="199"/>
      <c r="G97" s="199"/>
      <c r="H97" s="199"/>
      <c r="I97" s="199"/>
      <c r="J97" s="199"/>
      <c r="K97" s="200"/>
      <c r="L97" s="200"/>
    </row>
    <row r="98" spans="2:12" ht="18" customHeight="1">
      <c r="B98" s="199"/>
      <c r="C98" s="199"/>
      <c r="D98" s="199"/>
      <c r="E98" s="199"/>
      <c r="F98" s="199"/>
      <c r="G98" s="199"/>
      <c r="H98" s="199"/>
      <c r="I98" s="199"/>
      <c r="J98" s="199"/>
      <c r="K98" s="200"/>
      <c r="L98" s="200"/>
    </row>
    <row r="99" spans="2:12" ht="18" customHeight="1">
      <c r="B99" s="199"/>
      <c r="C99" s="199"/>
      <c r="D99" s="199"/>
      <c r="E99" s="199"/>
      <c r="F99" s="199"/>
      <c r="G99" s="199"/>
      <c r="H99" s="199"/>
      <c r="I99" s="199"/>
      <c r="J99" s="199"/>
      <c r="K99" s="200"/>
      <c r="L99" s="200"/>
    </row>
    <row r="100" spans="2:12" ht="18" customHeight="1">
      <c r="B100" s="199"/>
      <c r="C100" s="199"/>
      <c r="D100" s="199"/>
      <c r="E100" s="199"/>
      <c r="F100" s="199"/>
      <c r="G100" s="199"/>
      <c r="H100" s="199"/>
      <c r="I100" s="199"/>
      <c r="J100" s="199"/>
      <c r="K100" s="200"/>
      <c r="L100" s="200"/>
    </row>
    <row r="101" spans="2:12" ht="18" customHeight="1">
      <c r="B101" s="199"/>
      <c r="C101" s="199"/>
      <c r="D101" s="199"/>
      <c r="E101" s="199"/>
      <c r="F101" s="199"/>
      <c r="G101" s="199"/>
      <c r="H101" s="199"/>
      <c r="I101" s="199"/>
      <c r="J101" s="199"/>
      <c r="K101" s="200"/>
      <c r="L101" s="200"/>
    </row>
    <row r="102" spans="2:12" ht="18" customHeight="1">
      <c r="B102" s="199"/>
      <c r="C102" s="199"/>
      <c r="D102" s="199"/>
      <c r="E102" s="199"/>
      <c r="F102" s="199"/>
      <c r="G102" s="199"/>
      <c r="H102" s="199"/>
      <c r="I102" s="199"/>
      <c r="J102" s="199"/>
      <c r="K102" s="200"/>
      <c r="L102" s="200"/>
    </row>
    <row r="103" spans="2:12" ht="18" customHeight="1">
      <c r="B103" s="199"/>
      <c r="C103" s="199"/>
      <c r="D103" s="199"/>
      <c r="E103" s="199"/>
      <c r="F103" s="199"/>
      <c r="G103" s="199"/>
      <c r="H103" s="199"/>
      <c r="I103" s="199"/>
      <c r="J103" s="199"/>
      <c r="K103" s="200"/>
      <c r="L103" s="200"/>
    </row>
    <row r="104" spans="2:12" ht="18" customHeight="1">
      <c r="B104" s="199"/>
      <c r="C104" s="199"/>
      <c r="D104" s="199"/>
      <c r="E104" s="199"/>
      <c r="F104" s="199"/>
      <c r="G104" s="199"/>
      <c r="H104" s="199"/>
      <c r="I104" s="199"/>
      <c r="J104" s="199"/>
      <c r="K104" s="200"/>
      <c r="L104" s="200"/>
    </row>
    <row r="105" spans="2:12" ht="18" customHeight="1">
      <c r="B105" s="199"/>
      <c r="C105" s="199"/>
      <c r="D105" s="199"/>
      <c r="E105" s="199"/>
      <c r="F105" s="199"/>
      <c r="G105" s="199"/>
      <c r="H105" s="199"/>
      <c r="I105" s="199"/>
      <c r="J105" s="199"/>
      <c r="K105" s="200"/>
      <c r="L105" s="200"/>
    </row>
    <row r="106" spans="2:12" ht="18" customHeight="1">
      <c r="B106" s="199"/>
      <c r="C106" s="199"/>
      <c r="D106" s="199"/>
      <c r="E106" s="199"/>
      <c r="F106" s="199"/>
      <c r="G106" s="199"/>
      <c r="H106" s="199"/>
      <c r="I106" s="199"/>
      <c r="J106" s="199"/>
      <c r="K106" s="200"/>
      <c r="L106" s="200"/>
    </row>
    <row r="107" spans="11:12" ht="18" customHeight="1">
      <c r="K107" s="201"/>
      <c r="L107" s="201"/>
    </row>
  </sheetData>
  <sheetProtection/>
  <mergeCells count="91">
    <mergeCell ref="C90:I90"/>
    <mergeCell ref="C64:I64"/>
    <mergeCell ref="C79:I79"/>
    <mergeCell ref="C81:I81"/>
    <mergeCell ref="C82:I82"/>
    <mergeCell ref="C83:I83"/>
    <mergeCell ref="C78:I78"/>
    <mergeCell ref="D23:I23"/>
    <mergeCell ref="C68:I68"/>
    <mergeCell ref="C71:I71"/>
    <mergeCell ref="C58:I58"/>
    <mergeCell ref="C59:I59"/>
    <mergeCell ref="C67:I67"/>
    <mergeCell ref="C56:I56"/>
    <mergeCell ref="C63:I63"/>
    <mergeCell ref="C69:I69"/>
    <mergeCell ref="C70:I70"/>
    <mergeCell ref="D25:I25"/>
    <mergeCell ref="D27:I27"/>
    <mergeCell ref="C29:I29"/>
    <mergeCell ref="C73:I73"/>
    <mergeCell ref="C72:I72"/>
    <mergeCell ref="C66:I66"/>
    <mergeCell ref="C61:I61"/>
    <mergeCell ref="C62:I62"/>
    <mergeCell ref="C52:I52"/>
    <mergeCell ref="C50:I50"/>
    <mergeCell ref="L48:L49"/>
    <mergeCell ref="C44:I44"/>
    <mergeCell ref="D42:I42"/>
    <mergeCell ref="C43:I43"/>
    <mergeCell ref="J48:K48"/>
    <mergeCell ref="D33:I33"/>
    <mergeCell ref="B48:I49"/>
    <mergeCell ref="D39:I39"/>
    <mergeCell ref="A48:A49"/>
    <mergeCell ref="C36:I36"/>
    <mergeCell ref="C15:I15"/>
    <mergeCell ref="C18:I18"/>
    <mergeCell ref="D28:I28"/>
    <mergeCell ref="D32:I32"/>
    <mergeCell ref="D31:I31"/>
    <mergeCell ref="D30:I30"/>
    <mergeCell ref="D16:I16"/>
    <mergeCell ref="D24:I24"/>
    <mergeCell ref="D21:I21"/>
    <mergeCell ref="D22:I22"/>
    <mergeCell ref="D41:I41"/>
    <mergeCell ref="D17:I17"/>
    <mergeCell ref="D26:I26"/>
    <mergeCell ref="D37:I37"/>
    <mergeCell ref="D34:I34"/>
    <mergeCell ref="D35:I35"/>
    <mergeCell ref="D38:I38"/>
    <mergeCell ref="D20:I20"/>
    <mergeCell ref="B8:J8"/>
    <mergeCell ref="J11:K11"/>
    <mergeCell ref="C14:I14"/>
    <mergeCell ref="A4:L4"/>
    <mergeCell ref="A5:L5"/>
    <mergeCell ref="A11:A12"/>
    <mergeCell ref="B11:I12"/>
    <mergeCell ref="A6:L6"/>
    <mergeCell ref="L11:L12"/>
    <mergeCell ref="C13:I13"/>
    <mergeCell ref="C51:I51"/>
    <mergeCell ref="D40:I40"/>
    <mergeCell ref="C53:I53"/>
    <mergeCell ref="C54:I54"/>
    <mergeCell ref="C55:I55"/>
    <mergeCell ref="C77:I77"/>
    <mergeCell ref="C94:I94"/>
    <mergeCell ref="C88:I88"/>
    <mergeCell ref="C84:I84"/>
    <mergeCell ref="C85:I85"/>
    <mergeCell ref="C86:I86"/>
    <mergeCell ref="C87:I87"/>
    <mergeCell ref="C92:I92"/>
    <mergeCell ref="C93:I93"/>
    <mergeCell ref="C89:I89"/>
    <mergeCell ref="C91:I91"/>
    <mergeCell ref="I1:L1"/>
    <mergeCell ref="I45:L45"/>
    <mergeCell ref="C74:I74"/>
    <mergeCell ref="C75:I75"/>
    <mergeCell ref="C80:I80"/>
    <mergeCell ref="C57:I57"/>
    <mergeCell ref="C60:I60"/>
    <mergeCell ref="C65:I65"/>
    <mergeCell ref="C76:I76"/>
    <mergeCell ref="D19:I19"/>
  </mergeCells>
  <printOptions horizontalCentered="1"/>
  <pageMargins left="0" right="0" top="0" bottom="0" header="0.5118110236220472" footer="0.5118110236220472"/>
  <pageSetup horizontalDpi="600" verticalDpi="600" orientation="portrait" paperSize="9" scale="83" r:id="rId1"/>
  <rowBreaks count="2" manualBreakCount="2">
    <brk id="44" max="11" man="1"/>
    <brk id="9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="60" zoomScalePageLayoutView="0" workbookViewId="0" topLeftCell="A28">
      <selection activeCell="C1" sqref="C1:F1"/>
    </sheetView>
  </sheetViews>
  <sheetFormatPr defaultColWidth="8.8515625" defaultRowHeight="12.75"/>
  <cols>
    <col min="1" max="1" width="3.00390625" style="46" customWidth="1"/>
    <col min="2" max="2" width="4.28125" style="46" customWidth="1"/>
    <col min="3" max="3" width="7.140625" style="47" customWidth="1"/>
    <col min="4" max="4" width="88.28125" style="48" customWidth="1"/>
    <col min="5" max="5" width="17.8515625" style="49" customWidth="1"/>
    <col min="6" max="6" width="19.421875" style="46" customWidth="1"/>
    <col min="7" max="7" width="15.421875" style="46" hidden="1" customWidth="1"/>
    <col min="8" max="16384" width="8.8515625" style="46" customWidth="1"/>
  </cols>
  <sheetData>
    <row r="1" spans="1:6" ht="15">
      <c r="A1" s="45"/>
      <c r="B1" s="45"/>
      <c r="C1" s="540" t="s">
        <v>410</v>
      </c>
      <c r="D1" s="541"/>
      <c r="E1" s="541"/>
      <c r="F1" s="541"/>
    </row>
    <row r="2" ht="18.75" customHeight="1">
      <c r="F2" s="50"/>
    </row>
    <row r="3" spans="2:6" ht="18.75" customHeight="1">
      <c r="B3" s="51"/>
      <c r="C3" s="51"/>
      <c r="D3" s="51"/>
      <c r="E3" s="52"/>
      <c r="F3" s="50"/>
    </row>
    <row r="4" spans="1:5" ht="18.75" customHeight="1">
      <c r="A4" s="53"/>
      <c r="B4" s="51"/>
      <c r="C4" s="54"/>
      <c r="D4" s="55"/>
      <c r="E4" s="56"/>
    </row>
    <row r="5" spans="1:6" ht="23.25" customHeight="1">
      <c r="A5" s="546" t="s">
        <v>88</v>
      </c>
      <c r="B5" s="480"/>
      <c r="C5" s="480"/>
      <c r="D5" s="480"/>
      <c r="E5" s="480"/>
      <c r="F5" s="480"/>
    </row>
    <row r="6" spans="1:6" ht="23.25" customHeight="1">
      <c r="A6" s="546" t="s">
        <v>215</v>
      </c>
      <c r="B6" s="480"/>
      <c r="C6" s="480"/>
      <c r="D6" s="480"/>
      <c r="E6" s="480"/>
      <c r="F6" s="480"/>
    </row>
    <row r="7" spans="1:6" ht="23.25" customHeight="1">
      <c r="A7" s="546" t="s">
        <v>89</v>
      </c>
      <c r="B7" s="480"/>
      <c r="C7" s="480"/>
      <c r="D7" s="480"/>
      <c r="E7" s="480"/>
      <c r="F7" s="480"/>
    </row>
    <row r="8" spans="1:5" ht="18.75" customHeight="1">
      <c r="A8" s="57"/>
      <c r="C8" s="58"/>
      <c r="D8" s="59"/>
      <c r="E8" s="59"/>
    </row>
    <row r="9" spans="1:5" ht="18.75" customHeight="1">
      <c r="A9" s="57"/>
      <c r="C9" s="58"/>
      <c r="D9" s="59"/>
      <c r="E9" s="59"/>
    </row>
    <row r="10" spans="1:6" ht="18.75" customHeight="1">
      <c r="A10" s="57"/>
      <c r="C10" s="58"/>
      <c r="D10" s="59"/>
      <c r="F10" s="60" t="s">
        <v>90</v>
      </c>
    </row>
    <row r="11" spans="1:6" ht="18.75" customHeight="1">
      <c r="A11" s="61"/>
      <c r="B11" s="62" t="s">
        <v>0</v>
      </c>
      <c r="C11" s="62" t="s">
        <v>1</v>
      </c>
      <c r="D11" s="62" t="s">
        <v>2</v>
      </c>
      <c r="E11" s="544" t="s">
        <v>3</v>
      </c>
      <c r="F11" s="545"/>
    </row>
    <row r="12" spans="1:6" s="64" customFormat="1" ht="18.75" customHeight="1">
      <c r="A12" s="61">
        <v>1</v>
      </c>
      <c r="B12" s="547" t="s">
        <v>91</v>
      </c>
      <c r="C12" s="548"/>
      <c r="D12" s="549"/>
      <c r="E12" s="542" t="s">
        <v>92</v>
      </c>
      <c r="F12" s="543"/>
    </row>
    <row r="13" spans="1:6" s="64" customFormat="1" ht="18.75" customHeight="1">
      <c r="A13" s="67">
        <f aca="true" t="shared" si="0" ref="A13:A51">A12+1</f>
        <v>2</v>
      </c>
      <c r="B13" s="550"/>
      <c r="C13" s="550"/>
      <c r="D13" s="551"/>
      <c r="E13" s="63" t="s">
        <v>93</v>
      </c>
      <c r="F13" s="65" t="s">
        <v>94</v>
      </c>
    </row>
    <row r="14" spans="1:6" s="64" customFormat="1" ht="26.25" customHeight="1">
      <c r="A14" s="67">
        <f t="shared" si="0"/>
        <v>3</v>
      </c>
      <c r="B14" s="534" t="s">
        <v>95</v>
      </c>
      <c r="C14" s="535"/>
      <c r="D14" s="535"/>
      <c r="E14" s="66"/>
      <c r="F14" s="65"/>
    </row>
    <row r="15" spans="1:6" s="64" customFormat="1" ht="18.75" customHeight="1">
      <c r="A15" s="67">
        <f t="shared" si="0"/>
        <v>4</v>
      </c>
      <c r="B15" s="536" t="s">
        <v>96</v>
      </c>
      <c r="C15" s="536"/>
      <c r="D15" s="536"/>
      <c r="E15" s="68"/>
      <c r="F15" s="69"/>
    </row>
    <row r="16" spans="1:6" ht="18.75" customHeight="1">
      <c r="A16" s="67">
        <f t="shared" si="0"/>
        <v>5</v>
      </c>
      <c r="B16" s="70"/>
      <c r="C16" s="71" t="s">
        <v>97</v>
      </c>
      <c r="D16" s="214" t="s">
        <v>117</v>
      </c>
      <c r="E16" s="73">
        <v>5000000</v>
      </c>
      <c r="F16" s="215">
        <f>E16-3238500</f>
        <v>1761500</v>
      </c>
    </row>
    <row r="17" spans="1:6" ht="18.75" customHeight="1">
      <c r="A17" s="67">
        <f t="shared" si="0"/>
        <v>6</v>
      </c>
      <c r="B17" s="70"/>
      <c r="C17" s="74" t="s">
        <v>98</v>
      </c>
      <c r="D17" s="70" t="s">
        <v>118</v>
      </c>
      <c r="E17" s="76">
        <f>670000+1000000+1850000</f>
        <v>3520000</v>
      </c>
      <c r="F17" s="72">
        <f>E17-653995-290000</f>
        <v>2576005</v>
      </c>
    </row>
    <row r="18" spans="1:6" ht="18.75" customHeight="1">
      <c r="A18" s="67">
        <f t="shared" si="0"/>
        <v>7</v>
      </c>
      <c r="B18" s="70"/>
      <c r="C18" s="74" t="s">
        <v>99</v>
      </c>
      <c r="D18" s="70" t="s">
        <v>221</v>
      </c>
      <c r="E18" s="76">
        <v>8956424</v>
      </c>
      <c r="F18" s="211">
        <f>E18-2157856</f>
        <v>6798568</v>
      </c>
    </row>
    <row r="19" spans="1:6" ht="18.75" customHeight="1">
      <c r="A19" s="67">
        <f t="shared" si="0"/>
        <v>8</v>
      </c>
      <c r="B19" s="70"/>
      <c r="C19" s="74" t="s">
        <v>100</v>
      </c>
      <c r="D19" s="70" t="s">
        <v>222</v>
      </c>
      <c r="E19" s="76">
        <v>2895633</v>
      </c>
      <c r="F19" s="211">
        <f>E19-2865194</f>
        <v>30439</v>
      </c>
    </row>
    <row r="20" spans="1:6" ht="18.75" customHeight="1">
      <c r="A20" s="67">
        <f t="shared" si="0"/>
        <v>9</v>
      </c>
      <c r="B20" s="70"/>
      <c r="C20" s="74" t="s">
        <v>101</v>
      </c>
      <c r="D20" s="48" t="s">
        <v>223</v>
      </c>
      <c r="E20" s="76">
        <v>96053114</v>
      </c>
      <c r="F20" s="211">
        <f>E20-26374105</f>
        <v>69679009</v>
      </c>
    </row>
    <row r="21" spans="1:6" ht="18.75" customHeight="1">
      <c r="A21" s="67">
        <f t="shared" si="0"/>
        <v>10</v>
      </c>
      <c r="B21" s="70"/>
      <c r="C21" s="74" t="s">
        <v>102</v>
      </c>
      <c r="D21" s="70" t="s">
        <v>220</v>
      </c>
      <c r="E21" s="76">
        <v>8000000</v>
      </c>
      <c r="F21" s="211">
        <f>E21-10037118</f>
        <v>-2037118</v>
      </c>
    </row>
    <row r="22" spans="1:6" ht="18.75" customHeight="1">
      <c r="A22" s="67">
        <f t="shared" si="0"/>
        <v>11</v>
      </c>
      <c r="B22" s="70"/>
      <c r="C22" s="74" t="s">
        <v>103</v>
      </c>
      <c r="D22" s="70" t="s">
        <v>237</v>
      </c>
      <c r="E22" s="76">
        <v>0</v>
      </c>
      <c r="F22" s="211">
        <v>2410046</v>
      </c>
    </row>
    <row r="23" spans="1:6" ht="18.75" customHeight="1">
      <c r="A23" s="67">
        <f t="shared" si="0"/>
        <v>12</v>
      </c>
      <c r="B23" s="70"/>
      <c r="C23" s="74" t="s">
        <v>104</v>
      </c>
      <c r="D23" s="70" t="s">
        <v>238</v>
      </c>
      <c r="E23" s="76">
        <v>0</v>
      </c>
      <c r="F23" s="211">
        <v>-1792011</v>
      </c>
    </row>
    <row r="24" spans="1:6" ht="18.75" customHeight="1">
      <c r="A24" s="67">
        <f t="shared" si="0"/>
        <v>13</v>
      </c>
      <c r="B24" s="70"/>
      <c r="C24" s="74" t="s">
        <v>105</v>
      </c>
      <c r="D24" s="70" t="s">
        <v>239</v>
      </c>
      <c r="E24" s="76">
        <v>0</v>
      </c>
      <c r="F24" s="211">
        <v>-178000</v>
      </c>
    </row>
    <row r="25" spans="1:6" ht="18.75" customHeight="1">
      <c r="A25" s="67">
        <f t="shared" si="0"/>
        <v>14</v>
      </c>
      <c r="B25" s="70"/>
      <c r="C25" s="74" t="s">
        <v>107</v>
      </c>
      <c r="D25" s="70" t="s">
        <v>240</v>
      </c>
      <c r="E25" s="76">
        <v>0</v>
      </c>
      <c r="F25" s="211">
        <f>-(673100+375700)</f>
        <v>-1048800</v>
      </c>
    </row>
    <row r="26" spans="1:6" ht="18.75" customHeight="1">
      <c r="A26" s="67">
        <f t="shared" si="0"/>
        <v>15</v>
      </c>
      <c r="B26" s="70"/>
      <c r="C26" s="74" t="s">
        <v>108</v>
      </c>
      <c r="D26" s="70"/>
      <c r="E26" s="76">
        <v>0</v>
      </c>
      <c r="F26" s="211">
        <v>0</v>
      </c>
    </row>
    <row r="27" spans="1:6" ht="18.75" customHeight="1">
      <c r="A27" s="67">
        <f t="shared" si="0"/>
        <v>16</v>
      </c>
      <c r="B27" s="70"/>
      <c r="C27" s="74" t="s">
        <v>109</v>
      </c>
      <c r="D27" s="70"/>
      <c r="E27" s="76"/>
      <c r="F27" s="211"/>
    </row>
    <row r="28" spans="1:6" ht="18.75" customHeight="1">
      <c r="A28" s="67">
        <f t="shared" si="0"/>
        <v>17</v>
      </c>
      <c r="B28" s="70"/>
      <c r="C28" s="74" t="s">
        <v>110</v>
      </c>
      <c r="D28" s="70"/>
      <c r="E28" s="76"/>
      <c r="F28" s="211"/>
    </row>
    <row r="29" spans="1:6" ht="18.75" customHeight="1">
      <c r="A29" s="67">
        <f t="shared" si="0"/>
        <v>18</v>
      </c>
      <c r="B29" s="70"/>
      <c r="C29" s="74" t="s">
        <v>111</v>
      </c>
      <c r="D29" s="70"/>
      <c r="E29" s="76"/>
      <c r="F29" s="211"/>
    </row>
    <row r="30" spans="1:6" ht="18.75" customHeight="1">
      <c r="A30" s="67">
        <f t="shared" si="0"/>
        <v>19</v>
      </c>
      <c r="B30" s="70"/>
      <c r="C30" s="212" t="s">
        <v>112</v>
      </c>
      <c r="D30" s="213"/>
      <c r="E30" s="87"/>
      <c r="F30" s="216"/>
    </row>
    <row r="31" spans="1:6" ht="23.25" customHeight="1">
      <c r="A31" s="67">
        <f t="shared" si="0"/>
        <v>20</v>
      </c>
      <c r="B31" s="537" t="s">
        <v>119</v>
      </c>
      <c r="C31" s="537"/>
      <c r="D31" s="537"/>
      <c r="E31" s="78">
        <f>SUM(E16:E30)</f>
        <v>124425171</v>
      </c>
      <c r="F31" s="384">
        <f>SUM(F16:F30)</f>
        <v>78199638</v>
      </c>
    </row>
    <row r="32" spans="1:6" s="64" customFormat="1" ht="26.25" customHeight="1">
      <c r="A32" s="67">
        <f t="shared" si="0"/>
        <v>21</v>
      </c>
      <c r="B32" s="538" t="s">
        <v>106</v>
      </c>
      <c r="C32" s="539"/>
      <c r="D32" s="539"/>
      <c r="E32" s="79"/>
      <c r="F32" s="65"/>
    </row>
    <row r="33" spans="1:6" s="64" customFormat="1" ht="29.25" customHeight="1">
      <c r="A33" s="67">
        <f t="shared" si="0"/>
        <v>22</v>
      </c>
      <c r="B33" s="536" t="s">
        <v>96</v>
      </c>
      <c r="C33" s="536"/>
      <c r="D33" s="536"/>
      <c r="E33" s="80"/>
      <c r="F33" s="69"/>
    </row>
    <row r="34" spans="1:7" s="64" customFormat="1" ht="18.75" customHeight="1">
      <c r="A34" s="67">
        <f t="shared" si="0"/>
        <v>23</v>
      </c>
      <c r="B34" s="81"/>
      <c r="C34" s="82" t="s">
        <v>97</v>
      </c>
      <c r="D34" s="83" t="s">
        <v>224</v>
      </c>
      <c r="E34" s="84">
        <v>3000000</v>
      </c>
      <c r="F34" s="239">
        <f>E34-670000</f>
        <v>2330000</v>
      </c>
      <c r="G34" s="390"/>
    </row>
    <row r="35" spans="1:7" ht="18.75" customHeight="1">
      <c r="A35" s="67">
        <f t="shared" si="0"/>
        <v>24</v>
      </c>
      <c r="B35" s="70"/>
      <c r="C35" s="85" t="s">
        <v>98</v>
      </c>
      <c r="D35" s="75" t="s">
        <v>225</v>
      </c>
      <c r="E35" s="86">
        <v>2540000</v>
      </c>
      <c r="F35" s="76">
        <f>E35</f>
        <v>2540000</v>
      </c>
      <c r="G35" s="390"/>
    </row>
    <row r="36" spans="1:7" ht="18.75" customHeight="1">
      <c r="A36" s="67">
        <f t="shared" si="0"/>
        <v>25</v>
      </c>
      <c r="B36" s="70"/>
      <c r="C36" s="85" t="s">
        <v>99</v>
      </c>
      <c r="D36" s="75" t="s">
        <v>226</v>
      </c>
      <c r="E36" s="72">
        <v>381000</v>
      </c>
      <c r="F36" s="76">
        <v>0</v>
      </c>
      <c r="G36" s="390"/>
    </row>
    <row r="37" spans="1:7" ht="18" customHeight="1">
      <c r="A37" s="67">
        <f t="shared" si="0"/>
        <v>26</v>
      </c>
      <c r="B37" s="70"/>
      <c r="C37" s="85" t="s">
        <v>100</v>
      </c>
      <c r="D37" s="77" t="s">
        <v>227</v>
      </c>
      <c r="E37" s="72">
        <v>1905000</v>
      </c>
      <c r="F37" s="76">
        <f>E37</f>
        <v>1905000</v>
      </c>
      <c r="G37" s="390"/>
    </row>
    <row r="38" spans="1:7" ht="31.5" customHeight="1">
      <c r="A38" s="67">
        <f t="shared" si="0"/>
        <v>27</v>
      </c>
      <c r="B38" s="70"/>
      <c r="C38" s="85" t="s">
        <v>101</v>
      </c>
      <c r="D38" s="77" t="s">
        <v>228</v>
      </c>
      <c r="E38" s="72">
        <v>13970000</v>
      </c>
      <c r="F38" s="76">
        <f>E38</f>
        <v>13970000</v>
      </c>
      <c r="G38" s="390"/>
    </row>
    <row r="39" spans="1:7" ht="31.5" customHeight="1">
      <c r="A39" s="67">
        <f t="shared" si="0"/>
        <v>28</v>
      </c>
      <c r="B39" s="70"/>
      <c r="C39" s="85" t="s">
        <v>102</v>
      </c>
      <c r="D39" s="77" t="s">
        <v>229</v>
      </c>
      <c r="E39" s="72">
        <v>36691455</v>
      </c>
      <c r="F39" s="76">
        <f>E39</f>
        <v>36691455</v>
      </c>
      <c r="G39" s="390"/>
    </row>
    <row r="40" spans="1:7" ht="31.5" customHeight="1">
      <c r="A40" s="67">
        <f t="shared" si="0"/>
        <v>29</v>
      </c>
      <c r="B40" s="70"/>
      <c r="C40" s="85" t="s">
        <v>103</v>
      </c>
      <c r="D40" s="77" t="s">
        <v>230</v>
      </c>
      <c r="E40" s="72">
        <v>40000000</v>
      </c>
      <c r="F40" s="76">
        <f>E40</f>
        <v>40000000</v>
      </c>
      <c r="G40" s="390"/>
    </row>
    <row r="41" spans="1:7" ht="18.75" customHeight="1">
      <c r="A41" s="67">
        <f t="shared" si="0"/>
        <v>30</v>
      </c>
      <c r="B41" s="70"/>
      <c r="C41" s="85" t="s">
        <v>104</v>
      </c>
      <c r="D41" s="75" t="s">
        <v>231</v>
      </c>
      <c r="E41" s="72">
        <v>13235775</v>
      </c>
      <c r="F41" s="76">
        <f>E41</f>
        <v>13235775</v>
      </c>
      <c r="G41" s="390"/>
    </row>
    <row r="42" spans="1:7" ht="18.75" customHeight="1">
      <c r="A42" s="67">
        <f t="shared" si="0"/>
        <v>31</v>
      </c>
      <c r="B42" s="70"/>
      <c r="C42" s="85" t="s">
        <v>105</v>
      </c>
      <c r="D42" s="75" t="s">
        <v>232</v>
      </c>
      <c r="E42" s="72">
        <v>99754690</v>
      </c>
      <c r="F42" s="76">
        <f>E42-2396634</f>
        <v>97358056</v>
      </c>
      <c r="G42" s="390"/>
    </row>
    <row r="43" spans="1:7" ht="18.75" customHeight="1">
      <c r="A43" s="67">
        <f t="shared" si="0"/>
        <v>32</v>
      </c>
      <c r="B43" s="70"/>
      <c r="C43" s="85" t="s">
        <v>107</v>
      </c>
      <c r="D43" s="75" t="s">
        <v>233</v>
      </c>
      <c r="E43" s="72">
        <v>244782467</v>
      </c>
      <c r="F43" s="76">
        <f>E43-4683633</f>
        <v>240098834</v>
      </c>
      <c r="G43" s="390"/>
    </row>
    <row r="44" spans="1:7" ht="19.5" customHeight="1">
      <c r="A44" s="67">
        <f t="shared" si="0"/>
        <v>33</v>
      </c>
      <c r="B44" s="70"/>
      <c r="C44" s="85" t="s">
        <v>108</v>
      </c>
      <c r="D44" s="75" t="s">
        <v>234</v>
      </c>
      <c r="E44" s="72">
        <v>292062500</v>
      </c>
      <c r="F44" s="76">
        <f>E44-16696500</f>
        <v>275366000</v>
      </c>
      <c r="G44" s="390"/>
    </row>
    <row r="45" spans="1:7" ht="18.75" customHeight="1">
      <c r="A45" s="67">
        <f t="shared" si="0"/>
        <v>34</v>
      </c>
      <c r="B45" s="70"/>
      <c r="C45" s="85" t="s">
        <v>109</v>
      </c>
      <c r="D45" s="75" t="s">
        <v>235</v>
      </c>
      <c r="E45" s="72">
        <v>143713200</v>
      </c>
      <c r="F45" s="76">
        <f>E45-58458675</f>
        <v>85254525</v>
      </c>
      <c r="G45" s="390"/>
    </row>
    <row r="46" spans="1:7" ht="18.75" customHeight="1">
      <c r="A46" s="67">
        <f t="shared" si="0"/>
        <v>35</v>
      </c>
      <c r="B46" s="70"/>
      <c r="C46" s="85" t="s">
        <v>110</v>
      </c>
      <c r="D46" s="75" t="s">
        <v>236</v>
      </c>
      <c r="E46" s="72">
        <v>386151145</v>
      </c>
      <c r="F46" s="76">
        <f>E46-8509000</f>
        <v>377642145</v>
      </c>
      <c r="G46" s="390"/>
    </row>
    <row r="47" spans="1:6" ht="18.75" customHeight="1">
      <c r="A47" s="67"/>
      <c r="B47" s="70"/>
      <c r="C47" s="85" t="s">
        <v>111</v>
      </c>
      <c r="D47" s="75" t="s">
        <v>391</v>
      </c>
      <c r="E47" s="72"/>
      <c r="F47" s="76">
        <v>250000000</v>
      </c>
    </row>
    <row r="48" spans="1:6" ht="18.75" customHeight="1">
      <c r="A48" s="67"/>
      <c r="B48" s="70"/>
      <c r="C48" s="85" t="s">
        <v>112</v>
      </c>
      <c r="D48" s="385" t="s">
        <v>241</v>
      </c>
      <c r="E48" s="72"/>
      <c r="F48" s="76">
        <v>-283464</v>
      </c>
    </row>
    <row r="49" spans="1:7" ht="18.75" customHeight="1">
      <c r="A49" s="67">
        <f>A46+1</f>
        <v>36</v>
      </c>
      <c r="B49" s="70"/>
      <c r="C49" s="85" t="s">
        <v>113</v>
      </c>
      <c r="D49" s="385" t="s">
        <v>404</v>
      </c>
      <c r="E49" s="386">
        <v>0</v>
      </c>
      <c r="F49" s="387">
        <v>268011106</v>
      </c>
      <c r="G49" s="387"/>
    </row>
    <row r="50" spans="1:7" s="64" customFormat="1" ht="24.75" customHeight="1">
      <c r="A50" s="67">
        <f t="shared" si="0"/>
        <v>37</v>
      </c>
      <c r="B50" s="88" t="s">
        <v>114</v>
      </c>
      <c r="C50" s="532" t="s">
        <v>120</v>
      </c>
      <c r="D50" s="533"/>
      <c r="E50" s="89">
        <f>SUM(E34:E49)</f>
        <v>1278187232</v>
      </c>
      <c r="F50" s="388">
        <f>SUM(F34:F49)</f>
        <v>1704119432</v>
      </c>
      <c r="G50" s="390"/>
    </row>
    <row r="51" spans="1:6" s="64" customFormat="1" ht="27.75" customHeight="1">
      <c r="A51" s="67">
        <f t="shared" si="0"/>
        <v>38</v>
      </c>
      <c r="B51" s="88" t="s">
        <v>115</v>
      </c>
      <c r="C51" s="530" t="s">
        <v>116</v>
      </c>
      <c r="D51" s="531"/>
      <c r="E51" s="90">
        <f>E31+E50</f>
        <v>1402612403</v>
      </c>
      <c r="F51" s="90">
        <f>SUM(F31+F50)</f>
        <v>1782319070</v>
      </c>
    </row>
    <row r="52" spans="3:5" ht="18.75" customHeight="1">
      <c r="C52" s="46"/>
      <c r="D52" s="46"/>
      <c r="E52" s="46"/>
    </row>
    <row r="53" spans="3:5" ht="18.75" customHeight="1">
      <c r="C53" s="46"/>
      <c r="D53" s="46"/>
      <c r="E53" s="46"/>
    </row>
    <row r="54" spans="3:5" ht="18.75" customHeight="1">
      <c r="C54" s="46"/>
      <c r="D54" s="46"/>
      <c r="E54" s="46"/>
    </row>
    <row r="55" spans="3:5" ht="18.75" customHeight="1">
      <c r="C55" s="46"/>
      <c r="D55" s="46"/>
      <c r="E55" s="46"/>
    </row>
    <row r="56" spans="3:5" ht="18.75" customHeight="1">
      <c r="C56" s="46"/>
      <c r="D56" s="46"/>
      <c r="E56" s="46"/>
    </row>
    <row r="57" spans="3:5" ht="18.75" customHeight="1">
      <c r="C57" s="46"/>
      <c r="D57" s="46"/>
      <c r="E57" s="46"/>
    </row>
    <row r="58" spans="3:5" ht="18.75" customHeight="1">
      <c r="C58" s="46"/>
      <c r="D58" s="46"/>
      <c r="E58" s="46"/>
    </row>
    <row r="59" spans="3:5" ht="38.25" customHeight="1">
      <c r="C59" s="48"/>
      <c r="D59" s="46"/>
      <c r="E59" s="46"/>
    </row>
    <row r="60" spans="3:5" ht="18.75" customHeight="1">
      <c r="C60" s="46"/>
      <c r="D60" s="46"/>
      <c r="E60" s="46"/>
    </row>
    <row r="61" spans="3:5" ht="18.75" customHeight="1">
      <c r="C61" s="46"/>
      <c r="D61" s="91"/>
      <c r="E61" s="46"/>
    </row>
    <row r="62" spans="3:5" ht="18.75" customHeight="1">
      <c r="C62" s="46"/>
      <c r="D62" s="91"/>
      <c r="E62" s="46"/>
    </row>
    <row r="63" spans="3:5" ht="18.75" customHeight="1">
      <c r="C63" s="46"/>
      <c r="D63" s="46"/>
      <c r="E63" s="46"/>
    </row>
    <row r="64" spans="3:5" ht="18.75" customHeight="1">
      <c r="C64" s="46"/>
      <c r="D64" s="46"/>
      <c r="E64" s="46"/>
    </row>
    <row r="65" spans="3:5" ht="18.75" customHeight="1">
      <c r="C65" s="46"/>
      <c r="D65" s="46"/>
      <c r="E65" s="46"/>
    </row>
    <row r="66" spans="3:5" ht="18.75" customHeight="1">
      <c r="C66" s="46"/>
      <c r="D66" s="46"/>
      <c r="E66" s="46"/>
    </row>
    <row r="67" spans="3:5" ht="18.75" customHeight="1">
      <c r="C67" s="46"/>
      <c r="D67" s="46"/>
      <c r="E67" s="46"/>
    </row>
    <row r="68" spans="3:5" ht="18.75" customHeight="1">
      <c r="C68" s="46"/>
      <c r="D68" s="46"/>
      <c r="E68" s="46"/>
    </row>
    <row r="69" spans="3:5" ht="18.75" customHeight="1">
      <c r="C69" s="46"/>
      <c r="D69" s="46"/>
      <c r="E69" s="46"/>
    </row>
    <row r="70" spans="3:5" ht="18.75" customHeight="1">
      <c r="C70" s="46"/>
      <c r="D70" s="46"/>
      <c r="E70" s="46"/>
    </row>
    <row r="71" spans="3:5" ht="18.75" customHeight="1">
      <c r="C71" s="46"/>
      <c r="D71" s="46"/>
      <c r="E71" s="46"/>
    </row>
    <row r="72" spans="3:5" ht="18.75" customHeight="1">
      <c r="C72" s="46"/>
      <c r="D72" s="46"/>
      <c r="E72" s="46"/>
    </row>
    <row r="73" spans="3:5" ht="18.75" customHeight="1">
      <c r="C73" s="46"/>
      <c r="D73" s="46"/>
      <c r="E73" s="46"/>
    </row>
    <row r="74" spans="3:5" ht="18.75" customHeight="1">
      <c r="C74" s="46"/>
      <c r="D74" s="46"/>
      <c r="E74" s="46"/>
    </row>
    <row r="75" spans="3:5" ht="18.75" customHeight="1">
      <c r="C75" s="46"/>
      <c r="D75" s="46"/>
      <c r="E75" s="46"/>
    </row>
    <row r="76" spans="3:5" ht="18.75" customHeight="1">
      <c r="C76" s="46"/>
      <c r="D76" s="46"/>
      <c r="E76" s="46"/>
    </row>
    <row r="77" spans="3:5" ht="18.75" customHeight="1">
      <c r="C77" s="46"/>
      <c r="D77" s="46"/>
      <c r="E77" s="46"/>
    </row>
    <row r="78" spans="3:5" ht="18.75" customHeight="1">
      <c r="C78" s="46"/>
      <c r="D78" s="46"/>
      <c r="E78" s="46"/>
    </row>
    <row r="79" spans="3:5" ht="18.75" customHeight="1">
      <c r="C79" s="46"/>
      <c r="D79" s="46"/>
      <c r="E79" s="46"/>
    </row>
    <row r="80" spans="3:5" ht="18.75" customHeight="1">
      <c r="C80" s="46"/>
      <c r="D80" s="46"/>
      <c r="E80" s="46"/>
    </row>
    <row r="81" spans="3:5" ht="18.75" customHeight="1">
      <c r="C81" s="46"/>
      <c r="D81" s="46"/>
      <c r="E81" s="46"/>
    </row>
    <row r="82" spans="3:5" ht="18.75" customHeight="1">
      <c r="C82" s="46"/>
      <c r="D82" s="46"/>
      <c r="E82" s="46"/>
    </row>
    <row r="83" spans="3:5" ht="18.75" customHeight="1">
      <c r="C83" s="46"/>
      <c r="D83" s="46"/>
      <c r="E83" s="46"/>
    </row>
    <row r="84" spans="3:5" ht="18.75" customHeight="1">
      <c r="C84" s="46"/>
      <c r="D84" s="46"/>
      <c r="E84" s="46"/>
    </row>
    <row r="85" spans="3:5" ht="18.75" customHeight="1">
      <c r="C85" s="46"/>
      <c r="D85" s="46"/>
      <c r="E85" s="46"/>
    </row>
    <row r="86" spans="3:5" ht="18.75" customHeight="1">
      <c r="C86" s="46"/>
      <c r="D86" s="46"/>
      <c r="E86" s="46"/>
    </row>
    <row r="87" spans="3:5" ht="18.75" customHeight="1">
      <c r="C87" s="46"/>
      <c r="D87" s="46"/>
      <c r="E87" s="46"/>
    </row>
    <row r="88" spans="3:5" ht="18.75" customHeight="1">
      <c r="C88" s="46"/>
      <c r="D88" s="46"/>
      <c r="E88" s="46"/>
    </row>
  </sheetData>
  <sheetProtection/>
  <mergeCells count="14">
    <mergeCell ref="C1:F1"/>
    <mergeCell ref="E12:F12"/>
    <mergeCell ref="E11:F11"/>
    <mergeCell ref="A5:F5"/>
    <mergeCell ref="A6:F6"/>
    <mergeCell ref="A7:F7"/>
    <mergeCell ref="B12:D13"/>
    <mergeCell ref="C51:D51"/>
    <mergeCell ref="C50:D50"/>
    <mergeCell ref="B14:D14"/>
    <mergeCell ref="B15:D15"/>
    <mergeCell ref="B31:D31"/>
    <mergeCell ref="B32:D32"/>
    <mergeCell ref="B33:D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B1" sqref="B1:P1"/>
    </sheetView>
  </sheetViews>
  <sheetFormatPr defaultColWidth="9.140625" defaultRowHeight="12.75"/>
  <cols>
    <col min="1" max="1" width="4.00390625" style="364" customWidth="1"/>
    <col min="2" max="2" width="4.421875" style="364" customWidth="1"/>
    <col min="3" max="3" width="4.7109375" style="368" customWidth="1"/>
    <col min="4" max="4" width="31.8515625" style="364" customWidth="1"/>
    <col min="5" max="5" width="9.57421875" style="364" customWidth="1"/>
    <col min="6" max="6" width="9.00390625" style="364" customWidth="1"/>
    <col min="7" max="7" width="10.57421875" style="364" customWidth="1"/>
    <col min="8" max="8" width="8.7109375" style="364" customWidth="1"/>
    <col min="9" max="9" width="7.8515625" style="364" customWidth="1"/>
    <col min="10" max="10" width="8.7109375" style="364" customWidth="1"/>
    <col min="11" max="11" width="7.8515625" style="364" customWidth="1"/>
    <col min="12" max="12" width="9.140625" style="364" customWidth="1"/>
    <col min="13" max="13" width="10.421875" style="364" customWidth="1"/>
    <col min="14" max="14" width="8.28125" style="364" customWidth="1"/>
    <col min="15" max="15" width="7.421875" style="364" customWidth="1"/>
    <col min="16" max="16" width="13.00390625" style="364" customWidth="1"/>
    <col min="17" max="16384" width="9.140625" style="364" customWidth="1"/>
  </cols>
  <sheetData>
    <row r="1" spans="1:16" ht="23.25" customHeight="1">
      <c r="A1" s="363"/>
      <c r="B1" s="564" t="s">
        <v>411</v>
      </c>
      <c r="C1" s="564"/>
      <c r="D1" s="564"/>
      <c r="E1" s="564"/>
      <c r="F1" s="564"/>
      <c r="G1" s="564"/>
      <c r="H1" s="565"/>
      <c r="I1" s="565"/>
      <c r="J1" s="565"/>
      <c r="K1" s="565"/>
      <c r="L1" s="565"/>
      <c r="M1" s="565"/>
      <c r="N1" s="565"/>
      <c r="O1" s="565"/>
      <c r="P1" s="565"/>
    </row>
    <row r="2" spans="1:16" ht="6" customHeight="1">
      <c r="A2" s="363"/>
      <c r="B2" s="277"/>
      <c r="C2" s="344"/>
      <c r="D2" s="277"/>
      <c r="E2" s="277"/>
      <c r="F2" s="277"/>
      <c r="G2" s="277"/>
      <c r="H2" s="365"/>
      <c r="I2" s="365"/>
      <c r="J2" s="365"/>
      <c r="K2" s="365"/>
      <c r="L2" s="365"/>
      <c r="M2" s="365"/>
      <c r="N2" s="365"/>
      <c r="O2" s="366"/>
      <c r="P2" s="366"/>
    </row>
    <row r="3" ht="6" customHeight="1">
      <c r="A3" s="367"/>
    </row>
    <row r="4" spans="1:16" ht="22.5" customHeight="1">
      <c r="A4" s="367"/>
      <c r="B4" s="566" t="s">
        <v>396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</row>
    <row r="5" spans="1:17" ht="21.75" customHeight="1">
      <c r="A5" s="367"/>
      <c r="B5" s="566" t="s">
        <v>337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363"/>
    </row>
    <row r="6" spans="1:17" ht="16.5" customHeight="1">
      <c r="A6" s="369"/>
      <c r="B6" s="370" t="s">
        <v>0</v>
      </c>
      <c r="C6" s="371" t="s">
        <v>1</v>
      </c>
      <c r="D6" s="369" t="s">
        <v>2</v>
      </c>
      <c r="E6" s="369" t="s">
        <v>3</v>
      </c>
      <c r="F6" s="369" t="s">
        <v>4</v>
      </c>
      <c r="G6" s="369" t="s">
        <v>5</v>
      </c>
      <c r="H6" s="369" t="s">
        <v>6</v>
      </c>
      <c r="I6" s="369" t="s">
        <v>7</v>
      </c>
      <c r="J6" s="369" t="s">
        <v>8</v>
      </c>
      <c r="K6" s="369" t="s">
        <v>9</v>
      </c>
      <c r="L6" s="369" t="s">
        <v>10</v>
      </c>
      <c r="M6" s="369" t="s">
        <v>11</v>
      </c>
      <c r="N6" s="369" t="s">
        <v>12</v>
      </c>
      <c r="O6" s="369" t="s">
        <v>13</v>
      </c>
      <c r="P6" s="369" t="s">
        <v>14</v>
      </c>
      <c r="Q6" s="367"/>
    </row>
    <row r="7" spans="1:17" ht="27.75" customHeight="1">
      <c r="A7" s="369" t="s">
        <v>97</v>
      </c>
      <c r="B7" s="567" t="s">
        <v>338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363"/>
    </row>
    <row r="8" spans="1:17" ht="15.75" customHeight="1">
      <c r="A8" s="552" t="s">
        <v>98</v>
      </c>
      <c r="B8" s="555" t="s">
        <v>339</v>
      </c>
      <c r="C8" s="557" t="s">
        <v>340</v>
      </c>
      <c r="D8" s="559" t="s">
        <v>38</v>
      </c>
      <c r="E8" s="561" t="s">
        <v>341</v>
      </c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363"/>
    </row>
    <row r="9" spans="1:16" ht="19.5" customHeight="1">
      <c r="A9" s="553"/>
      <c r="B9" s="555"/>
      <c r="C9" s="557"/>
      <c r="D9" s="559"/>
      <c r="E9" s="561" t="s">
        <v>342</v>
      </c>
      <c r="F9" s="561"/>
      <c r="G9" s="561"/>
      <c r="H9" s="561"/>
      <c r="I9" s="561" t="s">
        <v>343</v>
      </c>
      <c r="J9" s="561"/>
      <c r="K9" s="561"/>
      <c r="L9" s="561"/>
      <c r="M9" s="561" t="s">
        <v>57</v>
      </c>
      <c r="N9" s="561"/>
      <c r="O9" s="561"/>
      <c r="P9" s="561"/>
    </row>
    <row r="10" spans="1:16" ht="120.75" customHeight="1">
      <c r="A10" s="554"/>
      <c r="B10" s="556"/>
      <c r="C10" s="558"/>
      <c r="D10" s="560"/>
      <c r="E10" s="345" t="s">
        <v>344</v>
      </c>
      <c r="F10" s="345" t="s">
        <v>345</v>
      </c>
      <c r="G10" s="346" t="s">
        <v>346</v>
      </c>
      <c r="H10" s="345" t="s">
        <v>347</v>
      </c>
      <c r="I10" s="345" t="s">
        <v>344</v>
      </c>
      <c r="J10" s="345" t="s">
        <v>345</v>
      </c>
      <c r="K10" s="346" t="s">
        <v>346</v>
      </c>
      <c r="L10" s="345" t="s">
        <v>347</v>
      </c>
      <c r="M10" s="345" t="s">
        <v>348</v>
      </c>
      <c r="N10" s="345" t="s">
        <v>345</v>
      </c>
      <c r="O10" s="346" t="s">
        <v>346</v>
      </c>
      <c r="P10" s="345" t="s">
        <v>347</v>
      </c>
    </row>
    <row r="11" spans="1:16" ht="30" customHeight="1">
      <c r="A11" s="369" t="s">
        <v>99</v>
      </c>
      <c r="B11" s="347">
        <v>1</v>
      </c>
      <c r="C11" s="348">
        <v>1</v>
      </c>
      <c r="D11" s="349" t="s">
        <v>60</v>
      </c>
      <c r="E11" s="121">
        <v>100</v>
      </c>
      <c r="F11" s="121">
        <v>8</v>
      </c>
      <c r="G11" s="112">
        <f>SUM(E11:F11)</f>
        <v>108</v>
      </c>
      <c r="H11" s="121">
        <v>104</v>
      </c>
      <c r="I11" s="121">
        <v>103</v>
      </c>
      <c r="J11" s="121">
        <v>9</v>
      </c>
      <c r="K11" s="121">
        <f>SUM(I11:J11)</f>
        <v>112</v>
      </c>
      <c r="L11" s="121">
        <v>107</v>
      </c>
      <c r="M11" s="350">
        <v>104</v>
      </c>
      <c r="N11" s="350">
        <v>2</v>
      </c>
      <c r="O11" s="350">
        <v>104</v>
      </c>
      <c r="P11" s="350">
        <v>104</v>
      </c>
    </row>
    <row r="12" spans="1:16" ht="21" customHeight="1">
      <c r="A12" s="369" t="s">
        <v>100</v>
      </c>
      <c r="B12" s="347">
        <v>1</v>
      </c>
      <c r="C12" s="348">
        <v>2</v>
      </c>
      <c r="D12" s="279" t="s">
        <v>302</v>
      </c>
      <c r="E12" s="280">
        <v>16</v>
      </c>
      <c r="F12" s="280">
        <v>0</v>
      </c>
      <c r="G12" s="112">
        <f aca="true" t="shared" si="0" ref="G12:G17">SUM(E12:F12)</f>
        <v>16</v>
      </c>
      <c r="H12" s="121">
        <v>16</v>
      </c>
      <c r="I12" s="112">
        <v>16</v>
      </c>
      <c r="J12" s="112">
        <v>0</v>
      </c>
      <c r="K12" s="112">
        <v>16</v>
      </c>
      <c r="L12" s="112">
        <v>16</v>
      </c>
      <c r="M12" s="351">
        <v>16</v>
      </c>
      <c r="N12" s="351">
        <v>0</v>
      </c>
      <c r="O12" s="352">
        <v>16</v>
      </c>
      <c r="P12" s="352">
        <v>16</v>
      </c>
    </row>
    <row r="13" spans="1:16" ht="21.75" customHeight="1">
      <c r="A13" s="369" t="s">
        <v>101</v>
      </c>
      <c r="B13" s="347">
        <v>1</v>
      </c>
      <c r="C13" s="348">
        <v>3</v>
      </c>
      <c r="D13" s="279" t="s">
        <v>62</v>
      </c>
      <c r="E13" s="121">
        <v>2</v>
      </c>
      <c r="F13" s="121">
        <v>5</v>
      </c>
      <c r="G13" s="112">
        <f t="shared" si="0"/>
        <v>7</v>
      </c>
      <c r="H13" s="121">
        <v>5</v>
      </c>
      <c r="I13" s="112">
        <v>2</v>
      </c>
      <c r="J13" s="112">
        <v>5</v>
      </c>
      <c r="K13" s="112">
        <v>7</v>
      </c>
      <c r="L13" s="112">
        <v>5</v>
      </c>
      <c r="M13" s="352">
        <v>2</v>
      </c>
      <c r="N13" s="352">
        <v>5</v>
      </c>
      <c r="O13" s="352">
        <v>7</v>
      </c>
      <c r="P13" s="352">
        <v>5</v>
      </c>
    </row>
    <row r="14" spans="1:16" ht="21.75" customHeight="1">
      <c r="A14" s="369" t="s">
        <v>102</v>
      </c>
      <c r="B14" s="347">
        <v>1</v>
      </c>
      <c r="C14" s="348">
        <v>4</v>
      </c>
      <c r="D14" s="279" t="s">
        <v>63</v>
      </c>
      <c r="E14" s="121">
        <v>7</v>
      </c>
      <c r="F14" s="121">
        <v>1</v>
      </c>
      <c r="G14" s="112">
        <f t="shared" si="0"/>
        <v>8</v>
      </c>
      <c r="H14" s="121">
        <v>8</v>
      </c>
      <c r="I14" s="112">
        <v>7</v>
      </c>
      <c r="J14" s="112">
        <v>1</v>
      </c>
      <c r="K14" s="112">
        <v>8</v>
      </c>
      <c r="L14" s="112">
        <v>8</v>
      </c>
      <c r="M14" s="352">
        <v>7</v>
      </c>
      <c r="N14" s="352">
        <v>1</v>
      </c>
      <c r="O14" s="352">
        <v>8</v>
      </c>
      <c r="P14" s="352">
        <v>8</v>
      </c>
    </row>
    <row r="15" spans="1:16" ht="20.25" customHeight="1">
      <c r="A15" s="369" t="s">
        <v>103</v>
      </c>
      <c r="B15" s="353">
        <v>1</v>
      </c>
      <c r="C15" s="354"/>
      <c r="D15" s="281" t="s">
        <v>303</v>
      </c>
      <c r="E15" s="112">
        <f aca="true" t="shared" si="1" ref="E15:L15">SUM(E11:E14)</f>
        <v>125</v>
      </c>
      <c r="F15" s="112">
        <f t="shared" si="1"/>
        <v>14</v>
      </c>
      <c r="G15" s="112">
        <f t="shared" si="1"/>
        <v>139</v>
      </c>
      <c r="H15" s="112">
        <f t="shared" si="1"/>
        <v>133</v>
      </c>
      <c r="I15" s="112">
        <f t="shared" si="1"/>
        <v>128</v>
      </c>
      <c r="J15" s="112">
        <f t="shared" si="1"/>
        <v>15</v>
      </c>
      <c r="K15" s="112">
        <f t="shared" si="1"/>
        <v>143</v>
      </c>
      <c r="L15" s="112">
        <f t="shared" si="1"/>
        <v>136</v>
      </c>
      <c r="M15" s="352">
        <v>121</v>
      </c>
      <c r="N15" s="352">
        <v>14</v>
      </c>
      <c r="O15" s="352">
        <v>135</v>
      </c>
      <c r="P15" s="352">
        <v>129</v>
      </c>
    </row>
    <row r="16" spans="1:16" ht="23.25" customHeight="1">
      <c r="A16" s="369" t="s">
        <v>104</v>
      </c>
      <c r="B16" s="347">
        <v>1</v>
      </c>
      <c r="C16" s="348">
        <v>5</v>
      </c>
      <c r="D16" s="278" t="s">
        <v>65</v>
      </c>
      <c r="E16" s="121">
        <v>72</v>
      </c>
      <c r="F16" s="121">
        <v>0</v>
      </c>
      <c r="G16" s="112">
        <f>SUM(E16:F16)</f>
        <v>72</v>
      </c>
      <c r="H16" s="121">
        <v>72</v>
      </c>
      <c r="I16" s="112">
        <v>72</v>
      </c>
      <c r="J16" s="112">
        <v>0</v>
      </c>
      <c r="K16" s="112">
        <v>72</v>
      </c>
      <c r="L16" s="112">
        <v>72</v>
      </c>
      <c r="M16" s="355">
        <v>68</v>
      </c>
      <c r="N16" s="355">
        <v>0</v>
      </c>
      <c r="O16" s="355">
        <v>68</v>
      </c>
      <c r="P16" s="355">
        <v>68</v>
      </c>
    </row>
    <row r="17" spans="1:16" ht="24" customHeight="1">
      <c r="A17" s="369" t="s">
        <v>105</v>
      </c>
      <c r="B17" s="348">
        <v>2</v>
      </c>
      <c r="C17" s="348">
        <v>6</v>
      </c>
      <c r="D17" s="278" t="s">
        <v>304</v>
      </c>
      <c r="E17" s="121">
        <v>9</v>
      </c>
      <c r="F17" s="121">
        <v>0</v>
      </c>
      <c r="G17" s="112">
        <f t="shared" si="0"/>
        <v>9</v>
      </c>
      <c r="H17" s="121">
        <v>9</v>
      </c>
      <c r="I17" s="112">
        <v>10</v>
      </c>
      <c r="J17" s="112">
        <v>0</v>
      </c>
      <c r="K17" s="112">
        <v>10</v>
      </c>
      <c r="L17" s="112">
        <v>10</v>
      </c>
      <c r="M17" s="355">
        <v>10</v>
      </c>
      <c r="N17" s="355">
        <v>0</v>
      </c>
      <c r="O17" s="355">
        <v>10</v>
      </c>
      <c r="P17" s="232">
        <v>10</v>
      </c>
    </row>
    <row r="18" spans="1:16" ht="31.5">
      <c r="A18" s="369" t="s">
        <v>107</v>
      </c>
      <c r="B18" s="348"/>
      <c r="C18" s="348"/>
      <c r="D18" s="281" t="s">
        <v>349</v>
      </c>
      <c r="E18" s="112">
        <f>SUM(E15:E17)</f>
        <v>206</v>
      </c>
      <c r="F18" s="112">
        <f aca="true" t="shared" si="2" ref="F18:L18">SUM(F15:F17)</f>
        <v>14</v>
      </c>
      <c r="G18" s="112">
        <f t="shared" si="2"/>
        <v>220</v>
      </c>
      <c r="H18" s="112">
        <f t="shared" si="2"/>
        <v>214</v>
      </c>
      <c r="I18" s="112">
        <f t="shared" si="2"/>
        <v>210</v>
      </c>
      <c r="J18" s="112">
        <f t="shared" si="2"/>
        <v>15</v>
      </c>
      <c r="K18" s="112">
        <f t="shared" si="2"/>
        <v>225</v>
      </c>
      <c r="L18" s="112">
        <f t="shared" si="2"/>
        <v>218</v>
      </c>
      <c r="M18" s="352">
        <v>195</v>
      </c>
      <c r="N18" s="352">
        <v>14</v>
      </c>
      <c r="O18" s="352">
        <v>209</v>
      </c>
      <c r="P18" s="112">
        <v>203</v>
      </c>
    </row>
    <row r="19" spans="1:16" ht="16.5" customHeight="1">
      <c r="A19" s="367"/>
      <c r="B19" s="356"/>
      <c r="C19" s="356"/>
      <c r="D19" s="357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9"/>
      <c r="P19" s="358"/>
    </row>
    <row r="20" spans="1:16" ht="16.5" customHeight="1">
      <c r="A20" s="367"/>
      <c r="B20" s="372"/>
      <c r="C20" s="373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1"/>
    </row>
    <row r="21" spans="1:16" ht="16.5" customHeight="1">
      <c r="A21" s="369" t="s">
        <v>112</v>
      </c>
      <c r="B21" s="562" t="s">
        <v>350</v>
      </c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</row>
    <row r="22" spans="1:16" ht="15.75">
      <c r="A22" s="369" t="s">
        <v>113</v>
      </c>
      <c r="B22" s="374" t="s">
        <v>102</v>
      </c>
      <c r="C22" s="374"/>
      <c r="D22" s="362" t="s">
        <v>66</v>
      </c>
      <c r="E22" s="375">
        <v>211</v>
      </c>
      <c r="F22" s="362"/>
      <c r="G22" s="376">
        <f>SUM(E22:F22)</f>
        <v>211</v>
      </c>
      <c r="H22" s="375">
        <v>211</v>
      </c>
      <c r="I22" s="375"/>
      <c r="J22" s="375"/>
      <c r="K22" s="375">
        <v>211</v>
      </c>
      <c r="L22" s="375">
        <v>211</v>
      </c>
      <c r="M22" s="375">
        <v>171</v>
      </c>
      <c r="N22" s="375">
        <v>0</v>
      </c>
      <c r="O22" s="375">
        <v>171</v>
      </c>
      <c r="P22" s="375">
        <v>171</v>
      </c>
    </row>
    <row r="25" ht="16.5" customHeight="1"/>
    <row r="26" ht="15" customHeight="1"/>
  </sheetData>
  <sheetProtection/>
  <mergeCells count="13">
    <mergeCell ref="B21:P21"/>
    <mergeCell ref="B1:P1"/>
    <mergeCell ref="B4:P4"/>
    <mergeCell ref="B5:P5"/>
    <mergeCell ref="B7:P7"/>
    <mergeCell ref="A8:A10"/>
    <mergeCell ref="B8:B10"/>
    <mergeCell ref="C8:C10"/>
    <mergeCell ref="D8:D10"/>
    <mergeCell ref="E8:P8"/>
    <mergeCell ref="E9:H9"/>
    <mergeCell ref="I9:L9"/>
    <mergeCell ref="M9:P9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view="pageBreakPreview" zoomScale="60" zoomScalePageLayoutView="0" workbookViewId="0" topLeftCell="A1">
      <selection activeCell="B1" sqref="B1:E1"/>
    </sheetView>
  </sheetViews>
  <sheetFormatPr defaultColWidth="9.140625" defaultRowHeight="12.75"/>
  <cols>
    <col min="1" max="1" width="6.8515625" style="282" customWidth="1"/>
    <col min="2" max="2" width="58.57421875" style="282" customWidth="1"/>
    <col min="3" max="3" width="15.7109375" style="282" customWidth="1"/>
    <col min="4" max="4" width="14.57421875" style="282" customWidth="1"/>
    <col min="5" max="5" width="14.28125" style="282" customWidth="1"/>
    <col min="6" max="6" width="9.140625" style="282" customWidth="1"/>
    <col min="7" max="7" width="9.57421875" style="282" bestFit="1" customWidth="1"/>
    <col min="8" max="16384" width="9.140625" style="282" customWidth="1"/>
  </cols>
  <sheetData>
    <row r="1" spans="2:5" s="313" customFormat="1" ht="12.75">
      <c r="B1" s="575" t="s">
        <v>412</v>
      </c>
      <c r="C1" s="575"/>
      <c r="D1" s="575"/>
      <c r="E1" s="575"/>
    </row>
    <row r="2" spans="2:5" s="313" customFormat="1" ht="12.75">
      <c r="B2" s="301"/>
      <c r="C2" s="301"/>
      <c r="D2" s="301"/>
      <c r="E2" s="301"/>
    </row>
    <row r="3" spans="1:5" s="313" customFormat="1" ht="38.25" customHeight="1">
      <c r="A3" s="576" t="s">
        <v>393</v>
      </c>
      <c r="B3" s="577"/>
      <c r="C3" s="577"/>
      <c r="D3" s="577"/>
      <c r="E3" s="577"/>
    </row>
    <row r="4" spans="1:11" ht="18.75" customHeight="1">
      <c r="A4" s="578" t="s">
        <v>307</v>
      </c>
      <c r="B4" s="427"/>
      <c r="C4" s="427"/>
      <c r="D4" s="427"/>
      <c r="E4" s="427"/>
      <c r="F4" s="314"/>
      <c r="G4" s="314"/>
      <c r="H4" s="314"/>
      <c r="I4" s="314"/>
      <c r="J4" s="314"/>
      <c r="K4" s="314"/>
    </row>
    <row r="5" spans="2:11" ht="12.75">
      <c r="B5" s="315"/>
      <c r="C5" s="315"/>
      <c r="D5" s="315"/>
      <c r="E5" s="315"/>
      <c r="F5" s="314"/>
      <c r="G5" s="314"/>
      <c r="H5" s="314"/>
      <c r="I5" s="314"/>
      <c r="J5" s="314"/>
      <c r="K5" s="314"/>
    </row>
    <row r="6" spans="1:5" s="319" customFormat="1" ht="19.5" customHeight="1">
      <c r="A6" s="316"/>
      <c r="B6" s="317"/>
      <c r="C6" s="317"/>
      <c r="D6" s="318"/>
      <c r="E6" s="250"/>
    </row>
    <row r="7" spans="1:5" s="319" customFormat="1" ht="39.75" customHeight="1">
      <c r="A7" s="579" t="s">
        <v>351</v>
      </c>
      <c r="B7" s="579"/>
      <c r="C7" s="579"/>
      <c r="D7" s="579"/>
      <c r="E7" s="579"/>
    </row>
    <row r="8" spans="1:5" s="319" customFormat="1" ht="19.5" customHeight="1">
      <c r="A8" s="321"/>
      <c r="B8" s="287" t="s">
        <v>0</v>
      </c>
      <c r="C8" s="287" t="s">
        <v>1</v>
      </c>
      <c r="D8" s="287" t="s">
        <v>2</v>
      </c>
      <c r="E8" s="287" t="s">
        <v>3</v>
      </c>
    </row>
    <row r="9" spans="1:5" s="319" customFormat="1" ht="19.5" customHeight="1">
      <c r="A9" s="322">
        <v>1</v>
      </c>
      <c r="B9" s="320"/>
      <c r="C9" s="320"/>
      <c r="D9" s="320"/>
      <c r="E9" s="323" t="s">
        <v>90</v>
      </c>
    </row>
    <row r="10" spans="1:5" s="319" customFormat="1" ht="15" customHeight="1">
      <c r="A10" s="569">
        <v>2</v>
      </c>
      <c r="B10" s="571" t="s">
        <v>352</v>
      </c>
      <c r="C10" s="572" t="s">
        <v>353</v>
      </c>
      <c r="D10" s="573"/>
      <c r="E10" s="574"/>
    </row>
    <row r="11" spans="1:5" s="319" customFormat="1" ht="24" customHeight="1">
      <c r="A11" s="570"/>
      <c r="B11" s="571"/>
      <c r="C11" s="324" t="s">
        <v>55</v>
      </c>
      <c r="D11" s="324" t="s">
        <v>56</v>
      </c>
      <c r="E11" s="324" t="s">
        <v>57</v>
      </c>
    </row>
    <row r="12" spans="1:5" s="319" customFormat="1" ht="19.5" customHeight="1">
      <c r="A12" s="322">
        <v>3</v>
      </c>
      <c r="B12" s="325" t="s">
        <v>354</v>
      </c>
      <c r="D12" s="326"/>
      <c r="E12" s="327"/>
    </row>
    <row r="13" spans="1:5" s="319" customFormat="1" ht="19.5" customHeight="1">
      <c r="A13" s="322">
        <f>A12+1</f>
        <v>4</v>
      </c>
      <c r="B13" s="328" t="s">
        <v>355</v>
      </c>
      <c r="C13" s="326">
        <v>500000</v>
      </c>
      <c r="D13" s="326">
        <v>500000</v>
      </c>
      <c r="E13" s="327">
        <v>155200</v>
      </c>
    </row>
    <row r="14" spans="1:5" s="319" customFormat="1" ht="19.5" customHeight="1">
      <c r="A14" s="322">
        <f>A13+1</f>
        <v>5</v>
      </c>
      <c r="B14" s="328" t="s">
        <v>356</v>
      </c>
      <c r="C14" s="326">
        <v>13000000</v>
      </c>
      <c r="D14" s="326">
        <v>13000000</v>
      </c>
      <c r="E14" s="327">
        <v>6345707</v>
      </c>
    </row>
    <row r="15" spans="1:5" s="319" customFormat="1" ht="19.5" customHeight="1">
      <c r="A15" s="322">
        <f>A14+1</f>
        <v>6</v>
      </c>
      <c r="B15" s="328" t="s">
        <v>394</v>
      </c>
      <c r="C15" s="326">
        <v>8000000</v>
      </c>
      <c r="D15" s="326">
        <v>8000000</v>
      </c>
      <c r="E15" s="327">
        <v>2977000</v>
      </c>
    </row>
    <row r="16" spans="1:5" s="319" customFormat="1" ht="19.5" customHeight="1">
      <c r="A16" s="322" t="s">
        <v>103</v>
      </c>
      <c r="B16" s="328" t="s">
        <v>357</v>
      </c>
      <c r="C16" s="326">
        <v>1200000</v>
      </c>
      <c r="D16" s="326">
        <v>1200000</v>
      </c>
      <c r="E16" s="327">
        <v>255000</v>
      </c>
    </row>
    <row r="17" spans="1:5" s="319" customFormat="1" ht="19.5" customHeight="1">
      <c r="A17" s="322" t="s">
        <v>104</v>
      </c>
      <c r="B17" s="328" t="s">
        <v>358</v>
      </c>
      <c r="C17" s="326">
        <v>4000000</v>
      </c>
      <c r="D17" s="326">
        <v>4000000</v>
      </c>
      <c r="E17" s="327">
        <v>1714650</v>
      </c>
    </row>
    <row r="18" spans="1:5" s="319" customFormat="1" ht="19.5" customHeight="1">
      <c r="A18" s="322" t="s">
        <v>105</v>
      </c>
      <c r="B18" s="328" t="s">
        <v>395</v>
      </c>
      <c r="C18" s="326">
        <v>1000000</v>
      </c>
      <c r="D18" s="326">
        <v>1000000</v>
      </c>
      <c r="E18" s="327">
        <v>550000</v>
      </c>
    </row>
    <row r="19" spans="1:5" s="319" customFormat="1" ht="19.5" customHeight="1">
      <c r="A19" s="322" t="s">
        <v>107</v>
      </c>
      <c r="B19" s="329" t="s">
        <v>359</v>
      </c>
      <c r="C19" s="326">
        <v>2000000</v>
      </c>
      <c r="D19" s="326">
        <v>2000000</v>
      </c>
      <c r="E19" s="327">
        <v>1039713</v>
      </c>
    </row>
    <row r="20" spans="1:5" s="319" customFormat="1" ht="19.5" customHeight="1">
      <c r="A20" s="322" t="s">
        <v>108</v>
      </c>
      <c r="B20" s="328" t="s">
        <v>360</v>
      </c>
      <c r="C20" s="330">
        <v>1000000</v>
      </c>
      <c r="D20" s="330">
        <v>1000000</v>
      </c>
      <c r="E20" s="327">
        <v>240000</v>
      </c>
    </row>
    <row r="21" spans="1:5" s="319" customFormat="1" ht="19.5" customHeight="1">
      <c r="A21" s="322" t="s">
        <v>109</v>
      </c>
      <c r="B21" s="328" t="s">
        <v>361</v>
      </c>
      <c r="C21" s="326">
        <v>500000</v>
      </c>
      <c r="D21" s="326">
        <v>500000</v>
      </c>
      <c r="E21" s="327">
        <v>0</v>
      </c>
    </row>
    <row r="22" spans="1:5" s="319" customFormat="1" ht="19.5" customHeight="1">
      <c r="A22" s="322" t="s">
        <v>110</v>
      </c>
      <c r="B22" s="328" t="s">
        <v>362</v>
      </c>
      <c r="C22" s="326">
        <v>20000000</v>
      </c>
      <c r="D22" s="326">
        <v>20000000</v>
      </c>
      <c r="E22" s="327">
        <v>0</v>
      </c>
    </row>
    <row r="23" spans="1:5" s="319" customFormat="1" ht="19.5" customHeight="1">
      <c r="A23" s="322" t="s">
        <v>111</v>
      </c>
      <c r="B23" s="328" t="s">
        <v>363</v>
      </c>
      <c r="C23" s="326">
        <v>18000000</v>
      </c>
      <c r="D23" s="326">
        <v>18000000</v>
      </c>
      <c r="E23" s="327">
        <v>4930000</v>
      </c>
    </row>
    <row r="24" spans="1:5" s="319" customFormat="1" ht="19.5" customHeight="1">
      <c r="A24" s="322">
        <v>15</v>
      </c>
      <c r="B24" s="328" t="s">
        <v>364</v>
      </c>
      <c r="C24" s="326">
        <v>42000000</v>
      </c>
      <c r="D24" s="326">
        <v>42000000</v>
      </c>
      <c r="E24" s="327">
        <v>18407800</v>
      </c>
    </row>
    <row r="25" spans="1:5" s="319" customFormat="1" ht="19.5" customHeight="1">
      <c r="A25" s="322">
        <v>16</v>
      </c>
      <c r="B25" s="328" t="s">
        <v>365</v>
      </c>
      <c r="C25" s="326">
        <v>1000000</v>
      </c>
      <c r="D25" s="326">
        <v>1000000</v>
      </c>
      <c r="E25" s="327">
        <v>229258</v>
      </c>
    </row>
    <row r="26" spans="1:5" s="319" customFormat="1" ht="19.5" customHeight="1">
      <c r="A26" s="322">
        <v>17</v>
      </c>
      <c r="B26" s="328" t="s">
        <v>405</v>
      </c>
      <c r="C26" s="326">
        <v>0</v>
      </c>
      <c r="D26" s="326">
        <v>110500</v>
      </c>
      <c r="E26" s="327">
        <v>110500</v>
      </c>
    </row>
    <row r="27" spans="1:6" s="319" customFormat="1" ht="19.5" customHeight="1">
      <c r="A27" s="322">
        <v>18</v>
      </c>
      <c r="B27" s="328" t="s">
        <v>366</v>
      </c>
      <c r="C27" s="326">
        <v>1500000</v>
      </c>
      <c r="D27" s="326">
        <v>1500000</v>
      </c>
      <c r="E27" s="327">
        <v>867135</v>
      </c>
      <c r="F27" s="331"/>
    </row>
    <row r="28" spans="1:5" s="319" customFormat="1" ht="19.5" customHeight="1">
      <c r="A28" s="322">
        <v>19</v>
      </c>
      <c r="B28" s="332" t="s">
        <v>77</v>
      </c>
      <c r="C28" s="333">
        <f>SUM(C13:C27)</f>
        <v>113700000</v>
      </c>
      <c r="D28" s="333">
        <f>SUM(D13:D27)</f>
        <v>113810500</v>
      </c>
      <c r="E28" s="334">
        <f>SUM(E13:E27)</f>
        <v>37821963</v>
      </c>
    </row>
    <row r="29" spans="1:256" s="250" customFormat="1" ht="19.5" customHeight="1">
      <c r="A29" s="322">
        <v>21</v>
      </c>
      <c r="B29" s="332" t="s">
        <v>367</v>
      </c>
      <c r="C29" s="333">
        <f>SUM(C28:C28)</f>
        <v>113700000</v>
      </c>
      <c r="D29" s="333">
        <f>SUM(D28:D28)</f>
        <v>113810500</v>
      </c>
      <c r="E29" s="334">
        <f>E28</f>
        <v>37821963</v>
      </c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  <c r="BN29" s="319"/>
      <c r="BO29" s="319"/>
      <c r="BP29" s="319"/>
      <c r="BQ29" s="319"/>
      <c r="BR29" s="319"/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9"/>
      <c r="CE29" s="319"/>
      <c r="CF29" s="319"/>
      <c r="CG29" s="319"/>
      <c r="CH29" s="319"/>
      <c r="CI29" s="319"/>
      <c r="CJ29" s="319"/>
      <c r="CK29" s="319"/>
      <c r="CL29" s="319"/>
      <c r="CM29" s="319"/>
      <c r="CN29" s="319"/>
      <c r="CO29" s="319"/>
      <c r="CP29" s="319"/>
      <c r="CQ29" s="319"/>
      <c r="CR29" s="319"/>
      <c r="CS29" s="319"/>
      <c r="CT29" s="319"/>
      <c r="CU29" s="319"/>
      <c r="CV29" s="319"/>
      <c r="CW29" s="319"/>
      <c r="CX29" s="319"/>
      <c r="CY29" s="319"/>
      <c r="CZ29" s="319"/>
      <c r="DA29" s="319"/>
      <c r="DB29" s="319"/>
      <c r="DC29" s="319"/>
      <c r="DD29" s="319"/>
      <c r="DE29" s="319"/>
      <c r="DF29" s="319"/>
      <c r="DG29" s="319"/>
      <c r="DH29" s="319"/>
      <c r="DI29" s="319"/>
      <c r="DJ29" s="319"/>
      <c r="DK29" s="319"/>
      <c r="DL29" s="319"/>
      <c r="DM29" s="319"/>
      <c r="DN29" s="319"/>
      <c r="DO29" s="319"/>
      <c r="DP29" s="319"/>
      <c r="DQ29" s="319"/>
      <c r="DR29" s="319"/>
      <c r="DS29" s="319"/>
      <c r="DT29" s="319"/>
      <c r="DU29" s="319"/>
      <c r="DV29" s="319"/>
      <c r="DW29" s="319"/>
      <c r="DX29" s="319"/>
      <c r="DY29" s="319"/>
      <c r="DZ29" s="319"/>
      <c r="EA29" s="319"/>
      <c r="EB29" s="319"/>
      <c r="EC29" s="319"/>
      <c r="ED29" s="319"/>
      <c r="EE29" s="319"/>
      <c r="EF29" s="319"/>
      <c r="EG29" s="319"/>
      <c r="EH29" s="319"/>
      <c r="EI29" s="319"/>
      <c r="EJ29" s="319"/>
      <c r="EK29" s="319"/>
      <c r="EL29" s="319"/>
      <c r="EM29" s="319"/>
      <c r="EN29" s="319"/>
      <c r="EO29" s="319"/>
      <c r="EP29" s="319"/>
      <c r="EQ29" s="319"/>
      <c r="ER29" s="319"/>
      <c r="ES29" s="319"/>
      <c r="ET29" s="319"/>
      <c r="EU29" s="319"/>
      <c r="EV29" s="319"/>
      <c r="EW29" s="319"/>
      <c r="EX29" s="319"/>
      <c r="EY29" s="319"/>
      <c r="EZ29" s="319"/>
      <c r="FA29" s="319"/>
      <c r="FB29" s="319"/>
      <c r="FC29" s="319"/>
      <c r="FD29" s="319"/>
      <c r="FE29" s="319"/>
      <c r="FF29" s="319"/>
      <c r="FG29" s="319"/>
      <c r="FH29" s="319"/>
      <c r="FI29" s="319"/>
      <c r="FJ29" s="319"/>
      <c r="FK29" s="319"/>
      <c r="FL29" s="319"/>
      <c r="FM29" s="319"/>
      <c r="FN29" s="319"/>
      <c r="FO29" s="319"/>
      <c r="FP29" s="319"/>
      <c r="FQ29" s="319"/>
      <c r="FR29" s="319"/>
      <c r="FS29" s="319"/>
      <c r="FT29" s="319"/>
      <c r="FU29" s="319"/>
      <c r="FV29" s="319"/>
      <c r="FW29" s="319"/>
      <c r="FX29" s="319"/>
      <c r="FY29" s="319"/>
      <c r="FZ29" s="319"/>
      <c r="GA29" s="319"/>
      <c r="GB29" s="319"/>
      <c r="GC29" s="319"/>
      <c r="GD29" s="319"/>
      <c r="GE29" s="319"/>
      <c r="GF29" s="319"/>
      <c r="GG29" s="319"/>
      <c r="GH29" s="319"/>
      <c r="GI29" s="319"/>
      <c r="GJ29" s="319"/>
      <c r="GK29" s="319"/>
      <c r="GL29" s="319"/>
      <c r="GM29" s="319"/>
      <c r="GN29" s="319"/>
      <c r="GO29" s="319"/>
      <c r="GP29" s="319"/>
      <c r="GQ29" s="319"/>
      <c r="GR29" s="319"/>
      <c r="GS29" s="319"/>
      <c r="GT29" s="319"/>
      <c r="GU29" s="319"/>
      <c r="GV29" s="319"/>
      <c r="GW29" s="319"/>
      <c r="GX29" s="319"/>
      <c r="GY29" s="319"/>
      <c r="GZ29" s="319"/>
      <c r="HA29" s="319"/>
      <c r="HB29" s="319"/>
      <c r="HC29" s="319"/>
      <c r="HD29" s="319"/>
      <c r="HE29" s="319"/>
      <c r="HF29" s="319"/>
      <c r="HG29" s="319"/>
      <c r="HH29" s="319"/>
      <c r="HI29" s="319"/>
      <c r="HJ29" s="319"/>
      <c r="HK29" s="319"/>
      <c r="HL29" s="319"/>
      <c r="HM29" s="319"/>
      <c r="HN29" s="319"/>
      <c r="HO29" s="319"/>
      <c r="HP29" s="319"/>
      <c r="HQ29" s="319"/>
      <c r="HR29" s="319"/>
      <c r="HS29" s="319"/>
      <c r="HT29" s="319"/>
      <c r="HU29" s="319"/>
      <c r="HV29" s="319"/>
      <c r="HW29" s="319"/>
      <c r="HX29" s="319"/>
      <c r="HY29" s="319"/>
      <c r="HZ29" s="319"/>
      <c r="IA29" s="319"/>
      <c r="IB29" s="319"/>
      <c r="IC29" s="319"/>
      <c r="ID29" s="319"/>
      <c r="IE29" s="319"/>
      <c r="IF29" s="319"/>
      <c r="IG29" s="319"/>
      <c r="IH29" s="319"/>
      <c r="II29" s="319"/>
      <c r="IJ29" s="319"/>
      <c r="IK29" s="319"/>
      <c r="IL29" s="319"/>
      <c r="IM29" s="319"/>
      <c r="IN29" s="319"/>
      <c r="IO29" s="319"/>
      <c r="IP29" s="319"/>
      <c r="IQ29" s="319"/>
      <c r="IR29" s="319"/>
      <c r="IS29" s="319"/>
      <c r="IT29" s="319"/>
      <c r="IU29" s="319"/>
      <c r="IV29" s="319"/>
    </row>
    <row r="30" spans="1:256" s="319" customFormat="1" ht="19.5" customHeight="1">
      <c r="A30" s="569">
        <v>22</v>
      </c>
      <c r="B30" s="571" t="s">
        <v>352</v>
      </c>
      <c r="C30" s="572" t="s">
        <v>368</v>
      </c>
      <c r="D30" s="573"/>
      <c r="E30" s="574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5"/>
      <c r="EB30" s="335"/>
      <c r="EC30" s="335"/>
      <c r="ED30" s="335"/>
      <c r="EE30" s="335"/>
      <c r="EF30" s="335"/>
      <c r="EG30" s="335"/>
      <c r="EH30" s="335"/>
      <c r="EI30" s="335"/>
      <c r="EJ30" s="335"/>
      <c r="EK30" s="335"/>
      <c r="EL30" s="335"/>
      <c r="EM30" s="335"/>
      <c r="EN30" s="335"/>
      <c r="EO30" s="335"/>
      <c r="EP30" s="335"/>
      <c r="EQ30" s="335"/>
      <c r="ER30" s="335"/>
      <c r="ES30" s="335"/>
      <c r="ET30" s="335"/>
      <c r="EU30" s="335"/>
      <c r="EV30" s="335"/>
      <c r="EW30" s="335"/>
      <c r="EX30" s="335"/>
      <c r="EY30" s="335"/>
      <c r="EZ30" s="335"/>
      <c r="FA30" s="335"/>
      <c r="FB30" s="335"/>
      <c r="FC30" s="335"/>
      <c r="FD30" s="335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5"/>
      <c r="FT30" s="335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5"/>
      <c r="GJ30" s="335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5"/>
      <c r="GZ30" s="335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5"/>
      <c r="HQ30" s="335"/>
      <c r="HR30" s="335"/>
      <c r="HS30" s="335"/>
      <c r="HT30" s="335"/>
      <c r="HU30" s="335"/>
      <c r="HV30" s="335"/>
      <c r="HW30" s="335"/>
      <c r="HX30" s="335"/>
      <c r="HY30" s="335"/>
      <c r="HZ30" s="335"/>
      <c r="IA30" s="335"/>
      <c r="IB30" s="335"/>
      <c r="IC30" s="335"/>
      <c r="ID30" s="335"/>
      <c r="IE30" s="335"/>
      <c r="IF30" s="335"/>
      <c r="IG30" s="335"/>
      <c r="IH30" s="335"/>
      <c r="II30" s="335"/>
      <c r="IJ30" s="335"/>
      <c r="IK30" s="335"/>
      <c r="IL30" s="335"/>
      <c r="IM30" s="335"/>
      <c r="IN30" s="335"/>
      <c r="IO30" s="335"/>
      <c r="IP30" s="335"/>
      <c r="IQ30" s="335"/>
      <c r="IR30" s="335"/>
      <c r="IS30" s="335"/>
      <c r="IT30" s="335"/>
      <c r="IU30" s="335"/>
      <c r="IV30" s="335"/>
    </row>
    <row r="31" spans="1:5" s="335" customFormat="1" ht="22.5" customHeight="1">
      <c r="A31" s="570"/>
      <c r="B31" s="571"/>
      <c r="C31" s="324" t="s">
        <v>55</v>
      </c>
      <c r="D31" s="324" t="s">
        <v>56</v>
      </c>
      <c r="E31" s="324" t="s">
        <v>57</v>
      </c>
    </row>
    <row r="32" spans="1:5" s="335" customFormat="1" ht="24" customHeight="1">
      <c r="A32" s="322">
        <v>23</v>
      </c>
      <c r="B32" s="336" t="s">
        <v>369</v>
      </c>
      <c r="C32" s="324"/>
      <c r="D32" s="324"/>
      <c r="E32" s="324"/>
    </row>
    <row r="33" spans="1:256" s="335" customFormat="1" ht="24" customHeight="1">
      <c r="A33" s="322">
        <f>A32+1</f>
        <v>24</v>
      </c>
      <c r="B33" s="337" t="s">
        <v>370</v>
      </c>
      <c r="C33" s="326">
        <v>4850000</v>
      </c>
      <c r="D33" s="326">
        <v>4850000</v>
      </c>
      <c r="E33" s="327">
        <v>970000</v>
      </c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  <c r="CS33" s="319"/>
      <c r="CT33" s="319"/>
      <c r="CU33" s="319"/>
      <c r="CV33" s="319"/>
      <c r="CW33" s="319"/>
      <c r="CX33" s="319"/>
      <c r="CY33" s="319"/>
      <c r="CZ33" s="319"/>
      <c r="DA33" s="319"/>
      <c r="DB33" s="319"/>
      <c r="DC33" s="319"/>
      <c r="DD33" s="319"/>
      <c r="DE33" s="319"/>
      <c r="DF33" s="319"/>
      <c r="DG33" s="319"/>
      <c r="DH33" s="319"/>
      <c r="DI33" s="319"/>
      <c r="DJ33" s="319"/>
      <c r="DK33" s="319"/>
      <c r="DL33" s="319"/>
      <c r="DM33" s="319"/>
      <c r="DN33" s="319"/>
      <c r="DO33" s="319"/>
      <c r="DP33" s="319"/>
      <c r="DQ33" s="319"/>
      <c r="DR33" s="319"/>
      <c r="DS33" s="319"/>
      <c r="DT33" s="319"/>
      <c r="DU33" s="319"/>
      <c r="DV33" s="319"/>
      <c r="DW33" s="319"/>
      <c r="DX33" s="319"/>
      <c r="DY33" s="319"/>
      <c r="DZ33" s="319"/>
      <c r="EA33" s="319"/>
      <c r="EB33" s="319"/>
      <c r="EC33" s="319"/>
      <c r="ED33" s="319"/>
      <c r="EE33" s="319"/>
      <c r="EF33" s="319"/>
      <c r="EG33" s="319"/>
      <c r="EH33" s="319"/>
      <c r="EI33" s="319"/>
      <c r="EJ33" s="319"/>
      <c r="EK33" s="319"/>
      <c r="EL33" s="319"/>
      <c r="EM33" s="319"/>
      <c r="EN33" s="319"/>
      <c r="EO33" s="319"/>
      <c r="EP33" s="319"/>
      <c r="EQ33" s="319"/>
      <c r="ER33" s="319"/>
      <c r="ES33" s="319"/>
      <c r="ET33" s="319"/>
      <c r="EU33" s="319"/>
      <c r="EV33" s="319"/>
      <c r="EW33" s="319"/>
      <c r="EX33" s="319"/>
      <c r="EY33" s="319"/>
      <c r="EZ33" s="319"/>
      <c r="FA33" s="319"/>
      <c r="FB33" s="319"/>
      <c r="FC33" s="319"/>
      <c r="FD33" s="319"/>
      <c r="FE33" s="319"/>
      <c r="FF33" s="319"/>
      <c r="FG33" s="319"/>
      <c r="FH33" s="319"/>
      <c r="FI33" s="319"/>
      <c r="FJ33" s="319"/>
      <c r="FK33" s="319"/>
      <c r="FL33" s="319"/>
      <c r="FM33" s="319"/>
      <c r="FN33" s="319"/>
      <c r="FO33" s="319"/>
      <c r="FP33" s="319"/>
      <c r="FQ33" s="319"/>
      <c r="FR33" s="319"/>
      <c r="FS33" s="319"/>
      <c r="FT33" s="319"/>
      <c r="FU33" s="319"/>
      <c r="FV33" s="319"/>
      <c r="FW33" s="319"/>
      <c r="FX33" s="319"/>
      <c r="FY33" s="319"/>
      <c r="FZ33" s="319"/>
      <c r="GA33" s="319"/>
      <c r="GB33" s="319"/>
      <c r="GC33" s="319"/>
      <c r="GD33" s="319"/>
      <c r="GE33" s="319"/>
      <c r="GF33" s="319"/>
      <c r="GG33" s="319"/>
      <c r="GH33" s="319"/>
      <c r="GI33" s="319"/>
      <c r="GJ33" s="319"/>
      <c r="GK33" s="319"/>
      <c r="GL33" s="319"/>
      <c r="GM33" s="319"/>
      <c r="GN33" s="319"/>
      <c r="GO33" s="319"/>
      <c r="GP33" s="319"/>
      <c r="GQ33" s="319"/>
      <c r="GR33" s="319"/>
      <c r="GS33" s="319"/>
      <c r="GT33" s="319"/>
      <c r="GU33" s="319"/>
      <c r="GV33" s="319"/>
      <c r="GW33" s="319"/>
      <c r="GX33" s="319"/>
      <c r="GY33" s="319"/>
      <c r="GZ33" s="319"/>
      <c r="HA33" s="319"/>
      <c r="HB33" s="319"/>
      <c r="HC33" s="319"/>
      <c r="HD33" s="319"/>
      <c r="HE33" s="319"/>
      <c r="HF33" s="319"/>
      <c r="HG33" s="319"/>
      <c r="HH33" s="319"/>
      <c r="HI33" s="319"/>
      <c r="HJ33" s="319"/>
      <c r="HK33" s="319"/>
      <c r="HL33" s="319"/>
      <c r="HM33" s="319"/>
      <c r="HN33" s="319"/>
      <c r="HO33" s="319"/>
      <c r="HP33" s="319"/>
      <c r="HQ33" s="319"/>
      <c r="HR33" s="319"/>
      <c r="HS33" s="319"/>
      <c r="HT33" s="319"/>
      <c r="HU33" s="319"/>
      <c r="HV33" s="319"/>
      <c r="HW33" s="319"/>
      <c r="HX33" s="319"/>
      <c r="HY33" s="319"/>
      <c r="HZ33" s="319"/>
      <c r="IA33" s="319"/>
      <c r="IB33" s="319"/>
      <c r="IC33" s="319"/>
      <c r="ID33" s="319"/>
      <c r="IE33" s="319"/>
      <c r="IF33" s="319"/>
      <c r="IG33" s="319"/>
      <c r="IH33" s="319"/>
      <c r="II33" s="319"/>
      <c r="IJ33" s="319"/>
      <c r="IK33" s="319"/>
      <c r="IL33" s="319"/>
      <c r="IM33" s="319"/>
      <c r="IN33" s="319"/>
      <c r="IO33" s="319"/>
      <c r="IP33" s="319"/>
      <c r="IQ33" s="319"/>
      <c r="IR33" s="319"/>
      <c r="IS33" s="319"/>
      <c r="IT33" s="319"/>
      <c r="IU33" s="319"/>
      <c r="IV33" s="319"/>
    </row>
    <row r="34" spans="1:5" s="319" customFormat="1" ht="19.5" customHeight="1">
      <c r="A34" s="322">
        <f>A33+1</f>
        <v>25</v>
      </c>
      <c r="B34" s="337" t="s">
        <v>371</v>
      </c>
      <c r="C34" s="326">
        <v>1100000</v>
      </c>
      <c r="D34" s="326">
        <v>1100000</v>
      </c>
      <c r="E34" s="327">
        <v>180000</v>
      </c>
    </row>
    <row r="35" spans="1:5" s="319" customFormat="1" ht="19.5" customHeight="1">
      <c r="A35" s="322">
        <f>A34+1</f>
        <v>26</v>
      </c>
      <c r="B35" s="333" t="s">
        <v>372</v>
      </c>
      <c r="C35" s="333">
        <f>SUM(C33:C34)</f>
        <v>5950000</v>
      </c>
      <c r="D35" s="333">
        <v>5950000</v>
      </c>
      <c r="E35" s="333">
        <f>SUM(E33:E34)</f>
        <v>1150000</v>
      </c>
    </row>
    <row r="36" spans="1:7" s="319" customFormat="1" ht="29.25" customHeight="1">
      <c r="A36" s="322">
        <f>A35+1</f>
        <v>27</v>
      </c>
      <c r="B36" s="338" t="s">
        <v>373</v>
      </c>
      <c r="C36" s="339">
        <f>C29+C35</f>
        <v>119650000</v>
      </c>
      <c r="D36" s="339">
        <f>D29+D35</f>
        <v>119760500</v>
      </c>
      <c r="E36" s="339">
        <f>E29+E35</f>
        <v>38971963</v>
      </c>
      <c r="G36" s="340"/>
    </row>
    <row r="37" spans="1:256" s="319" customFormat="1" ht="33.75" customHeight="1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282"/>
      <c r="DP37" s="282"/>
      <c r="DQ37" s="282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2"/>
      <c r="EF37" s="282"/>
      <c r="EG37" s="282"/>
      <c r="EH37" s="282"/>
      <c r="EI37" s="282"/>
      <c r="EJ37" s="282"/>
      <c r="EK37" s="282"/>
      <c r="EL37" s="282"/>
      <c r="EM37" s="282"/>
      <c r="EN37" s="282"/>
      <c r="EO37" s="282"/>
      <c r="EP37" s="282"/>
      <c r="EQ37" s="282"/>
      <c r="ER37" s="282"/>
      <c r="ES37" s="282"/>
      <c r="ET37" s="282"/>
      <c r="EU37" s="282"/>
      <c r="EV37" s="282"/>
      <c r="EW37" s="282"/>
      <c r="EX37" s="282"/>
      <c r="EY37" s="282"/>
      <c r="EZ37" s="282"/>
      <c r="FA37" s="282"/>
      <c r="FB37" s="282"/>
      <c r="FC37" s="282"/>
      <c r="FD37" s="282"/>
      <c r="FE37" s="282"/>
      <c r="FF37" s="282"/>
      <c r="FG37" s="282"/>
      <c r="FH37" s="282"/>
      <c r="FI37" s="282"/>
      <c r="FJ37" s="282"/>
      <c r="FK37" s="282"/>
      <c r="FL37" s="282"/>
      <c r="FM37" s="282"/>
      <c r="FN37" s="282"/>
      <c r="FO37" s="282"/>
      <c r="FP37" s="282"/>
      <c r="FQ37" s="282"/>
      <c r="FR37" s="282"/>
      <c r="FS37" s="282"/>
      <c r="FT37" s="282"/>
      <c r="FU37" s="282"/>
      <c r="FV37" s="282"/>
      <c r="FW37" s="282"/>
      <c r="FX37" s="282"/>
      <c r="FY37" s="282"/>
      <c r="FZ37" s="282"/>
      <c r="GA37" s="282"/>
      <c r="GB37" s="282"/>
      <c r="GC37" s="282"/>
      <c r="GD37" s="282"/>
      <c r="GE37" s="282"/>
      <c r="GF37" s="282"/>
      <c r="GG37" s="282"/>
      <c r="GH37" s="282"/>
      <c r="GI37" s="282"/>
      <c r="GJ37" s="282"/>
      <c r="GK37" s="282"/>
      <c r="GL37" s="282"/>
      <c r="GM37" s="282"/>
      <c r="GN37" s="282"/>
      <c r="GO37" s="282"/>
      <c r="GP37" s="282"/>
      <c r="GQ37" s="282"/>
      <c r="GR37" s="282"/>
      <c r="GS37" s="282"/>
      <c r="GT37" s="282"/>
      <c r="GU37" s="282"/>
      <c r="GV37" s="282"/>
      <c r="GW37" s="282"/>
      <c r="GX37" s="282"/>
      <c r="GY37" s="282"/>
      <c r="GZ37" s="282"/>
      <c r="HA37" s="282"/>
      <c r="HB37" s="282"/>
      <c r="HC37" s="282"/>
      <c r="HD37" s="282"/>
      <c r="HE37" s="282"/>
      <c r="HF37" s="282"/>
      <c r="HG37" s="282"/>
      <c r="HH37" s="282"/>
      <c r="HI37" s="282"/>
      <c r="HJ37" s="282"/>
      <c r="HK37" s="282"/>
      <c r="HL37" s="282"/>
      <c r="HM37" s="282"/>
      <c r="HN37" s="282"/>
      <c r="HO37" s="282"/>
      <c r="HP37" s="282"/>
      <c r="HQ37" s="282"/>
      <c r="HR37" s="282"/>
      <c r="HS37" s="282"/>
      <c r="HT37" s="282"/>
      <c r="HU37" s="282"/>
      <c r="HV37" s="282"/>
      <c r="HW37" s="282"/>
      <c r="HX37" s="282"/>
      <c r="HY37" s="282"/>
      <c r="HZ37" s="282"/>
      <c r="IA37" s="282"/>
      <c r="IB37" s="282"/>
      <c r="IC37" s="282"/>
      <c r="ID37" s="282"/>
      <c r="IE37" s="282"/>
      <c r="IF37" s="282"/>
      <c r="IG37" s="282"/>
      <c r="IH37" s="282"/>
      <c r="II37" s="282"/>
      <c r="IJ37" s="282"/>
      <c r="IK37" s="282"/>
      <c r="IL37" s="282"/>
      <c r="IM37" s="282"/>
      <c r="IN37" s="282"/>
      <c r="IO37" s="282"/>
      <c r="IP37" s="282"/>
      <c r="IQ37" s="282"/>
      <c r="IR37" s="282"/>
      <c r="IS37" s="282"/>
      <c r="IT37" s="282"/>
      <c r="IU37" s="282"/>
      <c r="IV37" s="282"/>
    </row>
    <row r="39" ht="12.75">
      <c r="D39" s="341"/>
    </row>
  </sheetData>
  <sheetProtection/>
  <mergeCells count="10">
    <mergeCell ref="A30:A31"/>
    <mergeCell ref="B30:B31"/>
    <mergeCell ref="C30:E30"/>
    <mergeCell ref="B1:E1"/>
    <mergeCell ref="A3:E3"/>
    <mergeCell ref="A4:E4"/>
    <mergeCell ref="A7:E7"/>
    <mergeCell ref="A10:A11"/>
    <mergeCell ref="B10:B11"/>
    <mergeCell ref="C10:E10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"/>
  <sheetViews>
    <sheetView zoomScalePageLayoutView="0" workbookViewId="0" topLeftCell="B1">
      <selection activeCell="M4" sqref="M4"/>
    </sheetView>
  </sheetViews>
  <sheetFormatPr defaultColWidth="9.140625" defaultRowHeight="12.75"/>
  <cols>
    <col min="1" max="1" width="5.140625" style="283" customWidth="1"/>
    <col min="2" max="2" width="29.28125" style="283" customWidth="1"/>
    <col min="3" max="3" width="12.7109375" style="283" bestFit="1" customWidth="1"/>
    <col min="4" max="15" width="11.140625" style="283" bestFit="1" customWidth="1"/>
    <col min="16" max="16" width="12.7109375" style="283" bestFit="1" customWidth="1"/>
    <col min="17" max="17" width="9.140625" style="283" customWidth="1"/>
    <col min="18" max="18" width="12.57421875" style="283" bestFit="1" customWidth="1"/>
    <col min="19" max="16384" width="9.140625" style="283" customWidth="1"/>
  </cols>
  <sheetData>
    <row r="2" spans="1:15" ht="15.75">
      <c r="A2" s="282"/>
      <c r="B2" s="585"/>
      <c r="C2" s="585"/>
      <c r="D2" s="586"/>
      <c r="E2" s="586"/>
      <c r="F2" s="586"/>
      <c r="I2" s="587" t="s">
        <v>413</v>
      </c>
      <c r="J2" s="587"/>
      <c r="K2" s="587"/>
      <c r="L2" s="587"/>
      <c r="M2" s="587"/>
      <c r="N2" s="587"/>
      <c r="O2" s="587"/>
    </row>
    <row r="3" spans="1:15" ht="12.75">
      <c r="A3" s="282"/>
      <c r="N3" s="284"/>
      <c r="O3" s="284"/>
    </row>
    <row r="4" spans="1:15" ht="12.75">
      <c r="A4" s="282"/>
      <c r="N4" s="284"/>
      <c r="O4" s="284"/>
    </row>
    <row r="5" ht="12.75">
      <c r="A5" s="282"/>
    </row>
    <row r="6" spans="1:15" ht="20.25">
      <c r="A6" s="282"/>
      <c r="B6" s="581" t="s">
        <v>305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</row>
    <row r="7" spans="1:15" ht="20.25">
      <c r="A7" s="282"/>
      <c r="B7" s="581" t="s">
        <v>306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</row>
    <row r="8" spans="1:15" ht="20.25">
      <c r="A8" s="282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15" ht="19.5" customHeight="1">
      <c r="A9" s="282"/>
      <c r="B9" s="581" t="s">
        <v>307</v>
      </c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</row>
    <row r="10" spans="1:15" ht="12.75" customHeight="1">
      <c r="A10" s="282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580" t="s">
        <v>308</v>
      </c>
      <c r="O10" s="580"/>
    </row>
    <row r="11" spans="1:15" ht="12" customHeight="1">
      <c r="A11" s="286"/>
      <c r="B11" s="286" t="s">
        <v>0</v>
      </c>
      <c r="C11" s="286" t="s">
        <v>1</v>
      </c>
      <c r="D11" s="286" t="s">
        <v>2</v>
      </c>
      <c r="E11" s="286" t="s">
        <v>3</v>
      </c>
      <c r="F11" s="286" t="s">
        <v>4</v>
      </c>
      <c r="G11" s="286" t="s">
        <v>5</v>
      </c>
      <c r="H11" s="286" t="s">
        <v>6</v>
      </c>
      <c r="I11" s="286" t="s">
        <v>7</v>
      </c>
      <c r="J11" s="286" t="s">
        <v>8</v>
      </c>
      <c r="K11" s="286" t="s">
        <v>9</v>
      </c>
      <c r="L11" s="286" t="s">
        <v>10</v>
      </c>
      <c r="M11" s="286" t="s">
        <v>11</v>
      </c>
      <c r="N11" s="286" t="s">
        <v>12</v>
      </c>
      <c r="O11" s="286" t="s">
        <v>13</v>
      </c>
    </row>
    <row r="12" spans="1:15" s="290" customFormat="1" ht="31.5" customHeight="1">
      <c r="A12" s="287" t="s">
        <v>97</v>
      </c>
      <c r="B12" s="288" t="s">
        <v>309</v>
      </c>
      <c r="C12" s="288" t="s">
        <v>310</v>
      </c>
      <c r="D12" s="289" t="s">
        <v>311</v>
      </c>
      <c r="E12" s="289" t="s">
        <v>312</v>
      </c>
      <c r="F12" s="289" t="s">
        <v>313</v>
      </c>
      <c r="G12" s="289" t="s">
        <v>314</v>
      </c>
      <c r="H12" s="289" t="s">
        <v>315</v>
      </c>
      <c r="I12" s="289" t="s">
        <v>316</v>
      </c>
      <c r="J12" s="289" t="s">
        <v>317</v>
      </c>
      <c r="K12" s="289" t="s">
        <v>318</v>
      </c>
      <c r="L12" s="289" t="s">
        <v>319</v>
      </c>
      <c r="M12" s="289" t="s">
        <v>320</v>
      </c>
      <c r="N12" s="289" t="s">
        <v>321</v>
      </c>
      <c r="O12" s="289" t="s">
        <v>322</v>
      </c>
    </row>
    <row r="13" spans="1:18" ht="24.75" customHeight="1">
      <c r="A13" s="287" t="s">
        <v>98</v>
      </c>
      <c r="B13" s="291" t="s">
        <v>45</v>
      </c>
      <c r="C13" s="292">
        <f>'1.sz.m.'!D18</f>
        <v>441243033</v>
      </c>
      <c r="D13" s="293">
        <f>C13/12</f>
        <v>36770252.75</v>
      </c>
      <c r="E13" s="293">
        <f>D13</f>
        <v>36770252.75</v>
      </c>
      <c r="F13" s="293">
        <f>E13</f>
        <v>36770252.75</v>
      </c>
      <c r="G13" s="293">
        <f aca="true" t="shared" si="0" ref="G13:O13">F13</f>
        <v>36770252.75</v>
      </c>
      <c r="H13" s="293">
        <f t="shared" si="0"/>
        <v>36770252.75</v>
      </c>
      <c r="I13" s="293">
        <f t="shared" si="0"/>
        <v>36770252.75</v>
      </c>
      <c r="J13" s="293">
        <f t="shared" si="0"/>
        <v>36770252.75</v>
      </c>
      <c r="K13" s="293">
        <f t="shared" si="0"/>
        <v>36770252.75</v>
      </c>
      <c r="L13" s="293">
        <f t="shared" si="0"/>
        <v>36770252.75</v>
      </c>
      <c r="M13" s="293">
        <f t="shared" si="0"/>
        <v>36770252.75</v>
      </c>
      <c r="N13" s="293">
        <f t="shared" si="0"/>
        <v>36770252.75</v>
      </c>
      <c r="O13" s="293">
        <f t="shared" si="0"/>
        <v>36770252.75</v>
      </c>
      <c r="P13" s="294"/>
      <c r="Q13" s="294"/>
      <c r="R13" s="295"/>
    </row>
    <row r="14" spans="1:16" ht="24" customHeight="1">
      <c r="A14" s="287" t="s">
        <v>99</v>
      </c>
      <c r="B14" s="291" t="s">
        <v>46</v>
      </c>
      <c r="C14" s="292">
        <f>'1.sz.m.'!G18</f>
        <v>576988000</v>
      </c>
      <c r="D14" s="293">
        <v>0</v>
      </c>
      <c r="E14" s="293">
        <v>0</v>
      </c>
      <c r="F14" s="293">
        <v>230795000</v>
      </c>
      <c r="G14" s="293">
        <v>0</v>
      </c>
      <c r="H14" s="293">
        <v>55398000</v>
      </c>
      <c r="I14" s="293">
        <v>0</v>
      </c>
      <c r="J14" s="293">
        <v>0</v>
      </c>
      <c r="K14" s="293">
        <v>0</v>
      </c>
      <c r="L14" s="293">
        <v>230795000</v>
      </c>
      <c r="M14" s="293">
        <v>0</v>
      </c>
      <c r="N14" s="293">
        <v>0</v>
      </c>
      <c r="O14" s="293">
        <v>60000000</v>
      </c>
      <c r="P14" s="294"/>
    </row>
    <row r="15" spans="1:18" ht="24.75" customHeight="1">
      <c r="A15" s="287" t="s">
        <v>100</v>
      </c>
      <c r="B15" s="291" t="s">
        <v>323</v>
      </c>
      <c r="C15" s="292">
        <f>'1.sz.m.'!J18</f>
        <v>1266757054</v>
      </c>
      <c r="D15" s="293">
        <f aca="true" t="shared" si="1" ref="D15:D20">C15/12</f>
        <v>105563087.83333333</v>
      </c>
      <c r="E15" s="293">
        <f aca="true" t="shared" si="2" ref="E15:O20">D15</f>
        <v>105563087.83333333</v>
      </c>
      <c r="F15" s="293">
        <f t="shared" si="2"/>
        <v>105563087.83333333</v>
      </c>
      <c r="G15" s="293">
        <f t="shared" si="2"/>
        <v>105563087.83333333</v>
      </c>
      <c r="H15" s="293">
        <f t="shared" si="2"/>
        <v>105563087.83333333</v>
      </c>
      <c r="I15" s="293">
        <f t="shared" si="2"/>
        <v>105563087.83333333</v>
      </c>
      <c r="J15" s="293">
        <f t="shared" si="2"/>
        <v>105563087.83333333</v>
      </c>
      <c r="K15" s="293">
        <f t="shared" si="2"/>
        <v>105563087.83333333</v>
      </c>
      <c r="L15" s="293">
        <f t="shared" si="2"/>
        <v>105563087.83333333</v>
      </c>
      <c r="M15" s="293">
        <f t="shared" si="2"/>
        <v>105563087.83333333</v>
      </c>
      <c r="N15" s="293">
        <f t="shared" si="2"/>
        <v>105563087.83333333</v>
      </c>
      <c r="O15" s="293">
        <f t="shared" si="2"/>
        <v>105563087.83333333</v>
      </c>
      <c r="P15" s="294"/>
      <c r="R15" s="296"/>
    </row>
    <row r="16" spans="1:16" ht="24.75" customHeight="1">
      <c r="A16" s="287" t="s">
        <v>101</v>
      </c>
      <c r="B16" s="291" t="s">
        <v>324</v>
      </c>
      <c r="C16" s="292">
        <f>'1.sz.m.'!P18</f>
        <v>953871801</v>
      </c>
      <c r="D16" s="293">
        <f t="shared" si="1"/>
        <v>79489316.75</v>
      </c>
      <c r="E16" s="293">
        <f t="shared" si="2"/>
        <v>79489316.75</v>
      </c>
      <c r="F16" s="293">
        <f t="shared" si="2"/>
        <v>79489316.75</v>
      </c>
      <c r="G16" s="293">
        <f t="shared" si="2"/>
        <v>79489316.75</v>
      </c>
      <c r="H16" s="293">
        <f t="shared" si="2"/>
        <v>79489316.75</v>
      </c>
      <c r="I16" s="293">
        <f t="shared" si="2"/>
        <v>79489316.75</v>
      </c>
      <c r="J16" s="293">
        <f t="shared" si="2"/>
        <v>79489316.75</v>
      </c>
      <c r="K16" s="293">
        <f t="shared" si="2"/>
        <v>79489316.75</v>
      </c>
      <c r="L16" s="293">
        <f t="shared" si="2"/>
        <v>79489316.75</v>
      </c>
      <c r="M16" s="293">
        <f t="shared" si="2"/>
        <v>79489316.75</v>
      </c>
      <c r="N16" s="293">
        <f t="shared" si="2"/>
        <v>79489316.75</v>
      </c>
      <c r="O16" s="293">
        <f t="shared" si="2"/>
        <v>79489316.75</v>
      </c>
      <c r="P16" s="294"/>
    </row>
    <row r="17" spans="1:16" ht="24.75" customHeight="1">
      <c r="A17" s="287" t="s">
        <v>102</v>
      </c>
      <c r="B17" s="291" t="s">
        <v>50</v>
      </c>
      <c r="C17" s="292">
        <f>'1.sz.m.'!AA18</f>
        <v>106714000</v>
      </c>
      <c r="D17" s="293">
        <f t="shared" si="1"/>
        <v>8892833.333333334</v>
      </c>
      <c r="E17" s="293">
        <f t="shared" si="2"/>
        <v>8892833.333333334</v>
      </c>
      <c r="F17" s="293">
        <f t="shared" si="2"/>
        <v>8892833.333333334</v>
      </c>
      <c r="G17" s="293">
        <f t="shared" si="2"/>
        <v>8892833.333333334</v>
      </c>
      <c r="H17" s="293">
        <f t="shared" si="2"/>
        <v>8892833.333333334</v>
      </c>
      <c r="I17" s="293">
        <f t="shared" si="2"/>
        <v>8892833.333333334</v>
      </c>
      <c r="J17" s="293">
        <f t="shared" si="2"/>
        <v>8892833.333333334</v>
      </c>
      <c r="K17" s="293">
        <f t="shared" si="2"/>
        <v>8892833.333333334</v>
      </c>
      <c r="L17" s="293">
        <f t="shared" si="2"/>
        <v>8892833.333333334</v>
      </c>
      <c r="M17" s="293">
        <f t="shared" si="2"/>
        <v>8892833.333333334</v>
      </c>
      <c r="N17" s="293">
        <f t="shared" si="2"/>
        <v>8892833.333333334</v>
      </c>
      <c r="O17" s="293">
        <f t="shared" si="2"/>
        <v>8892833.333333334</v>
      </c>
      <c r="P17" s="294"/>
    </row>
    <row r="18" spans="1:16" ht="33.75" customHeight="1">
      <c r="A18" s="287" t="s">
        <v>103</v>
      </c>
      <c r="B18" s="291" t="s">
        <v>325</v>
      </c>
      <c r="C18" s="292">
        <f>'1.sz.m.'!X18</f>
        <v>79133418</v>
      </c>
      <c r="D18" s="293">
        <f t="shared" si="1"/>
        <v>6594451.5</v>
      </c>
      <c r="E18" s="293">
        <f t="shared" si="2"/>
        <v>6594451.5</v>
      </c>
      <c r="F18" s="293">
        <f t="shared" si="2"/>
        <v>6594451.5</v>
      </c>
      <c r="G18" s="293">
        <f t="shared" si="2"/>
        <v>6594451.5</v>
      </c>
      <c r="H18" s="293">
        <f t="shared" si="2"/>
        <v>6594451.5</v>
      </c>
      <c r="I18" s="293">
        <f t="shared" si="2"/>
        <v>6594451.5</v>
      </c>
      <c r="J18" s="293">
        <f t="shared" si="2"/>
        <v>6594451.5</v>
      </c>
      <c r="K18" s="293">
        <f t="shared" si="2"/>
        <v>6594451.5</v>
      </c>
      <c r="L18" s="293">
        <f t="shared" si="2"/>
        <v>6594451.5</v>
      </c>
      <c r="M18" s="293">
        <f t="shared" si="2"/>
        <v>6594451.5</v>
      </c>
      <c r="N18" s="293">
        <f t="shared" si="2"/>
        <v>6594451.5</v>
      </c>
      <c r="O18" s="293">
        <f t="shared" si="2"/>
        <v>6594451.5</v>
      </c>
      <c r="P18" s="294"/>
    </row>
    <row r="19" spans="1:16" ht="33.75" customHeight="1">
      <c r="A19" s="287"/>
      <c r="B19" s="291" t="s">
        <v>402</v>
      </c>
      <c r="C19" s="292">
        <f>'1.sz.m.'!AG18</f>
        <v>293564698</v>
      </c>
      <c r="D19" s="293">
        <v>43564698</v>
      </c>
      <c r="E19" s="293"/>
      <c r="F19" s="293"/>
      <c r="G19" s="293"/>
      <c r="H19" s="293"/>
      <c r="I19" s="293"/>
      <c r="J19" s="293"/>
      <c r="K19" s="293"/>
      <c r="L19" s="293">
        <v>250000000</v>
      </c>
      <c r="M19" s="293"/>
      <c r="N19" s="293"/>
      <c r="O19" s="293"/>
      <c r="P19" s="294"/>
    </row>
    <row r="20" spans="1:16" ht="24.75" customHeight="1">
      <c r="A20" s="287" t="s">
        <v>104</v>
      </c>
      <c r="B20" s="291" t="s">
        <v>326</v>
      </c>
      <c r="C20" s="292">
        <f>'1.sz.m.'!S18+'1.sz.m.'!AD18</f>
        <v>1819668784</v>
      </c>
      <c r="D20" s="293">
        <f t="shared" si="1"/>
        <v>151639065.33333334</v>
      </c>
      <c r="E20" s="293">
        <f t="shared" si="2"/>
        <v>151639065.33333334</v>
      </c>
      <c r="F20" s="293">
        <f t="shared" si="2"/>
        <v>151639065.33333334</v>
      </c>
      <c r="G20" s="293">
        <f t="shared" si="2"/>
        <v>151639065.33333334</v>
      </c>
      <c r="H20" s="293">
        <f t="shared" si="2"/>
        <v>151639065.33333334</v>
      </c>
      <c r="I20" s="293">
        <f t="shared" si="2"/>
        <v>151639065.33333334</v>
      </c>
      <c r="J20" s="293">
        <f t="shared" si="2"/>
        <v>151639065.33333334</v>
      </c>
      <c r="K20" s="293">
        <f t="shared" si="2"/>
        <v>151639065.33333334</v>
      </c>
      <c r="L20" s="293">
        <f t="shared" si="2"/>
        <v>151639065.33333334</v>
      </c>
      <c r="M20" s="293">
        <f t="shared" si="2"/>
        <v>151639065.33333334</v>
      </c>
      <c r="N20" s="293">
        <f t="shared" si="2"/>
        <v>151639065.33333334</v>
      </c>
      <c r="O20" s="293">
        <f t="shared" si="2"/>
        <v>151639065.33333334</v>
      </c>
      <c r="P20" s="294"/>
    </row>
    <row r="21" spans="1:16" s="290" customFormat="1" ht="24.75" customHeight="1">
      <c r="A21" s="287" t="s">
        <v>105</v>
      </c>
      <c r="B21" s="297" t="s">
        <v>327</v>
      </c>
      <c r="C21" s="292">
        <f>SUM(C13:C20)</f>
        <v>5537940788</v>
      </c>
      <c r="D21" s="292">
        <f aca="true" t="shared" si="3" ref="D21:O21">SUM(D13:D20)</f>
        <v>432513705.5</v>
      </c>
      <c r="E21" s="292">
        <f t="shared" si="3"/>
        <v>388949007.5</v>
      </c>
      <c r="F21" s="292">
        <f t="shared" si="3"/>
        <v>619744007.5</v>
      </c>
      <c r="G21" s="292">
        <f t="shared" si="3"/>
        <v>388949007.5</v>
      </c>
      <c r="H21" s="292">
        <f t="shared" si="3"/>
        <v>444347007.5</v>
      </c>
      <c r="I21" s="292">
        <f t="shared" si="3"/>
        <v>388949007.5</v>
      </c>
      <c r="J21" s="292">
        <f t="shared" si="3"/>
        <v>388949007.5</v>
      </c>
      <c r="K21" s="292">
        <f t="shared" si="3"/>
        <v>388949007.5</v>
      </c>
      <c r="L21" s="292">
        <f t="shared" si="3"/>
        <v>869744007.5</v>
      </c>
      <c r="M21" s="292">
        <f t="shared" si="3"/>
        <v>388949007.5</v>
      </c>
      <c r="N21" s="292">
        <f t="shared" si="3"/>
        <v>388949007.5</v>
      </c>
      <c r="O21" s="292">
        <f t="shared" si="3"/>
        <v>448949007.5</v>
      </c>
      <c r="P21" s="294" t="s">
        <v>171</v>
      </c>
    </row>
    <row r="23" spans="4:15" ht="12.75"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</row>
    <row r="24" spans="4:15" ht="12.75"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</row>
    <row r="25" spans="4:15" ht="12.75"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</row>
    <row r="26" spans="4:15" ht="12.75"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</row>
    <row r="27" spans="4:15" ht="12.75"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</row>
    <row r="28" spans="4:15" ht="12.75"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</row>
    <row r="30" spans="10:23" ht="20.25"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</row>
    <row r="36" spans="2:15" ht="12.75"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575"/>
      <c r="N36" s="582"/>
      <c r="O36" s="582"/>
    </row>
    <row r="37" spans="2:15" ht="12.75"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301"/>
      <c r="O37" s="301"/>
    </row>
    <row r="38" spans="2:15" ht="12.75"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301"/>
      <c r="O38" s="301"/>
    </row>
    <row r="39" spans="2:15" ht="12.75"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</row>
    <row r="40" spans="2:15" ht="22.5"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</row>
    <row r="41" spans="2:15" ht="20.25"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</row>
    <row r="42" spans="2:15" ht="20.25"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</row>
    <row r="43" spans="2:15" ht="20.25"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</row>
    <row r="44" spans="2:15" ht="20.25"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</row>
    <row r="45" spans="2:15" ht="12.75"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575"/>
      <c r="O45" s="575"/>
    </row>
    <row r="46" spans="2:15" ht="12.75">
      <c r="B46" s="303"/>
      <c r="C46" s="303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</row>
    <row r="47" spans="2:15" ht="24.75" customHeight="1">
      <c r="B47" s="305"/>
      <c r="C47" s="298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</row>
    <row r="48" spans="2:15" ht="24.75" customHeight="1">
      <c r="B48" s="305"/>
      <c r="C48" s="298"/>
      <c r="D48" s="307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</row>
    <row r="49" spans="2:15" ht="24.75" customHeight="1">
      <c r="B49" s="305"/>
      <c r="C49" s="298"/>
      <c r="D49" s="307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</row>
    <row r="50" spans="2:15" ht="24.75" customHeight="1">
      <c r="B50" s="305"/>
      <c r="C50" s="298"/>
      <c r="D50" s="307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</row>
    <row r="51" spans="2:15" ht="24.75" customHeight="1">
      <c r="B51" s="305"/>
      <c r="C51" s="298"/>
      <c r="D51" s="307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</row>
    <row r="52" spans="2:15" ht="24.75" customHeight="1">
      <c r="B52" s="305"/>
      <c r="C52" s="298"/>
      <c r="D52" s="307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</row>
    <row r="53" spans="2:15" ht="24.75" customHeight="1">
      <c r="B53" s="305"/>
      <c r="C53" s="298"/>
      <c r="D53" s="307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</row>
    <row r="54" spans="2:15" ht="24.75" customHeight="1">
      <c r="B54" s="305"/>
      <c r="C54" s="298"/>
      <c r="D54" s="307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</row>
    <row r="55" spans="2:15" ht="24.75" customHeight="1">
      <c r="B55" s="30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</row>
  </sheetData>
  <sheetProtection/>
  <mergeCells count="11">
    <mergeCell ref="B2:F2"/>
    <mergeCell ref="I2:O2"/>
    <mergeCell ref="B6:O6"/>
    <mergeCell ref="B7:O7"/>
    <mergeCell ref="B9:O9"/>
    <mergeCell ref="N10:O10"/>
    <mergeCell ref="J30:W30"/>
    <mergeCell ref="M36:O36"/>
    <mergeCell ref="B40:O40"/>
    <mergeCell ref="B41:O41"/>
    <mergeCell ref="N45:O45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6.00390625" style="283" customWidth="1"/>
    <col min="2" max="2" width="31.421875" style="283" customWidth="1"/>
    <col min="3" max="3" width="12.7109375" style="283" bestFit="1" customWidth="1"/>
    <col min="4" max="15" width="11.140625" style="283" bestFit="1" customWidth="1"/>
    <col min="16" max="16" width="12.7109375" style="283" bestFit="1" customWidth="1"/>
    <col min="17" max="16384" width="9.140625" style="283" customWidth="1"/>
  </cols>
  <sheetData>
    <row r="2" spans="1:15" ht="15.75">
      <c r="A2" s="282"/>
      <c r="B2" s="585"/>
      <c r="C2" s="585"/>
      <c r="D2" s="586"/>
      <c r="E2" s="586"/>
      <c r="F2" s="586"/>
      <c r="I2" s="587" t="s">
        <v>414</v>
      </c>
      <c r="J2" s="587"/>
      <c r="K2" s="587"/>
      <c r="L2" s="587"/>
      <c r="M2" s="587"/>
      <c r="N2" s="587"/>
      <c r="O2" s="587"/>
    </row>
    <row r="3" ht="12.75">
      <c r="A3" s="282"/>
    </row>
    <row r="4" ht="12.75">
      <c r="A4" s="282"/>
    </row>
    <row r="5" ht="12.75">
      <c r="A5" s="282"/>
    </row>
    <row r="6" spans="1:15" ht="20.25">
      <c r="A6" s="282"/>
      <c r="B6" s="581" t="s">
        <v>305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</row>
    <row r="7" spans="1:15" ht="20.25">
      <c r="A7" s="282"/>
      <c r="B7" s="581" t="s">
        <v>328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</row>
    <row r="8" spans="1:15" ht="19.5" customHeight="1">
      <c r="A8" s="282"/>
      <c r="B8" s="581" t="s">
        <v>307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</row>
    <row r="9" spans="1:15" ht="12.75" customHeight="1">
      <c r="A9" s="282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588" t="s">
        <v>329</v>
      </c>
      <c r="N9" s="588"/>
      <c r="O9" s="588"/>
    </row>
    <row r="10" spans="1:15" ht="12.75" customHeight="1">
      <c r="A10" s="282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</row>
    <row r="11" spans="1:15" ht="12.75">
      <c r="A11" s="309"/>
      <c r="B11" s="286" t="s">
        <v>0</v>
      </c>
      <c r="C11" s="286" t="s">
        <v>1</v>
      </c>
      <c r="D11" s="286" t="s">
        <v>2</v>
      </c>
      <c r="E11" s="286" t="s">
        <v>3</v>
      </c>
      <c r="F11" s="286" t="s">
        <v>4</v>
      </c>
      <c r="G11" s="286" t="s">
        <v>5</v>
      </c>
      <c r="H11" s="286" t="s">
        <v>6</v>
      </c>
      <c r="I11" s="286" t="s">
        <v>7</v>
      </c>
      <c r="J11" s="286" t="s">
        <v>8</v>
      </c>
      <c r="K11" s="286" t="s">
        <v>9</v>
      </c>
      <c r="L11" s="286" t="s">
        <v>10</v>
      </c>
      <c r="M11" s="286" t="s">
        <v>11</v>
      </c>
      <c r="N11" s="286" t="s">
        <v>12</v>
      </c>
      <c r="O11" s="286" t="s">
        <v>13</v>
      </c>
    </row>
    <row r="12" spans="1:15" ht="25.5">
      <c r="A12" s="310" t="s">
        <v>97</v>
      </c>
      <c r="B12" s="288" t="s">
        <v>330</v>
      </c>
      <c r="C12" s="288" t="s">
        <v>310</v>
      </c>
      <c r="D12" s="289" t="s">
        <v>311</v>
      </c>
      <c r="E12" s="289" t="s">
        <v>312</v>
      </c>
      <c r="F12" s="289" t="s">
        <v>313</v>
      </c>
      <c r="G12" s="289" t="s">
        <v>314</v>
      </c>
      <c r="H12" s="289" t="s">
        <v>315</v>
      </c>
      <c r="I12" s="289" t="s">
        <v>316</v>
      </c>
      <c r="J12" s="289" t="s">
        <v>317</v>
      </c>
      <c r="K12" s="289" t="s">
        <v>318</v>
      </c>
      <c r="L12" s="289" t="s">
        <v>319</v>
      </c>
      <c r="M12" s="289" t="s">
        <v>320</v>
      </c>
      <c r="N12" s="289" t="s">
        <v>321</v>
      </c>
      <c r="O12" s="289" t="s">
        <v>322</v>
      </c>
    </row>
    <row r="13" spans="1:16" ht="24" customHeight="1">
      <c r="A13" s="310" t="s">
        <v>98</v>
      </c>
      <c r="B13" s="291" t="s">
        <v>74</v>
      </c>
      <c r="C13" s="292">
        <f>'2.sz.m.'!D18</f>
        <v>1145544217</v>
      </c>
      <c r="D13" s="293">
        <f>C13/12</f>
        <v>95462018.08333333</v>
      </c>
      <c r="E13" s="293">
        <f>D13</f>
        <v>95462018.08333333</v>
      </c>
      <c r="F13" s="293">
        <f>E13</f>
        <v>95462018.08333333</v>
      </c>
      <c r="G13" s="293">
        <f aca="true" t="shared" si="0" ref="G13:N13">F13</f>
        <v>95462018.08333333</v>
      </c>
      <c r="H13" s="293">
        <f t="shared" si="0"/>
        <v>95462018.08333333</v>
      </c>
      <c r="I13" s="293">
        <f t="shared" si="0"/>
        <v>95462018.08333333</v>
      </c>
      <c r="J13" s="293">
        <f t="shared" si="0"/>
        <v>95462018.08333333</v>
      </c>
      <c r="K13" s="293">
        <f t="shared" si="0"/>
        <v>95462018.08333333</v>
      </c>
      <c r="L13" s="293">
        <f t="shared" si="0"/>
        <v>95462018.08333333</v>
      </c>
      <c r="M13" s="293">
        <f t="shared" si="0"/>
        <v>95462018.08333333</v>
      </c>
      <c r="N13" s="293">
        <f t="shared" si="0"/>
        <v>95462018.08333333</v>
      </c>
      <c r="O13" s="293">
        <f>N13</f>
        <v>95462018.08333333</v>
      </c>
      <c r="P13" s="294"/>
    </row>
    <row r="14" spans="1:16" ht="24.75" customHeight="1">
      <c r="A14" s="310" t="s">
        <v>99</v>
      </c>
      <c r="B14" s="291" t="s">
        <v>331</v>
      </c>
      <c r="C14" s="292">
        <f>'2.sz.m.'!G18</f>
        <v>214559385</v>
      </c>
      <c r="D14" s="293">
        <f>C14/12</f>
        <v>17879948.75</v>
      </c>
      <c r="E14" s="293">
        <f>D14</f>
        <v>17879948.75</v>
      </c>
      <c r="F14" s="293">
        <f aca="true" t="shared" si="1" ref="F14:O14">E14</f>
        <v>17879948.75</v>
      </c>
      <c r="G14" s="293">
        <f t="shared" si="1"/>
        <v>17879948.75</v>
      </c>
      <c r="H14" s="293">
        <f t="shared" si="1"/>
        <v>17879948.75</v>
      </c>
      <c r="I14" s="293">
        <f t="shared" si="1"/>
        <v>17879948.75</v>
      </c>
      <c r="J14" s="293">
        <f t="shared" si="1"/>
        <v>17879948.75</v>
      </c>
      <c r="K14" s="293">
        <f t="shared" si="1"/>
        <v>17879948.75</v>
      </c>
      <c r="L14" s="293">
        <f t="shared" si="1"/>
        <v>17879948.75</v>
      </c>
      <c r="M14" s="293">
        <f t="shared" si="1"/>
        <v>17879948.75</v>
      </c>
      <c r="N14" s="293">
        <f t="shared" si="1"/>
        <v>17879948.75</v>
      </c>
      <c r="O14" s="293">
        <f t="shared" si="1"/>
        <v>17879948.75</v>
      </c>
      <c r="P14" s="294"/>
    </row>
    <row r="15" spans="1:16" s="282" customFormat="1" ht="24.75" customHeight="1">
      <c r="A15" s="310" t="s">
        <v>100</v>
      </c>
      <c r="B15" s="311" t="s">
        <v>332</v>
      </c>
      <c r="C15" s="312">
        <f>'2.sz.m.'!J18</f>
        <v>975978217</v>
      </c>
      <c r="D15" s="293">
        <f>C15/12</f>
        <v>81331518.08333333</v>
      </c>
      <c r="E15" s="293">
        <f aca="true" t="shared" si="2" ref="E15:O17">D15</f>
        <v>81331518.08333333</v>
      </c>
      <c r="F15" s="293">
        <f t="shared" si="2"/>
        <v>81331518.08333333</v>
      </c>
      <c r="G15" s="293">
        <f t="shared" si="2"/>
        <v>81331518.08333333</v>
      </c>
      <c r="H15" s="293">
        <f t="shared" si="2"/>
        <v>81331518.08333333</v>
      </c>
      <c r="I15" s="293">
        <f t="shared" si="2"/>
        <v>81331518.08333333</v>
      </c>
      <c r="J15" s="293">
        <f t="shared" si="2"/>
        <v>81331518.08333333</v>
      </c>
      <c r="K15" s="293">
        <f t="shared" si="2"/>
        <v>81331518.08333333</v>
      </c>
      <c r="L15" s="293">
        <f t="shared" si="2"/>
        <v>81331518.08333333</v>
      </c>
      <c r="M15" s="293">
        <f t="shared" si="2"/>
        <v>81331518.08333333</v>
      </c>
      <c r="N15" s="293">
        <f t="shared" si="2"/>
        <v>81331518.08333333</v>
      </c>
      <c r="O15" s="293">
        <f t="shared" si="2"/>
        <v>81331518.08333333</v>
      </c>
      <c r="P15" s="294"/>
    </row>
    <row r="16" spans="1:16" ht="24.75" customHeight="1">
      <c r="A16" s="310" t="s">
        <v>101</v>
      </c>
      <c r="B16" s="291" t="s">
        <v>78</v>
      </c>
      <c r="C16" s="292">
        <f>'2.sz.m.'!P18</f>
        <v>902194288</v>
      </c>
      <c r="D16" s="293">
        <f>C16/12</f>
        <v>75182857.33333333</v>
      </c>
      <c r="E16" s="293">
        <f t="shared" si="2"/>
        <v>75182857.33333333</v>
      </c>
      <c r="F16" s="293">
        <f t="shared" si="2"/>
        <v>75182857.33333333</v>
      </c>
      <c r="G16" s="293">
        <f t="shared" si="2"/>
        <v>75182857.33333333</v>
      </c>
      <c r="H16" s="293">
        <f t="shared" si="2"/>
        <v>75182857.33333333</v>
      </c>
      <c r="I16" s="293">
        <f t="shared" si="2"/>
        <v>75182857.33333333</v>
      </c>
      <c r="J16" s="293">
        <f t="shared" si="2"/>
        <v>75182857.33333333</v>
      </c>
      <c r="K16" s="293">
        <f t="shared" si="2"/>
        <v>75182857.33333333</v>
      </c>
      <c r="L16" s="293">
        <f t="shared" si="2"/>
        <v>75182857.33333333</v>
      </c>
      <c r="M16" s="293">
        <f t="shared" si="2"/>
        <v>75182857.33333333</v>
      </c>
      <c r="N16" s="293">
        <f t="shared" si="2"/>
        <v>75182857.33333333</v>
      </c>
      <c r="O16" s="293">
        <f t="shared" si="2"/>
        <v>75182857.33333333</v>
      </c>
      <c r="P16" s="294"/>
    </row>
    <row r="17" spans="1:16" ht="24.75" customHeight="1">
      <c r="A17" s="310" t="s">
        <v>102</v>
      </c>
      <c r="B17" s="291" t="s">
        <v>333</v>
      </c>
      <c r="C17" s="292">
        <f>'2.sz.m.'!M18</f>
        <v>113810500</v>
      </c>
      <c r="D17" s="293">
        <f>C17/12</f>
        <v>9484208.333333334</v>
      </c>
      <c r="E17" s="293">
        <f t="shared" si="2"/>
        <v>9484208.333333334</v>
      </c>
      <c r="F17" s="293">
        <f t="shared" si="2"/>
        <v>9484208.333333334</v>
      </c>
      <c r="G17" s="293">
        <f t="shared" si="2"/>
        <v>9484208.333333334</v>
      </c>
      <c r="H17" s="293">
        <f t="shared" si="2"/>
        <v>9484208.333333334</v>
      </c>
      <c r="I17" s="293">
        <f t="shared" si="2"/>
        <v>9484208.333333334</v>
      </c>
      <c r="J17" s="293">
        <f t="shared" si="2"/>
        <v>9484208.333333334</v>
      </c>
      <c r="K17" s="293">
        <f t="shared" si="2"/>
        <v>9484208.333333334</v>
      </c>
      <c r="L17" s="293">
        <f t="shared" si="2"/>
        <v>9484208.333333334</v>
      </c>
      <c r="M17" s="293">
        <f t="shared" si="2"/>
        <v>9484208.333333334</v>
      </c>
      <c r="N17" s="293">
        <f t="shared" si="2"/>
        <v>9484208.333333334</v>
      </c>
      <c r="O17" s="293">
        <f t="shared" si="2"/>
        <v>9484208.333333334</v>
      </c>
      <c r="P17" s="294"/>
    </row>
    <row r="18" spans="1:16" ht="24.75" customHeight="1">
      <c r="A18" s="310" t="s">
        <v>103</v>
      </c>
      <c r="B18" s="291" t="s">
        <v>80</v>
      </c>
      <c r="C18" s="292">
        <f>'2.sz.m.'!AH18+'2.sz.m.'!V18</f>
        <v>89023239</v>
      </c>
      <c r="D18" s="293">
        <v>45458541</v>
      </c>
      <c r="E18" s="293">
        <v>0</v>
      </c>
      <c r="F18" s="293">
        <v>0</v>
      </c>
      <c r="G18" s="293">
        <v>6000000</v>
      </c>
      <c r="H18" s="293">
        <v>8000000</v>
      </c>
      <c r="I18" s="293">
        <v>29564698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4"/>
    </row>
    <row r="19" spans="1:16" ht="24.75" customHeight="1">
      <c r="A19" s="310" t="s">
        <v>104</v>
      </c>
      <c r="B19" s="291" t="s">
        <v>334</v>
      </c>
      <c r="C19" s="292">
        <f>'2.sz.m.'!AB18+'2.sz.m.'!AE18</f>
        <v>314511872</v>
      </c>
      <c r="D19" s="293">
        <f>C19/12</f>
        <v>26209322.666666668</v>
      </c>
      <c r="E19" s="293">
        <f>D19</f>
        <v>26209322.666666668</v>
      </c>
      <c r="F19" s="293">
        <f aca="true" t="shared" si="3" ref="F19:N20">E19</f>
        <v>26209322.666666668</v>
      </c>
      <c r="G19" s="293">
        <f t="shared" si="3"/>
        <v>26209322.666666668</v>
      </c>
      <c r="H19" s="293">
        <f t="shared" si="3"/>
        <v>26209322.666666668</v>
      </c>
      <c r="I19" s="293">
        <f t="shared" si="3"/>
        <v>26209322.666666668</v>
      </c>
      <c r="J19" s="293">
        <f t="shared" si="3"/>
        <v>26209322.666666668</v>
      </c>
      <c r="K19" s="293">
        <f t="shared" si="3"/>
        <v>26209322.666666668</v>
      </c>
      <c r="L19" s="293">
        <f t="shared" si="3"/>
        <v>26209322.666666668</v>
      </c>
      <c r="M19" s="293">
        <f t="shared" si="3"/>
        <v>26209322.666666668</v>
      </c>
      <c r="N19" s="293">
        <f t="shared" si="3"/>
        <v>26209322.666666668</v>
      </c>
      <c r="O19" s="293">
        <f>N19</f>
        <v>26209322.666666668</v>
      </c>
      <c r="P19" s="294"/>
    </row>
    <row r="20" spans="1:16" ht="24.75" customHeight="1">
      <c r="A20" s="310" t="s">
        <v>105</v>
      </c>
      <c r="B20" s="291" t="s">
        <v>335</v>
      </c>
      <c r="C20" s="292">
        <f>'2.sz.m.'!AK18+'2.sz.m.'!S18</f>
        <v>1782319070</v>
      </c>
      <c r="D20" s="293">
        <f>C20/12</f>
        <v>148526589.16666666</v>
      </c>
      <c r="E20" s="293">
        <f>D20</f>
        <v>148526589.16666666</v>
      </c>
      <c r="F20" s="293">
        <f t="shared" si="3"/>
        <v>148526589.16666666</v>
      </c>
      <c r="G20" s="293">
        <f t="shared" si="3"/>
        <v>148526589.16666666</v>
      </c>
      <c r="H20" s="293">
        <f t="shared" si="3"/>
        <v>148526589.16666666</v>
      </c>
      <c r="I20" s="293">
        <f t="shared" si="3"/>
        <v>148526589.16666666</v>
      </c>
      <c r="J20" s="293">
        <f t="shared" si="3"/>
        <v>148526589.16666666</v>
      </c>
      <c r="K20" s="293">
        <f>J20</f>
        <v>148526589.16666666</v>
      </c>
      <c r="L20" s="293">
        <f>K20</f>
        <v>148526589.16666666</v>
      </c>
      <c r="M20" s="293">
        <f>L20</f>
        <v>148526589.16666666</v>
      </c>
      <c r="N20" s="293">
        <f>M20</f>
        <v>148526589.16666666</v>
      </c>
      <c r="O20" s="293">
        <f>N20</f>
        <v>148526589.16666666</v>
      </c>
      <c r="P20" s="294"/>
    </row>
    <row r="21" spans="1:16" ht="24.75" customHeight="1">
      <c r="A21" s="310" t="s">
        <v>107</v>
      </c>
      <c r="B21" s="297" t="s">
        <v>336</v>
      </c>
      <c r="C21" s="292">
        <f>SUM(C13:C20)</f>
        <v>5537940788</v>
      </c>
      <c r="D21" s="292">
        <f aca="true" t="shared" si="4" ref="D21:O21">SUM(D13:D20)</f>
        <v>499535003.4166666</v>
      </c>
      <c r="E21" s="292">
        <f t="shared" si="4"/>
        <v>454076462.4166666</v>
      </c>
      <c r="F21" s="292">
        <f t="shared" si="4"/>
        <v>454076462.4166666</v>
      </c>
      <c r="G21" s="292">
        <f t="shared" si="4"/>
        <v>460076462.4166666</v>
      </c>
      <c r="H21" s="292">
        <f t="shared" si="4"/>
        <v>462076462.4166666</v>
      </c>
      <c r="I21" s="292">
        <f t="shared" si="4"/>
        <v>483641160.4166666</v>
      </c>
      <c r="J21" s="292">
        <f t="shared" si="4"/>
        <v>454076462.4166666</v>
      </c>
      <c r="K21" s="292">
        <f t="shared" si="4"/>
        <v>454076462.4166666</v>
      </c>
      <c r="L21" s="292">
        <f t="shared" si="4"/>
        <v>454076462.4166666</v>
      </c>
      <c r="M21" s="292">
        <f t="shared" si="4"/>
        <v>454076462.4166666</v>
      </c>
      <c r="N21" s="292">
        <f t="shared" si="4"/>
        <v>454076462.4166666</v>
      </c>
      <c r="O21" s="292">
        <f t="shared" si="4"/>
        <v>454076462.4166666</v>
      </c>
      <c r="P21" s="294"/>
    </row>
  </sheetData>
  <sheetProtection/>
  <mergeCells count="6">
    <mergeCell ref="B2:F2"/>
    <mergeCell ref="I2:O2"/>
    <mergeCell ref="B6:O6"/>
    <mergeCell ref="B7:O7"/>
    <mergeCell ref="B8:O8"/>
    <mergeCell ref="M9:O9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Sós Magdolna</dc:creator>
  <cp:keywords/>
  <dc:description/>
  <cp:lastModifiedBy>Dr. Tőkés Judit</cp:lastModifiedBy>
  <cp:lastPrinted>2018-08-30T08:57:44Z</cp:lastPrinted>
  <dcterms:created xsi:type="dcterms:W3CDTF">2017-10-25T06:46:59Z</dcterms:created>
  <dcterms:modified xsi:type="dcterms:W3CDTF">2018-08-31T06:43:18Z</dcterms:modified>
  <cp:category/>
  <cp:version/>
  <cp:contentType/>
  <cp:contentStatus/>
</cp:coreProperties>
</file>