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13" activeTab="18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. - beruházások" sheetId="9" r:id="rId9"/>
    <sheet name="9.mell.-felújítások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" sheetId="18" r:id="rId18"/>
    <sheet name="18,mell." sheetId="19" r:id="rId19"/>
  </sheets>
  <externalReferences>
    <externalReference r:id="rId22"/>
    <externalReference r:id="rId23"/>
  </externalReferences>
  <definedNames>
    <definedName name="_xlnm.Print_Titles" localSheetId="2">'2.mell - bevétel'!$8:$10</definedName>
    <definedName name="_xlnm.Print_Area" localSheetId="2">'2.mell - bevétel'!$A$1:$I$115</definedName>
  </definedNames>
  <calcPr fullCalcOnLoad="1"/>
</workbook>
</file>

<file path=xl/sharedStrings.xml><?xml version="1.0" encoding="utf-8"?>
<sst xmlns="http://schemas.openxmlformats.org/spreadsheetml/2006/main" count="964" uniqueCount="539">
  <si>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</si>
  <si>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</si>
  <si>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</si>
  <si>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</si>
  <si>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</si>
  <si>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</si>
  <si>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</si>
  <si>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</si>
  <si>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</si>
  <si>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</si>
  <si>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</si>
  <si>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</si>
  <si>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</si>
  <si>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</si>
  <si>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</si>
  <si>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</si>
  <si>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</si>
  <si>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</si>
  <si>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</si>
  <si>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</si>
  <si>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</si>
  <si>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</si>
  <si>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</si>
  <si>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</si>
  <si>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</si>
  <si>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</si>
  <si>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</si>
  <si>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</si>
  <si>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</si>
  <si>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</si>
  <si>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</si>
  <si>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</si>
  <si>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</si>
  <si>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</si>
  <si>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</si>
  <si>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</si>
  <si>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</si>
  <si>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</si>
  <si>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</si>
  <si>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</si>
  <si>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</si>
  <si>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 xml:space="preserve">Tekeszakosztály 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</si>
  <si>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</si>
  <si>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</si>
  <si>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</si>
  <si>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</si>
  <si>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</si>
  <si>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</si>
  <si>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</si>
  <si>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</si>
  <si>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</si>
  <si>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</si>
  <si>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</si>
  <si>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</si>
  <si>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</si>
  <si>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</si>
  <si>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</si>
  <si>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</si>
  <si>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</si>
  <si>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</si>
  <si>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</si>
  <si>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</si>
  <si>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</si>
  <si>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</si>
  <si>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</si>
  <si>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</si>
  <si>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</si>
  <si>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</si>
  <si>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>Labdarugó Szakosztály támogatása</t>
  </si>
  <si>
    <t xml:space="preserve">Tanévkezdési támogatás 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</si>
  <si>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</si>
  <si>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</si>
  <si>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</si>
  <si>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</si>
  <si>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</si>
  <si>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</si>
  <si>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</si>
  <si>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</si>
  <si>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</si>
  <si>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</si>
  <si>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</si>
  <si>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</si>
  <si>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</si>
  <si>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</si>
  <si>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</si>
  <si>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</si>
  <si>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</si>
  <si>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</si>
  <si>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</si>
  <si>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</si>
  <si>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</si>
  <si>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</si>
  <si>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</si>
  <si>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</si>
  <si>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</si>
  <si>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</si>
  <si>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</si>
  <si>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</si>
  <si>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</si>
  <si>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</si>
  <si>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</si>
  <si>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</si>
  <si>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</si>
  <si>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</si>
  <si>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</si>
  <si>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</si>
  <si>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</si>
  <si>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</si>
  <si>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</si>
  <si>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</si>
  <si>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</si>
  <si>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</si>
  <si>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</si>
  <si>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</si>
  <si>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</si>
  <si>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</si>
  <si>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</si>
  <si>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</si>
  <si>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</si>
  <si>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</si>
  <si>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</si>
  <si>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</si>
  <si>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</si>
  <si>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</si>
  <si>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</si>
  <si>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</si>
  <si>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</si>
  <si>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</si>
  <si>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</si>
  <si>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</si>
  <si>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</si>
  <si>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</si>
  <si>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</si>
  <si>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</si>
  <si>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</si>
  <si>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</si>
  <si>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</si>
  <si>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</si>
  <si>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</si>
  <si>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</si>
  <si>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</si>
  <si>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</si>
  <si>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</si>
  <si>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</si>
  <si>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</si>
  <si>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</si>
  <si>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</si>
  <si>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</si>
  <si>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</si>
  <si>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</si>
  <si>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</si>
  <si>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</si>
  <si>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</si>
  <si>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</si>
  <si>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</si>
  <si>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</si>
  <si>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</si>
  <si>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</si>
  <si>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</si>
  <si>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</si>
  <si>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</si>
  <si>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</si>
  <si>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</si>
  <si>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</si>
  <si>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</si>
  <si>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</si>
  <si>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</si>
  <si>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</si>
  <si>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</si>
  <si>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</si>
  <si>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</si>
  <si>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</si>
  <si>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</si>
  <si>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</si>
  <si>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</si>
  <si>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</si>
  <si>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</si>
  <si>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</si>
  <si>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</si>
  <si>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</si>
  <si>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</si>
  <si>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</si>
  <si>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</si>
  <si>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</si>
  <si>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</si>
  <si>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</si>
  <si>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</si>
  <si>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</si>
  <si>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</si>
  <si>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</si>
  <si>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</si>
  <si>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</si>
  <si>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</si>
  <si>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</si>
  <si>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</si>
  <si>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Működési célú átvett pénzeszközök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</si>
  <si>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</si>
  <si>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</si>
  <si>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</si>
  <si>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</si>
  <si>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</si>
  <si>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</si>
  <si>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</si>
  <si>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</si>
  <si>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</si>
  <si>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Egyéb felhalmozási kiadások</t>
  </si>
  <si>
    <t>16.</t>
  </si>
  <si>
    <t>17.</t>
  </si>
  <si>
    <t>18.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</si>
  <si>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</si>
  <si>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</si>
  <si>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</si>
  <si>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</si>
  <si>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</si>
  <si>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</si>
  <si>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</si>
  <si>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</si>
  <si>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</si>
  <si>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</si>
  <si>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</si>
  <si>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</si>
  <si>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</si>
  <si>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</si>
  <si>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</si>
  <si>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</si>
  <si>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</si>
  <si>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</si>
  <si>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</si>
  <si>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</si>
  <si>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</si>
  <si>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</si>
  <si>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</si>
  <si>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</si>
  <si>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</si>
  <si>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</si>
  <si>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</si>
  <si>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</si>
  <si>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</si>
  <si>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</si>
  <si>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</si>
  <si>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</si>
  <si>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</si>
  <si>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</si>
  <si>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</si>
  <si>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</si>
  <si>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</si>
  <si>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</si>
  <si>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</si>
  <si>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</si>
  <si>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</si>
  <si>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</si>
  <si>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</si>
  <si>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</si>
  <si>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</si>
  <si>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</si>
  <si>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</si>
  <si>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</si>
  <si>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</si>
  <si>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</si>
  <si>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</si>
  <si>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</si>
  <si>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</si>
  <si>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</si>
  <si>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</si>
  <si>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</si>
  <si>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</si>
  <si>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</si>
  <si>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</si>
  <si>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</si>
  <si>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</si>
  <si>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</si>
  <si>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</si>
  <si>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</si>
  <si>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</si>
  <si>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</si>
  <si>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</si>
  <si>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</si>
  <si>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</si>
  <si>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</si>
  <si>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</si>
  <si>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</si>
  <si>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</si>
  <si>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</si>
  <si>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</si>
  <si>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</si>
  <si>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</si>
  <si>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</si>
  <si>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</si>
  <si>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</si>
  <si>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</si>
  <si>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</si>
  <si>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</si>
  <si>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</si>
  <si>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</si>
  <si>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</si>
  <si>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</si>
  <si>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</si>
  <si>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</si>
  <si>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</si>
  <si>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</si>
  <si>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</si>
  <si>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</si>
  <si>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</si>
  <si>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</si>
  <si>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</si>
  <si>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</si>
  <si>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</si>
  <si>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</si>
  <si>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</si>
  <si>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</si>
  <si>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</si>
  <si>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</si>
  <si>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</si>
  <si>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</si>
  <si>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</si>
  <si>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</si>
  <si>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</si>
  <si>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</si>
  <si>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</si>
  <si>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</si>
  <si>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</si>
  <si>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</si>
  <si>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</si>
  <si>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</si>
  <si>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</si>
  <si>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</si>
  <si>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</si>
  <si>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</si>
  <si>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</si>
  <si>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</si>
  <si>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</si>
  <si>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</si>
  <si>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</si>
  <si>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</si>
  <si>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</si>
  <si>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</si>
  <si>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</si>
  <si>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</si>
  <si>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</si>
  <si>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</si>
  <si>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</si>
  <si>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</si>
  <si>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</si>
  <si>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</si>
  <si>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</si>
  <si>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</si>
  <si>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</si>
  <si>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</si>
  <si>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</si>
  <si>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</si>
  <si>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</si>
  <si>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</si>
  <si>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</si>
  <si>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</si>
  <si>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</si>
  <si>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</si>
  <si>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</si>
  <si>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</si>
  <si>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</si>
  <si>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</si>
  <si>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</si>
  <si>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</si>
  <si>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</si>
  <si>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</si>
  <si>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</si>
  <si>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</si>
  <si>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</si>
  <si>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</si>
  <si>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</si>
  <si>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</si>
  <si>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</si>
  <si>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</si>
  <si>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</si>
  <si>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</si>
  <si>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</si>
  <si>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</si>
  <si>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</si>
  <si>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 xml:space="preserve"> egyéb működési és felhalmozási kiadásai</t>
  </si>
  <si>
    <t>Egyéb gép, berendezés, felszerelés beszerzése</t>
  </si>
  <si>
    <t>082044Könyvtári szolgáltatások</t>
  </si>
  <si>
    <t>Könyvtári infrastruktúra fejlesztés támogatása, eszközbeszerzés</t>
  </si>
  <si>
    <t>-Áht-n belüli megelőlegezések visszafizetése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</si>
  <si>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</si>
  <si>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</si>
  <si>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</si>
  <si>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</si>
  <si>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költségvetési szerv,társadalmi szervezet</t>
  </si>
  <si>
    <t>Gjt.5.§.a.-b. pont</t>
  </si>
  <si>
    <t>( Ft-ban)</t>
  </si>
  <si>
    <t>kiegészítés - I.1. jogcímhez kapcsolódóan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</si>
  <si>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</si>
  <si>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</si>
  <si>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</si>
  <si>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</si>
  <si>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</si>
  <si>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</si>
  <si>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</si>
  <si>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</si>
  <si>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</si>
  <si>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</si>
  <si>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</si>
  <si>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</si>
  <si>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</si>
  <si>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</si>
  <si>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</si>
  <si>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(  Ft-ban)</t>
  </si>
  <si>
    <t>megelőlegezett állami támogatás igénybevétele</t>
  </si>
  <si>
    <t>1.1.</t>
  </si>
  <si>
    <t>1.1.1.</t>
  </si>
  <si>
    <t>1.1.2.</t>
  </si>
  <si>
    <t>3.1.</t>
  </si>
  <si>
    <t>28.</t>
  </si>
  <si>
    <t>1. Magánszemélyek kommunális adója</t>
  </si>
  <si>
    <t>2016.</t>
  </si>
  <si>
    <t>Egyéb építmény felújítása</t>
  </si>
  <si>
    <t>(  Ft-ban )</t>
  </si>
  <si>
    <t xml:space="preserve"> 011130 Önkormányzatok és önk. hivatalok jogalkotó és ált. igaztatási tevékenysége</t>
  </si>
  <si>
    <t>2.1.</t>
  </si>
  <si>
    <t>Bursa Hungarica ösztöndíj pályázat  támogatása</t>
  </si>
  <si>
    <t>2018. 01.01-től</t>
  </si>
  <si>
    <t>2021.</t>
  </si>
  <si>
    <t>Polgármesteri illetmény támogatása</t>
  </si>
  <si>
    <t>A finanszírozás szempontjából elismert dolgozók bértámogatása</t>
  </si>
  <si>
    <t>Gyermekétkeztetés üzemeltetési támogatása</t>
  </si>
  <si>
    <t>Gjt. 6.§.(2) bek.</t>
  </si>
  <si>
    <t>Gjt. 6.§.(4) bek.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</si>
  <si>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</si>
  <si>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</si>
  <si>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</si>
  <si>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</si>
  <si>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</si>
  <si>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</si>
  <si>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</si>
  <si>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</si>
  <si>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</si>
  <si>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</si>
  <si>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>Házi segítség nyújtás ellátására Sárvár Város Önkormányzattal kötött szerződés alapján fizetendő támogatás</t>
  </si>
  <si>
    <t>1.1.4.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</si>
  <si>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</si>
  <si>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</si>
  <si>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</si>
  <si>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</si>
  <si>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</si>
  <si>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</si>
  <si>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</si>
  <si>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</si>
  <si>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</si>
  <si>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</si>
  <si>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</si>
  <si>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</si>
  <si>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</si>
  <si>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</si>
  <si>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</si>
  <si>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</si>
  <si>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</si>
  <si>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</si>
  <si>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</si>
  <si>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 xml:space="preserve"> felhalmozási célú átvett pénzeszk. </t>
  </si>
  <si>
    <t xml:space="preserve"> előirányzat     (  Ft)</t>
  </si>
  <si>
    <t>26..</t>
  </si>
  <si>
    <t>31.</t>
  </si>
  <si>
    <t>2019. év</t>
  </si>
  <si>
    <t>066020 Város - és községgazdálkodási egyéb szolgáltatások</t>
  </si>
  <si>
    <t>Műfüves pálya létesítéséhez önerő</t>
  </si>
  <si>
    <t>2022.</t>
  </si>
  <si>
    <t>felhalmozási célú visszatérítendő támogatások államháztartáson kívülről</t>
  </si>
  <si>
    <t xml:space="preserve">2. </t>
  </si>
  <si>
    <t>Felhalmozási célú egyéb átvett pénzeszközök (Kápolnáért Kultúrális és Sport Egyesület támogatása ( műfüves pálya önrészéhez)</t>
  </si>
  <si>
    <t xml:space="preserve">Sághegy Leader tagdíj </t>
  </si>
  <si>
    <t>Hímzőszakkör támogatása (2018-2019.)</t>
  </si>
  <si>
    <t>Nyugdíjas Klub ( előző évről 130.000 Ft)</t>
  </si>
  <si>
    <t>Arany János tehetséggondozó programban résztvevő támogatása</t>
  </si>
  <si>
    <t>időskorúak támogatása</t>
  </si>
  <si>
    <t>FELHALMOZÁSI CÉLÚ VISSZATÉRÍTENDŐ TÁMOGATÁSOK, KÖLCSÖNÖK NYÚJTÁSA ÁLLAMHÁZTARTÁSON KÍVÜLRE</t>
  </si>
  <si>
    <t>FELHALMOZÁSI CÉLÚ VISSZATÉRÍTENDŐ TÁMOGATÁSOK, KÖLCSÖNÖK NYÚJTÁSA ÁLLAMHÁZTARTÁSON KÍVÜLRE ÖSSZESEN:</t>
  </si>
  <si>
    <t xml:space="preserve">2020. évi </t>
  </si>
  <si>
    <t>2020. évre</t>
  </si>
  <si>
    <t>2020. év</t>
  </si>
  <si>
    <t>2020.évre</t>
  </si>
  <si>
    <t>2020.év</t>
  </si>
  <si>
    <t>(2019. december 31-i állapot szerint)</t>
  </si>
  <si>
    <t>2015-2020. év</t>
  </si>
  <si>
    <t>2021-2023. év</t>
  </si>
  <si>
    <t>Sitkei Citerazenekar Kulturális Egyesület eszközbeszerzés támogatása (pályázathoz önerő)</t>
  </si>
  <si>
    <t>Sitkei Citerazenekar Kulturális Egyesület eszközbeszerzés támogatása (pályázathoz visszatérítendő támogatás)</t>
  </si>
  <si>
    <t>Kistérséghez orvosi ügyeletre</t>
  </si>
  <si>
    <t>2023.</t>
  </si>
  <si>
    <t>Magyar Falu Program Óvodafejlesztés eszközbeszerzés</t>
  </si>
  <si>
    <t>3.2.</t>
  </si>
  <si>
    <t xml:space="preserve">Magyar Falu Program Óvodafejlesztés </t>
  </si>
  <si>
    <t>Magyar Falu Program Óvoda udvar</t>
  </si>
  <si>
    <t>1.1.3.</t>
  </si>
  <si>
    <t>TOP-2.1.-3-16 Belterületi csapadékvíz elvezetésével megvalósuló települési környezetvédelmi infrastuktúra fejlelsztése pályázathoz tervdokumentációk</t>
  </si>
  <si>
    <t>előző év költségvetési maradvány igénybevétele áthúzódó fejlesztési feladatokra</t>
  </si>
  <si>
    <t>2020. évi feladatokra</t>
  </si>
  <si>
    <t>1. melléklet  a  2/2020. (II.13.) önkormányzati rendelethez</t>
  </si>
  <si>
    <t>2. melléklet  a  2/2020. (II.13.) önkormányzati rendelethez</t>
  </si>
  <si>
    <t>3. melléklet  a  2/2020. (II.13.) önkormányzati rendelethez</t>
  </si>
  <si>
    <t>4. melléklet  a  2/2020. (II.13.) önkormányzati rendelethez</t>
  </si>
  <si>
    <t>5. melléklet  a 2/2020. (II.13.) önkormányzati rendelethez</t>
  </si>
  <si>
    <t>6. melléklet  a  2/2020. (II.13.) önkormányzati rendelethez</t>
  </si>
  <si>
    <t>7. melléklet  a  2/2020. (II.13.) önkormányzati rendelethez</t>
  </si>
  <si>
    <t>8. melléklet a 2/2020. (II.13.) önkormányzati rendelethez</t>
  </si>
  <si>
    <t>9. melléklet a 2/2020. (II.13.) sz. önkormányzati rendelethez</t>
  </si>
  <si>
    <t>10. melléklet a 2/2020. (II.13.)önkormányzati rendelethez</t>
  </si>
  <si>
    <t>11. melléklet a 2/2020. (II.13.) önkormányzati rendelethez</t>
  </si>
  <si>
    <t>12. melléklet a 2/2020. (II.13.) önkormányzati rendelethez</t>
  </si>
  <si>
    <t>13. melléklet a 2/2020. (II.13.) önkormányzati rendelethez</t>
  </si>
  <si>
    <t>14. melléklet  a  2/2020. (II.13.) önkormányzati rendelethez</t>
  </si>
  <si>
    <t>15. melléklet  a 2/2020. (II.13.) önkormányzati rendelethez</t>
  </si>
  <si>
    <t>16. melléklet  a  2/2020. (II.13.) önkormányzati rendelethez</t>
  </si>
  <si>
    <t xml:space="preserve"> 17. melléklet a 2/2020. (II.13.) önkormányzati rendelethez </t>
  </si>
  <si>
    <t xml:space="preserve"> 18. melléklet a 2/2020. (II.13.) önkormányzati rendelethez </t>
  </si>
  <si>
    <t>32.</t>
  </si>
  <si>
    <t>Emkékparkba pad és hulladékgyűjtő beszerzése</t>
  </si>
  <si>
    <t>Egyéb működési célú támogatások bevételei államháztartáson belülről</t>
  </si>
  <si>
    <t>Idegenforgalmi adóhoz kapcsolódó kiegészítő támogatás</t>
  </si>
  <si>
    <t>Előző évi elszámolásból adódó bevétel</t>
  </si>
  <si>
    <t>Egyéb működési célú támogatások bevételei államháztartáson belülről összesen:</t>
  </si>
  <si>
    <t>jóvagyott maradvány (önkormányzat)</t>
  </si>
  <si>
    <t>jóvagyott maradvány ( konyha )</t>
  </si>
  <si>
    <t>Tartalékok</t>
  </si>
  <si>
    <t>074040</t>
  </si>
  <si>
    <t>Fertőző megbetegedések megelőzése, járványügyi ellátás</t>
  </si>
  <si>
    <t>33.</t>
  </si>
  <si>
    <t>Működési célú költségvetési és kiegészítő támogatás</t>
  </si>
  <si>
    <t>Szociális célú tűzifavásárlás támogatása</t>
  </si>
  <si>
    <t>Működési célú költségvetési és kiegészítő támogatás összesen:</t>
  </si>
  <si>
    <t>2. Nyári diákmunka támogatás</t>
  </si>
  <si>
    <t>3. Vas Megyei Közgűlés Elnöki támogatása</t>
  </si>
  <si>
    <t>3.3.</t>
  </si>
  <si>
    <t>3.4.</t>
  </si>
  <si>
    <t>3.5.</t>
  </si>
  <si>
    <t>TOP-2.1.-3-16 Belterületi csapadékvíz elvezetésével megvalósuló települési környezetvédelmi infrastuktúra fejlelsztése pályázat építési költségei</t>
  </si>
  <si>
    <t>3.6.</t>
  </si>
  <si>
    <t>TOP-2.1.-3-16 Belterületi csapadékvíz elvezetésével megvalósuló települési környezetvédelmi infrastuktúra fejlelsztése műszaki ellenőrzés költségei</t>
  </si>
  <si>
    <t>074 040 Fertőző megbetegedések megelőzése, járványügyi ellátás</t>
  </si>
  <si>
    <t>4.1</t>
  </si>
  <si>
    <t>4.2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</si>
</sst>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86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61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60" applyFont="1">
      <alignment/>
      <protection/>
    </xf>
    <xf numFmtId="0" fontId="12" fillId="0" borderId="0" xfId="61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60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2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4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5" fillId="0" borderId="0" xfId="57" applyFont="1" applyAlignment="1">
      <alignment/>
      <protection/>
    </xf>
    <xf numFmtId="41" fontId="10" fillId="0" borderId="0" xfId="57" applyNumberFormat="1" applyFont="1" applyAlignment="1">
      <alignment horizontal="centerContinuous"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right"/>
      <protection/>
    </xf>
    <xf numFmtId="41" fontId="13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1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1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0" fontId="11" fillId="0" borderId="13" xfId="60" applyFont="1" applyBorder="1">
      <alignment/>
      <protection/>
    </xf>
    <xf numFmtId="0" fontId="10" fillId="0" borderId="14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7" fillId="0" borderId="0" xfId="60" applyFont="1">
      <alignment/>
      <protection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8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60" applyNumberFormat="1" applyFont="1" applyBorder="1">
      <alignment/>
      <protection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16" xfId="58" applyFont="1" applyBorder="1" applyAlignment="1">
      <alignment horizontal="left"/>
      <protection/>
    </xf>
    <xf numFmtId="0" fontId="12" fillId="0" borderId="16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0" fontId="12" fillId="0" borderId="13" xfId="58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0" fontId="10" fillId="0" borderId="0" xfId="58" applyFont="1" applyAlignment="1">
      <alignment/>
      <protection/>
    </xf>
    <xf numFmtId="0" fontId="7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"/>
      <protection/>
    </xf>
    <xf numFmtId="0" fontId="4" fillId="0" borderId="17" xfId="58" applyFont="1" applyBorder="1" applyAlignment="1">
      <alignment/>
      <protection/>
    </xf>
    <xf numFmtId="0" fontId="4" fillId="0" borderId="18" xfId="58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19" xfId="58" applyFont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4" fillId="0" borderId="20" xfId="58" applyFont="1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4" fillId="0" borderId="21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/>
      <protection/>
    </xf>
    <xf numFmtId="0" fontId="4" fillId="0" borderId="22" xfId="58" applyFont="1" applyBorder="1">
      <alignment/>
      <protection/>
    </xf>
    <xf numFmtId="0" fontId="7" fillId="0" borderId="23" xfId="58" applyFont="1" applyBorder="1" applyAlignment="1">
      <alignment horizontal="right"/>
      <protection/>
    </xf>
    <xf numFmtId="0" fontId="7" fillId="0" borderId="24" xfId="58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7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8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60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0" xfId="58" applyFont="1">
      <alignment/>
      <protection/>
    </xf>
    <xf numFmtId="0" fontId="11" fillId="0" borderId="26" xfId="60" applyFont="1" applyBorder="1" applyAlignment="1">
      <alignment horizontal="left" wrapText="1"/>
      <protection/>
    </xf>
    <xf numFmtId="0" fontId="11" fillId="0" borderId="27" xfId="60" applyFont="1" applyBorder="1" applyAlignment="1" quotePrefix="1">
      <alignment horizontal="center" vertical="center" wrapText="1"/>
      <protection/>
    </xf>
    <xf numFmtId="0" fontId="11" fillId="0" borderId="28" xfId="61" applyFont="1" applyBorder="1">
      <alignment/>
      <protection/>
    </xf>
    <xf numFmtId="0" fontId="11" fillId="0" borderId="26" xfId="61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1" applyFont="1" applyAlignment="1">
      <alignment horizontal="center"/>
      <protection/>
    </xf>
    <xf numFmtId="0" fontId="11" fillId="0" borderId="29" xfId="60" applyFont="1" applyBorder="1" applyAlignment="1">
      <alignment horizontal="right"/>
      <protection/>
    </xf>
    <xf numFmtId="0" fontId="12" fillId="0" borderId="0" xfId="58" applyFont="1">
      <alignment/>
      <protection/>
    </xf>
    <xf numFmtId="0" fontId="18" fillId="0" borderId="0" xfId="58" applyFont="1">
      <alignment/>
      <protection/>
    </xf>
    <xf numFmtId="0" fontId="18" fillId="0" borderId="0" xfId="0" applyFont="1" applyAlignment="1">
      <alignment/>
    </xf>
    <xf numFmtId="0" fontId="6" fillId="0" borderId="11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6" fillId="0" borderId="13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168" fontId="18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8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8" applyFont="1" applyBorder="1" applyAlignment="1">
      <alignment wrapText="1"/>
      <protection/>
    </xf>
    <xf numFmtId="0" fontId="12" fillId="0" borderId="29" xfId="58" applyFont="1" applyBorder="1" applyAlignment="1">
      <alignment horizontal="right"/>
      <protection/>
    </xf>
    <xf numFmtId="0" fontId="12" fillId="0" borderId="29" xfId="58" applyFont="1" applyBorder="1" applyAlignment="1">
      <alignment/>
      <protection/>
    </xf>
    <xf numFmtId="168" fontId="12" fillId="0" borderId="29" xfId="4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8" applyNumberFormat="1" applyFont="1">
      <alignment/>
      <protection/>
    </xf>
    <xf numFmtId="0" fontId="6" fillId="0" borderId="30" xfId="58" applyFont="1" applyBorder="1" applyAlignment="1">
      <alignment horizontal="right"/>
      <protection/>
    </xf>
    <xf numFmtId="0" fontId="6" fillId="0" borderId="30" xfId="58" applyFont="1" applyBorder="1">
      <alignment/>
      <protection/>
    </xf>
    <xf numFmtId="168" fontId="6" fillId="0" borderId="30" xfId="40" applyNumberFormat="1" applyFont="1" applyBorder="1" applyAlignment="1">
      <alignment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5" fillId="0" borderId="29" xfId="0" applyFont="1" applyBorder="1" applyAlignment="1">
      <alignment/>
    </xf>
    <xf numFmtId="168" fontId="6" fillId="0" borderId="29" xfId="40" applyNumberFormat="1" applyFont="1" applyBorder="1" applyAlignment="1">
      <alignment/>
    </xf>
    <xf numFmtId="0" fontId="6" fillId="0" borderId="0" xfId="59" applyFont="1">
      <alignment/>
      <protection/>
    </xf>
    <xf numFmtId="0" fontId="6" fillId="0" borderId="30" xfId="59" applyFont="1" applyBorder="1" applyAlignment="1">
      <alignment horizontal="right"/>
      <protection/>
    </xf>
    <xf numFmtId="168" fontId="6" fillId="0" borderId="0" xfId="59" applyNumberFormat="1" applyFont="1">
      <alignment/>
      <protection/>
    </xf>
    <xf numFmtId="0" fontId="12" fillId="0" borderId="0" xfId="59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60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23" fillId="0" borderId="30" xfId="58" applyFont="1" applyBorder="1" applyAlignment="1">
      <alignment horizontal="center"/>
      <protection/>
    </xf>
    <xf numFmtId="0" fontId="7" fillId="0" borderId="30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0" fontId="26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3" fillId="0" borderId="0" xfId="58" applyFont="1" applyAlignment="1">
      <alignment horizontal="center"/>
      <protection/>
    </xf>
    <xf numFmtId="168" fontId="23" fillId="0" borderId="0" xfId="40" applyNumberFormat="1" applyFont="1" applyAlignment="1">
      <alignment horizontal="centerContinuous"/>
    </xf>
    <xf numFmtId="168" fontId="23" fillId="0" borderId="0" xfId="40" applyNumberFormat="1" applyFont="1" applyAlignment="1">
      <alignment/>
    </xf>
    <xf numFmtId="0" fontId="4" fillId="0" borderId="0" xfId="0" applyFont="1" applyAlignment="1">
      <alignment/>
    </xf>
    <xf numFmtId="0" fontId="11" fillId="0" borderId="0" xfId="60" applyFont="1" applyBorder="1" applyAlignment="1">
      <alignment horizontal="left" wrapText="1"/>
      <protection/>
    </xf>
    <xf numFmtId="168" fontId="4" fillId="0" borderId="22" xfId="40" applyNumberFormat="1" applyFont="1" applyBorder="1" applyAlignment="1">
      <alignment/>
    </xf>
    <xf numFmtId="168" fontId="4" fillId="0" borderId="31" xfId="40" applyNumberFormat="1" applyFont="1" applyBorder="1" applyAlignment="1">
      <alignment/>
    </xf>
    <xf numFmtId="168" fontId="4" fillId="0" borderId="29" xfId="40" applyNumberFormat="1" applyFont="1" applyBorder="1" applyAlignment="1">
      <alignment/>
    </xf>
    <xf numFmtId="168" fontId="4" fillId="0" borderId="32" xfId="40" applyNumberFormat="1" applyFont="1" applyBorder="1" applyAlignment="1">
      <alignment/>
    </xf>
    <xf numFmtId="0" fontId="4" fillId="0" borderId="30" xfId="0" applyFont="1" applyBorder="1" applyAlignment="1">
      <alignment/>
    </xf>
    <xf numFmtId="0" fontId="10" fillId="0" borderId="30" xfId="60" applyFont="1" applyBorder="1">
      <alignment/>
      <protection/>
    </xf>
    <xf numFmtId="0" fontId="22" fillId="0" borderId="0" xfId="60" applyFont="1">
      <alignment/>
      <protection/>
    </xf>
    <xf numFmtId="0" fontId="6" fillId="0" borderId="0" xfId="61" applyFont="1" applyAlignment="1">
      <alignment horizontal="centerContinuous"/>
      <protection/>
    </xf>
    <xf numFmtId="0" fontId="28" fillId="0" borderId="0" xfId="61" applyFont="1">
      <alignment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5" xfId="61" applyFont="1" applyBorder="1">
      <alignment/>
      <protection/>
    </xf>
    <xf numFmtId="0" fontId="6" fillId="0" borderId="15" xfId="61" applyFont="1" applyBorder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0" fontId="12" fillId="0" borderId="0" xfId="61" applyFont="1" applyBorder="1">
      <alignment/>
      <protection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wrapText="1"/>
    </xf>
    <xf numFmtId="0" fontId="12" fillId="0" borderId="29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6" fillId="0" borderId="22" xfId="0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6" fillId="0" borderId="36" xfId="0" applyFont="1" applyBorder="1" applyAlignment="1">
      <alignment/>
    </xf>
    <xf numFmtId="0" fontId="12" fillId="0" borderId="29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Continuous"/>
      <protection/>
    </xf>
    <xf numFmtId="0" fontId="6" fillId="0" borderId="3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Continuous"/>
      <protection/>
    </xf>
    <xf numFmtId="41" fontId="12" fillId="0" borderId="0" xfId="57" applyNumberFormat="1" applyFont="1">
      <alignment/>
      <protection/>
    </xf>
    <xf numFmtId="41" fontId="12" fillId="0" borderId="0" xfId="57" applyNumberFormat="1" applyFont="1" applyBorder="1" applyAlignment="1">
      <alignment horizontal="center"/>
      <protection/>
    </xf>
    <xf numFmtId="41" fontId="12" fillId="0" borderId="0" xfId="57" applyNumberFormat="1" applyFont="1" applyBorder="1">
      <alignment/>
      <protection/>
    </xf>
    <xf numFmtId="41" fontId="33" fillId="0" borderId="37" xfId="57" applyNumberFormat="1" applyFont="1" applyBorder="1" applyAlignment="1">
      <alignment horizontal="centerContinuous"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/>
      <protection/>
    </xf>
    <xf numFmtId="41" fontId="21" fillId="0" borderId="0" xfId="57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wrapText="1"/>
      <protection/>
    </xf>
    <xf numFmtId="41" fontId="12" fillId="0" borderId="37" xfId="57" applyNumberFormat="1" applyFont="1" applyBorder="1">
      <alignment/>
      <protection/>
    </xf>
    <xf numFmtId="0" fontId="21" fillId="0" borderId="0" xfId="57" applyFont="1" applyBorder="1" applyAlignment="1">
      <alignment wrapText="1"/>
      <protection/>
    </xf>
    <xf numFmtId="41" fontId="21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33" fillId="0" borderId="0" xfId="57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8" applyFont="1" applyBorder="1" applyAlignment="1">
      <alignment horizontal="center"/>
      <protection/>
    </xf>
    <xf numFmtId="168" fontId="12" fillId="0" borderId="0" xfId="61" applyNumberFormat="1" applyFont="1" applyBorder="1" applyAlignment="1">
      <alignment horizontal="right"/>
      <protection/>
    </xf>
    <xf numFmtId="168" fontId="12" fillId="0" borderId="37" xfId="61" applyNumberFormat="1" applyFont="1" applyBorder="1" applyAlignment="1">
      <alignment horizontal="right"/>
      <protection/>
    </xf>
    <xf numFmtId="0" fontId="6" fillId="0" borderId="0" xfId="58" applyFont="1" applyBorder="1" applyAlignment="1">
      <alignment horizontal="center"/>
      <protection/>
    </xf>
    <xf numFmtId="0" fontId="6" fillId="0" borderId="38" xfId="58" applyFont="1" applyBorder="1">
      <alignment/>
      <protection/>
    </xf>
    <xf numFmtId="0" fontId="6" fillId="0" borderId="38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29" xfId="0" applyFont="1" applyBorder="1" applyAlignment="1" quotePrefix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60" applyFont="1" applyBorder="1" applyAlignment="1">
      <alignment horizontal="right"/>
      <protection/>
    </xf>
    <xf numFmtId="0" fontId="22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3" fontId="12" fillId="0" borderId="0" xfId="58" applyNumberFormat="1" applyFont="1">
      <alignment/>
      <protection/>
    </xf>
    <xf numFmtId="3" fontId="12" fillId="0" borderId="0" xfId="58" applyNumberFormat="1" applyFont="1" applyAlignment="1">
      <alignment horizontal="right"/>
      <protection/>
    </xf>
    <xf numFmtId="3" fontId="18" fillId="0" borderId="0" xfId="58" applyNumberFormat="1" applyFont="1" applyAlignment="1">
      <alignment horizontal="right"/>
      <protection/>
    </xf>
    <xf numFmtId="3" fontId="18" fillId="0" borderId="0" xfId="40" applyNumberFormat="1" applyFont="1" applyAlignment="1">
      <alignment horizontal="right" wrapText="1"/>
    </xf>
    <xf numFmtId="3" fontId="18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39" xfId="60" applyFont="1" applyBorder="1" applyAlignment="1" quotePrefix="1">
      <alignment horizontal="center" vertical="center" wrapText="1"/>
      <protection/>
    </xf>
    <xf numFmtId="0" fontId="11" fillId="0" borderId="40" xfId="60" applyFont="1" applyBorder="1" applyAlignment="1" quotePrefix="1">
      <alignment horizontal="center" vertical="center" wrapText="1"/>
      <protection/>
    </xf>
    <xf numFmtId="0" fontId="11" fillId="0" borderId="41" xfId="60" applyFont="1" applyBorder="1" applyAlignment="1" quotePrefix="1">
      <alignment horizontal="center" vertical="center" wrapText="1"/>
      <protection/>
    </xf>
    <xf numFmtId="0" fontId="4" fillId="0" borderId="27" xfId="0" applyFont="1" applyBorder="1" applyAlignment="1">
      <alignment/>
    </xf>
    <xf numFmtId="168" fontId="23" fillId="0" borderId="42" xfId="40" applyNumberFormat="1" applyFont="1" applyBorder="1" applyAlignment="1">
      <alignment horizontal="center" vertical="center"/>
    </xf>
    <xf numFmtId="168" fontId="23" fillId="0" borderId="11" xfId="40" applyNumberFormat="1" applyFont="1" applyBorder="1" applyAlignment="1">
      <alignment horizontal="center" vertical="center"/>
    </xf>
    <xf numFmtId="168" fontId="23" fillId="0" borderId="11" xfId="4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/>
    </xf>
    <xf numFmtId="3" fontId="11" fillId="0" borderId="28" xfId="60" applyNumberFormat="1" applyFont="1" applyBorder="1" applyAlignment="1">
      <alignment horizontal="right"/>
      <protection/>
    </xf>
    <xf numFmtId="3" fontId="11" fillId="0" borderId="29" xfId="60" applyNumberFormat="1" applyFont="1" applyBorder="1" applyAlignment="1">
      <alignment horizontal="right"/>
      <protection/>
    </xf>
    <xf numFmtId="3" fontId="22" fillId="0" borderId="29" xfId="60" applyNumberFormat="1" applyFont="1" applyBorder="1">
      <alignment/>
      <protection/>
    </xf>
    <xf numFmtId="3" fontId="11" fillId="0" borderId="29" xfId="60" applyNumberFormat="1" applyFont="1" applyBorder="1">
      <alignment/>
      <protection/>
    </xf>
    <xf numFmtId="3" fontId="22" fillId="0" borderId="44" xfId="60" applyNumberFormat="1" applyFont="1" applyBorder="1">
      <alignment/>
      <protection/>
    </xf>
    <xf numFmtId="3" fontId="11" fillId="0" borderId="44" xfId="60" applyNumberFormat="1" applyFont="1" applyBorder="1">
      <alignment/>
      <protection/>
    </xf>
    <xf numFmtId="3" fontId="11" fillId="0" borderId="32" xfId="60" applyNumberFormat="1" applyFont="1" applyBorder="1">
      <alignment/>
      <protection/>
    </xf>
    <xf numFmtId="3" fontId="10" fillId="0" borderId="36" xfId="60" applyNumberFormat="1" applyFont="1" applyBorder="1" applyAlignment="1">
      <alignment horizontal="right"/>
      <protection/>
    </xf>
    <xf numFmtId="3" fontId="10" fillId="0" borderId="45" xfId="60" applyNumberFormat="1" applyFont="1" applyBorder="1" applyAlignment="1">
      <alignment horizontal="right"/>
      <protection/>
    </xf>
    <xf numFmtId="0" fontId="12" fillId="0" borderId="0" xfId="58" applyFont="1" applyBorder="1" applyAlignment="1">
      <alignment horizontal="center" vertical="center"/>
      <protection/>
    </xf>
    <xf numFmtId="0" fontId="10" fillId="0" borderId="46" xfId="61" applyFont="1" applyBorder="1">
      <alignment/>
      <protection/>
    </xf>
    <xf numFmtId="0" fontId="12" fillId="0" borderId="0" xfId="0" applyFont="1" applyAlignment="1">
      <alignment horizontal="center"/>
    </xf>
    <xf numFmtId="0" fontId="12" fillId="0" borderId="0" xfId="58" applyFont="1" applyBorder="1">
      <alignment/>
      <protection/>
    </xf>
    <xf numFmtId="0" fontId="12" fillId="0" borderId="0" xfId="0" applyFont="1" applyAlignment="1">
      <alignment vertical="top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39" xfId="60" applyFont="1" applyBorder="1" applyAlignment="1" quotePrefix="1">
      <alignment horizontal="center" vertical="center" wrapText="1"/>
      <protection/>
    </xf>
    <xf numFmtId="0" fontId="11" fillId="0" borderId="0" xfId="60" applyFont="1" applyBorder="1" applyAlignment="1">
      <alignment horizontal="left" wrapText="1"/>
      <protection/>
    </xf>
    <xf numFmtId="0" fontId="11" fillId="0" borderId="32" xfId="60" applyFont="1" applyBorder="1" applyAlignment="1">
      <alignment horizontal="right"/>
      <protection/>
    </xf>
    <xf numFmtId="0" fontId="4" fillId="0" borderId="47" xfId="0" applyFont="1" applyBorder="1" applyAlignment="1">
      <alignment/>
    </xf>
    <xf numFmtId="0" fontId="10" fillId="0" borderId="36" xfId="61" applyFont="1" applyBorder="1">
      <alignment/>
      <protection/>
    </xf>
    <xf numFmtId="168" fontId="4" fillId="0" borderId="48" xfId="40" applyNumberFormat="1" applyFont="1" applyBorder="1" applyAlignment="1">
      <alignment/>
    </xf>
    <xf numFmtId="168" fontId="4" fillId="0" borderId="49" xfId="40" applyNumberFormat="1" applyFont="1" applyBorder="1" applyAlignment="1">
      <alignment/>
    </xf>
    <xf numFmtId="168" fontId="4" fillId="0" borderId="49" xfId="60" applyNumberFormat="1" applyFont="1" applyBorder="1" applyAlignment="1">
      <alignment/>
      <protection/>
    </xf>
    <xf numFmtId="168" fontId="4" fillId="0" borderId="49" xfId="60" applyNumberFormat="1" applyFont="1" applyBorder="1" applyAlignment="1">
      <alignment horizontal="right"/>
      <protection/>
    </xf>
    <xf numFmtId="168" fontId="7" fillId="0" borderId="43" xfId="40" applyNumberFormat="1" applyFont="1" applyBorder="1" applyAlignment="1">
      <alignment/>
    </xf>
    <xf numFmtId="168" fontId="7" fillId="0" borderId="27" xfId="40" applyNumberFormat="1" applyFont="1" applyBorder="1" applyAlignment="1">
      <alignment/>
    </xf>
    <xf numFmtId="0" fontId="6" fillId="0" borderId="29" xfId="58" applyFont="1" applyBorder="1" applyAlignment="1">
      <alignment horizontal="right"/>
      <protection/>
    </xf>
    <xf numFmtId="0" fontId="6" fillId="0" borderId="29" xfId="58" applyFont="1" applyBorder="1" applyAlignment="1">
      <alignment/>
      <protection/>
    </xf>
    <xf numFmtId="0" fontId="6" fillId="0" borderId="30" xfId="59" applyFont="1" applyBorder="1" applyAlignment="1">
      <alignment vertical="center"/>
      <protection/>
    </xf>
    <xf numFmtId="168" fontId="6" fillId="0" borderId="30" xfId="59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0" fontId="18" fillId="0" borderId="0" xfId="60" applyFont="1">
      <alignment/>
      <protection/>
    </xf>
    <xf numFmtId="0" fontId="14" fillId="0" borderId="0" xfId="60" applyFont="1" applyBorder="1" applyAlignment="1">
      <alignment horizontal="left" wrapText="1"/>
      <protection/>
    </xf>
    <xf numFmtId="0" fontId="14" fillId="0" borderId="0" xfId="60" applyFont="1" applyBorder="1" applyAlignment="1" quotePrefix="1">
      <alignment horizontal="left" wrapText="1"/>
      <protection/>
    </xf>
    <xf numFmtId="0" fontId="12" fillId="0" borderId="0" xfId="60" applyFont="1" applyBorder="1" applyAlignment="1" quotePrefix="1">
      <alignment horizontal="left" wrapText="1"/>
      <protection/>
    </xf>
    <xf numFmtId="0" fontId="11" fillId="0" borderId="50" xfId="60" applyFont="1" applyBorder="1" applyAlignment="1" quotePrefix="1">
      <alignment horizontal="center" vertical="center" wrapText="1"/>
      <protection/>
    </xf>
    <xf numFmtId="0" fontId="10" fillId="0" borderId="46" xfId="60" applyFont="1" applyBorder="1">
      <alignment/>
      <protection/>
    </xf>
    <xf numFmtId="0" fontId="11" fillId="0" borderId="29" xfId="61" applyFont="1" applyBorder="1">
      <alignment/>
      <protection/>
    </xf>
    <xf numFmtId="49" fontId="11" fillId="0" borderId="0" xfId="60" applyNumberFormat="1" applyFont="1">
      <alignment/>
      <protection/>
    </xf>
    <xf numFmtId="49" fontId="10" fillId="0" borderId="0" xfId="60" applyNumberFormat="1" applyFont="1">
      <alignment/>
      <protection/>
    </xf>
    <xf numFmtId="49" fontId="12" fillId="0" borderId="0" xfId="61" applyNumberFormat="1" applyFont="1">
      <alignment/>
      <protection/>
    </xf>
    <xf numFmtId="4" fontId="11" fillId="0" borderId="45" xfId="61" applyNumberFormat="1" applyFont="1" applyBorder="1">
      <alignment/>
      <protection/>
    </xf>
    <xf numFmtId="4" fontId="11" fillId="0" borderId="22" xfId="61" applyNumberFormat="1" applyFont="1" applyBorder="1">
      <alignment/>
      <protection/>
    </xf>
    <xf numFmtId="4" fontId="11" fillId="0" borderId="51" xfId="61" applyNumberFormat="1" applyFont="1" applyBorder="1">
      <alignment/>
      <protection/>
    </xf>
    <xf numFmtId="4" fontId="11" fillId="0" borderId="29" xfId="61" applyNumberFormat="1" applyFont="1" applyBorder="1">
      <alignment/>
      <protection/>
    </xf>
    <xf numFmtId="4" fontId="11" fillId="0" borderId="44" xfId="61" applyNumberFormat="1" applyFont="1" applyBorder="1">
      <alignment/>
      <protection/>
    </xf>
    <xf numFmtId="4" fontId="10" fillId="0" borderId="30" xfId="61" applyNumberFormat="1" applyFont="1" applyBorder="1">
      <alignment/>
      <protection/>
    </xf>
    <xf numFmtId="3" fontId="12" fillId="0" borderId="0" xfId="0" applyNumberFormat="1" applyFont="1" applyAlignment="1">
      <alignment wrapText="1"/>
    </xf>
    <xf numFmtId="0" fontId="12" fillId="0" borderId="29" xfId="0" applyFont="1" applyBorder="1" applyAlignment="1">
      <alignment horizontal="center"/>
    </xf>
    <xf numFmtId="3" fontId="72" fillId="0" borderId="0" xfId="58" applyNumberFormat="1" applyFont="1" applyAlignment="1">
      <alignment horizontal="right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3" fontId="11" fillId="0" borderId="49" xfId="60" applyNumberFormat="1" applyFont="1" applyBorder="1" applyAlignment="1">
      <alignment horizontal="right"/>
      <protection/>
    </xf>
    <xf numFmtId="3" fontId="10" fillId="0" borderId="29" xfId="60" applyNumberFormat="1" applyFont="1" applyBorder="1" applyAlignment="1">
      <alignment horizontal="right"/>
      <protection/>
    </xf>
    <xf numFmtId="3" fontId="10" fillId="0" borderId="22" xfId="60" applyNumberFormat="1" applyFont="1" applyBorder="1" applyAlignment="1">
      <alignment horizontal="right"/>
      <protection/>
    </xf>
    <xf numFmtId="0" fontId="11" fillId="0" borderId="34" xfId="61" applyFont="1" applyBorder="1">
      <alignment/>
      <protection/>
    </xf>
    <xf numFmtId="0" fontId="11" fillId="0" borderId="33" xfId="61" applyFont="1" applyBorder="1">
      <alignment/>
      <protection/>
    </xf>
    <xf numFmtId="3" fontId="10" fillId="0" borderId="21" xfId="60" applyNumberFormat="1" applyFont="1" applyBorder="1" applyAlignment="1">
      <alignment horizontal="right"/>
      <protection/>
    </xf>
    <xf numFmtId="3" fontId="11" fillId="0" borderId="52" xfId="60" applyNumberFormat="1" applyFont="1" applyBorder="1" applyAlignment="1">
      <alignment horizontal="right"/>
      <protection/>
    </xf>
    <xf numFmtId="3" fontId="11" fillId="0" borderId="34" xfId="60" applyNumberFormat="1" applyFont="1" applyBorder="1" applyAlignment="1">
      <alignment horizontal="right"/>
      <protection/>
    </xf>
    <xf numFmtId="3" fontId="22" fillId="0" borderId="34" xfId="60" applyNumberFormat="1" applyFont="1" applyBorder="1">
      <alignment/>
      <protection/>
    </xf>
    <xf numFmtId="3" fontId="11" fillId="0" borderId="34" xfId="60" applyNumberFormat="1" applyFont="1" applyBorder="1">
      <alignment/>
      <protection/>
    </xf>
    <xf numFmtId="3" fontId="22" fillId="0" borderId="51" xfId="60" applyNumberFormat="1" applyFont="1" applyBorder="1">
      <alignment/>
      <protection/>
    </xf>
    <xf numFmtId="3" fontId="11" fillId="0" borderId="51" xfId="60" applyNumberFormat="1" applyFont="1" applyBorder="1">
      <alignment/>
      <protection/>
    </xf>
    <xf numFmtId="3" fontId="11" fillId="0" borderId="53" xfId="60" applyNumberFormat="1" applyFont="1" applyBorder="1">
      <alignment/>
      <protection/>
    </xf>
    <xf numFmtId="4" fontId="11" fillId="0" borderId="34" xfId="61" applyNumberFormat="1" applyFont="1" applyBorder="1">
      <alignment/>
      <protection/>
    </xf>
    <xf numFmtId="0" fontId="4" fillId="0" borderId="30" xfId="61" applyFont="1" applyBorder="1">
      <alignment/>
      <protection/>
    </xf>
    <xf numFmtId="0" fontId="7" fillId="0" borderId="29" xfId="61" applyFont="1" applyBorder="1">
      <alignment/>
      <protection/>
    </xf>
    <xf numFmtId="0" fontId="7" fillId="0" borderId="30" xfId="61" applyFont="1" applyBorder="1">
      <alignment/>
      <protection/>
    </xf>
    <xf numFmtId="0" fontId="10" fillId="0" borderId="30" xfId="61" applyFont="1" applyBorder="1">
      <alignment/>
      <protection/>
    </xf>
    <xf numFmtId="0" fontId="6" fillId="0" borderId="30" xfId="61" applyFont="1" applyBorder="1">
      <alignment/>
      <protection/>
    </xf>
    <xf numFmtId="0" fontId="10" fillId="0" borderId="0" xfId="60" applyFont="1" applyBorder="1">
      <alignment/>
      <protection/>
    </xf>
    <xf numFmtId="3" fontId="10" fillId="0" borderId="0" xfId="60" applyNumberFormat="1" applyFont="1" applyBorder="1" applyAlignment="1">
      <alignment horizontal="right"/>
      <protection/>
    </xf>
    <xf numFmtId="4" fontId="10" fillId="0" borderId="0" xfId="61" applyNumberFormat="1" applyFont="1" applyBorder="1">
      <alignment/>
      <protection/>
    </xf>
    <xf numFmtId="3" fontId="10" fillId="0" borderId="30" xfId="61" applyNumberFormat="1" applyFont="1" applyBorder="1">
      <alignment/>
      <protection/>
    </xf>
    <xf numFmtId="3" fontId="4" fillId="0" borderId="0" xfId="61" applyNumberFormat="1" applyFont="1">
      <alignment/>
      <protection/>
    </xf>
    <xf numFmtId="0" fontId="4" fillId="0" borderId="54" xfId="0" applyFont="1" applyBorder="1" applyAlignment="1">
      <alignment/>
    </xf>
    <xf numFmtId="0" fontId="11" fillId="0" borderId="55" xfId="61" applyFont="1" applyBorder="1">
      <alignment/>
      <protection/>
    </xf>
    <xf numFmtId="168" fontId="7" fillId="0" borderId="54" xfId="40" applyNumberFormat="1" applyFont="1" applyBorder="1" applyAlignment="1">
      <alignment/>
    </xf>
    <xf numFmtId="168" fontId="4" fillId="0" borderId="52" xfId="40" applyNumberFormat="1" applyFont="1" applyBorder="1" applyAlignment="1">
      <alignment/>
    </xf>
    <xf numFmtId="168" fontId="4" fillId="0" borderId="34" xfId="40" applyNumberFormat="1" applyFont="1" applyBorder="1" applyAlignment="1">
      <alignment/>
    </xf>
    <xf numFmtId="168" fontId="4" fillId="0" borderId="53" xfId="40" applyNumberFormat="1" applyFont="1" applyBorder="1" applyAlignment="1">
      <alignment/>
    </xf>
    <xf numFmtId="0" fontId="10" fillId="0" borderId="30" xfId="0" applyFont="1" applyBorder="1" applyAlignment="1">
      <alignment/>
    </xf>
    <xf numFmtId="168" fontId="10" fillId="0" borderId="30" xfId="0" applyNumberFormat="1" applyFont="1" applyBorder="1" applyAlignment="1">
      <alignment/>
    </xf>
    <xf numFmtId="168" fontId="10" fillId="0" borderId="30" xfId="40" applyNumberFormat="1" applyFont="1" applyBorder="1" applyAlignment="1">
      <alignment/>
    </xf>
    <xf numFmtId="168" fontId="10" fillId="0" borderId="56" xfId="4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179" fontId="0" fillId="0" borderId="30" xfId="0" applyNumberFormat="1" applyBorder="1" applyAlignment="1">
      <alignment/>
    </xf>
    <xf numFmtId="0" fontId="19" fillId="0" borderId="0" xfId="0" applyFont="1" applyAlignment="1">
      <alignment/>
    </xf>
    <xf numFmtId="0" fontId="10" fillId="0" borderId="27" xfId="0" applyFont="1" applyBorder="1" applyAlignment="1">
      <alignment/>
    </xf>
    <xf numFmtId="0" fontId="10" fillId="0" borderId="56" xfId="0" applyFont="1" applyBorder="1" applyAlignment="1">
      <alignment/>
    </xf>
    <xf numFmtId="168" fontId="7" fillId="0" borderId="30" xfId="0" applyNumberFormat="1" applyFont="1" applyBorder="1" applyAlignment="1">
      <alignment/>
    </xf>
    <xf numFmtId="0" fontId="0" fillId="0" borderId="0" xfId="0" applyBorder="1" applyAlignment="1">
      <alignment horizontal="center" vertical="center" textRotation="4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" fontId="0" fillId="0" borderId="0" xfId="0" applyNumberFormat="1" applyAlignment="1" quotePrefix="1">
      <alignment/>
    </xf>
    <xf numFmtId="3" fontId="12" fillId="0" borderId="37" xfId="0" applyNumberFormat="1" applyFont="1" applyBorder="1" applyAlignment="1">
      <alignment/>
    </xf>
    <xf numFmtId="3" fontId="12" fillId="32" borderId="0" xfId="58" applyNumberFormat="1" applyFont="1" applyFill="1" applyAlignment="1">
      <alignment horizontal="right"/>
      <protection/>
    </xf>
    <xf numFmtId="3" fontId="6" fillId="0" borderId="0" xfId="40" applyNumberFormat="1" applyFont="1" applyBorder="1" applyAlignment="1">
      <alignment horizontal="right"/>
    </xf>
    <xf numFmtId="0" fontId="7" fillId="0" borderId="30" xfId="0" applyFont="1" applyBorder="1" applyAlignment="1">
      <alignment/>
    </xf>
    <xf numFmtId="168" fontId="12" fillId="0" borderId="29" xfId="40" applyNumberFormat="1" applyFont="1" applyBorder="1" applyAlignment="1">
      <alignment/>
    </xf>
    <xf numFmtId="4" fontId="10" fillId="0" borderId="30" xfId="61" applyNumberFormat="1" applyFont="1" applyBorder="1">
      <alignment/>
      <protection/>
    </xf>
    <xf numFmtId="0" fontId="7" fillId="0" borderId="34" xfId="61" applyFont="1" applyBorder="1">
      <alignment/>
      <protection/>
    </xf>
    <xf numFmtId="3" fontId="11" fillId="0" borderId="29" xfId="60" applyNumberFormat="1" applyFont="1" applyBorder="1" applyAlignment="1">
      <alignment horizontal="right"/>
      <protection/>
    </xf>
    <xf numFmtId="4" fontId="11" fillId="0" borderId="29" xfId="61" applyNumberFormat="1" applyFont="1" applyBorder="1">
      <alignment/>
      <protection/>
    </xf>
    <xf numFmtId="0" fontId="4" fillId="0" borderId="29" xfId="0" applyFont="1" applyBorder="1" applyAlignment="1">
      <alignment/>
    </xf>
    <xf numFmtId="3" fontId="12" fillId="0" borderId="0" xfId="58" applyNumberFormat="1" applyFont="1" applyAlignment="1">
      <alignment horizontal="right"/>
      <protection/>
    </xf>
    <xf numFmtId="0" fontId="12" fillId="0" borderId="0" xfId="60" applyFont="1" applyBorder="1" applyAlignment="1">
      <alignment horizontal="center"/>
      <protection/>
    </xf>
    <xf numFmtId="3" fontId="10" fillId="0" borderId="0" xfId="0" applyNumberFormat="1" applyFont="1" applyAlignment="1">
      <alignment horizontal="center" vertical="center"/>
    </xf>
    <xf numFmtId="49" fontId="12" fillId="0" borderId="0" xfId="60" applyNumberFormat="1" applyFont="1">
      <alignment/>
      <protection/>
    </xf>
    <xf numFmtId="0" fontId="6" fillId="0" borderId="0" xfId="60" applyFont="1">
      <alignment/>
      <protection/>
    </xf>
    <xf numFmtId="49" fontId="0" fillId="0" borderId="0" xfId="0" applyNumberFormat="1" applyAlignment="1" quotePrefix="1">
      <alignment vertical="center"/>
    </xf>
    <xf numFmtId="3" fontId="10" fillId="0" borderId="29" xfId="60" applyNumberFormat="1" applyFont="1" applyBorder="1" applyAlignment="1">
      <alignment horizontal="right"/>
      <protection/>
    </xf>
    <xf numFmtId="4" fontId="10" fillId="0" borderId="29" xfId="61" applyNumberFormat="1" applyFont="1" applyBorder="1">
      <alignment/>
      <protection/>
    </xf>
    <xf numFmtId="49" fontId="12" fillId="0" borderId="0" xfId="61" applyNumberFormat="1" applyFont="1" quotePrefix="1">
      <alignment/>
      <protection/>
    </xf>
    <xf numFmtId="3" fontId="12" fillId="0" borderId="0" xfId="40" applyNumberFormat="1" applyFont="1" applyBorder="1" applyAlignment="1">
      <alignment horizontal="right"/>
    </xf>
    <xf numFmtId="3" fontId="18" fillId="0" borderId="0" xfId="4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68" fontId="10" fillId="0" borderId="0" xfId="40" applyNumberFormat="1" applyFont="1" applyBorder="1" applyAlignment="1">
      <alignment/>
    </xf>
    <xf numFmtId="0" fontId="4" fillId="0" borderId="57" xfId="61" applyFont="1" applyBorder="1">
      <alignment/>
      <protection/>
    </xf>
    <xf numFmtId="0" fontId="7" fillId="0" borderId="47" xfId="0" applyFont="1" applyBorder="1" applyAlignment="1">
      <alignment/>
    </xf>
    <xf numFmtId="0" fontId="12" fillId="0" borderId="0" xfId="58" applyFont="1" applyBorder="1" applyAlignment="1" quotePrefix="1">
      <alignment horizontal="center"/>
      <protection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 quotePrefix="1">
      <alignment horizontal="left" wrapText="1"/>
    </xf>
    <xf numFmtId="0" fontId="0" fillId="0" borderId="0" xfId="0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 wrapText="1"/>
      <protection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6" fillId="0" borderId="0" xfId="58" applyFont="1" applyAlignment="1">
      <alignment horizont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38" xfId="58" applyFont="1" applyBorder="1" applyAlignment="1">
      <alignment horizontal="center" vertical="center"/>
      <protection/>
    </xf>
    <xf numFmtId="0" fontId="6" fillId="0" borderId="42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58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59" xfId="58" applyFont="1" applyBorder="1" applyAlignment="1">
      <alignment horizontal="center" vertical="center"/>
      <protection/>
    </xf>
    <xf numFmtId="0" fontId="6" fillId="0" borderId="0" xfId="58" applyFont="1" applyAlignment="1">
      <alignment horizontal="center"/>
      <protection/>
    </xf>
    <xf numFmtId="0" fontId="4" fillId="0" borderId="11" xfId="58" applyFont="1" applyBorder="1" applyAlignment="1">
      <alignment horizontal="center" vertical="center" textRotation="255"/>
      <protection/>
    </xf>
    <xf numFmtId="0" fontId="4" fillId="0" borderId="13" xfId="58" applyFont="1" applyBorder="1" applyAlignment="1">
      <alignment horizontal="center" vertical="center" textRotation="255"/>
      <protection/>
    </xf>
    <xf numFmtId="0" fontId="4" fillId="0" borderId="15" xfId="58" applyFont="1" applyBorder="1" applyAlignment="1">
      <alignment horizontal="center" vertical="center" textRotation="255"/>
      <protection/>
    </xf>
    <xf numFmtId="0" fontId="11" fillId="0" borderId="42" xfId="60" applyFont="1" applyBorder="1" applyAlignment="1">
      <alignment horizontal="center" vertical="center" wrapText="1"/>
      <protection/>
    </xf>
    <xf numFmtId="0" fontId="11" fillId="0" borderId="58" xfId="60" applyFont="1" applyBorder="1" applyAlignment="1">
      <alignment horizontal="center" vertical="center" wrapText="1"/>
      <protection/>
    </xf>
    <xf numFmtId="0" fontId="11" fillId="0" borderId="59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168" fontId="23" fillId="0" borderId="46" xfId="40" applyNumberFormat="1" applyFont="1" applyBorder="1" applyAlignment="1">
      <alignment horizontal="center" vertical="center"/>
    </xf>
    <xf numFmtId="168" fontId="23" fillId="0" borderId="56" xfId="40" applyNumberFormat="1" applyFont="1" applyBorder="1" applyAlignment="1">
      <alignment horizontal="center" vertical="center"/>
    </xf>
    <xf numFmtId="168" fontId="23" fillId="0" borderId="10" xfId="40" applyNumberFormat="1" applyFont="1" applyBorder="1" applyAlignment="1">
      <alignment horizontal="center" vertical="center"/>
    </xf>
    <xf numFmtId="168" fontId="23" fillId="0" borderId="38" xfId="40" applyNumberFormat="1" applyFont="1" applyBorder="1" applyAlignment="1">
      <alignment horizontal="center" vertical="center"/>
    </xf>
    <xf numFmtId="168" fontId="23" fillId="0" borderId="42" xfId="40" applyNumberFormat="1" applyFont="1" applyBorder="1" applyAlignment="1">
      <alignment horizontal="center" vertical="center"/>
    </xf>
    <xf numFmtId="168" fontId="23" fillId="0" borderId="14" xfId="40" applyNumberFormat="1" applyFont="1" applyBorder="1" applyAlignment="1">
      <alignment horizontal="center" vertical="center"/>
    </xf>
    <xf numFmtId="168" fontId="23" fillId="0" borderId="16" xfId="40" applyNumberFormat="1" applyFont="1" applyBorder="1" applyAlignment="1">
      <alignment horizontal="center" vertical="center"/>
    </xf>
    <xf numFmtId="168" fontId="23" fillId="0" borderId="59" xfId="40" applyNumberFormat="1" applyFont="1" applyBorder="1" applyAlignment="1">
      <alignment horizontal="center" vertical="center"/>
    </xf>
    <xf numFmtId="0" fontId="7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10" fillId="0" borderId="0" xfId="58" applyFont="1" applyAlignment="1">
      <alignment horizontal="center" wrapText="1"/>
      <protection/>
    </xf>
    <xf numFmtId="0" fontId="7" fillId="0" borderId="12" xfId="58" applyFont="1" applyBorder="1" applyAlignment="1">
      <alignment horizontal="center"/>
      <protection/>
    </xf>
    <xf numFmtId="0" fontId="7" fillId="0" borderId="58" xfId="58" applyFont="1" applyBorder="1" applyAlignment="1">
      <alignment horizontal="center"/>
      <protection/>
    </xf>
    <xf numFmtId="0" fontId="7" fillId="0" borderId="14" xfId="58" applyFont="1" applyBorder="1" applyAlignment="1">
      <alignment horizontal="center"/>
      <protection/>
    </xf>
    <xf numFmtId="0" fontId="7" fillId="0" borderId="59" xfId="58" applyFont="1" applyBorder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11" fillId="0" borderId="16" xfId="61" applyFont="1" applyBorder="1" applyAlignment="1">
      <alignment horizontal="right"/>
      <protection/>
    </xf>
    <xf numFmtId="0" fontId="11" fillId="0" borderId="36" xfId="58" applyFont="1" applyBorder="1" applyAlignment="1">
      <alignment horizontal="center"/>
      <protection/>
    </xf>
    <xf numFmtId="0" fontId="11" fillId="0" borderId="46" xfId="58" applyFont="1" applyBorder="1" applyAlignment="1">
      <alignment horizontal="center"/>
      <protection/>
    </xf>
    <xf numFmtId="0" fontId="11" fillId="0" borderId="56" xfId="58" applyFont="1" applyBorder="1" applyAlignment="1">
      <alignment horizontal="center"/>
      <protection/>
    </xf>
    <xf numFmtId="0" fontId="7" fillId="0" borderId="36" xfId="58" applyFont="1" applyBorder="1" applyAlignment="1">
      <alignment horizontal="center"/>
      <protection/>
    </xf>
    <xf numFmtId="0" fontId="7" fillId="0" borderId="56" xfId="58" applyFont="1" applyBorder="1" applyAlignment="1">
      <alignment horizontal="center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42" xfId="60" applyFont="1" applyBorder="1" applyAlignment="1">
      <alignment horizontal="center" vertical="center" wrapText="1"/>
      <protection/>
    </xf>
    <xf numFmtId="0" fontId="11" fillId="0" borderId="58" xfId="60" applyFont="1" applyBorder="1" applyAlignment="1">
      <alignment horizontal="center" vertical="center" wrapText="1"/>
      <protection/>
    </xf>
    <xf numFmtId="0" fontId="11" fillId="0" borderId="59" xfId="60" applyFont="1" applyBorder="1" applyAlignment="1">
      <alignment horizontal="center" vertical="center" wrapText="1"/>
      <protection/>
    </xf>
    <xf numFmtId="0" fontId="11" fillId="0" borderId="34" xfId="58" applyFont="1" applyBorder="1" applyAlignment="1">
      <alignment horizontal="center" vertical="center" textRotation="180"/>
      <protection/>
    </xf>
    <xf numFmtId="0" fontId="11" fillId="0" borderId="21" xfId="58" applyFont="1" applyBorder="1" applyAlignment="1">
      <alignment horizontal="center" vertical="center" textRotation="180"/>
      <protection/>
    </xf>
    <xf numFmtId="0" fontId="11" fillId="0" borderId="22" xfId="58" applyFont="1" applyBorder="1" applyAlignment="1">
      <alignment horizontal="center" vertical="center" textRotation="180"/>
      <protection/>
    </xf>
    <xf numFmtId="44" fontId="11" fillId="0" borderId="36" xfId="63" applyFont="1" applyBorder="1" applyAlignment="1">
      <alignment horizontal="center" vertical="center"/>
    </xf>
    <xf numFmtId="44" fontId="11" fillId="0" borderId="46" xfId="63" applyFont="1" applyBorder="1" applyAlignment="1">
      <alignment horizontal="center" vertical="center"/>
    </xf>
    <xf numFmtId="44" fontId="11" fillId="0" borderId="56" xfId="63" applyFont="1" applyBorder="1" applyAlignment="1">
      <alignment horizontal="center" vertical="center"/>
    </xf>
    <xf numFmtId="0" fontId="27" fillId="0" borderId="11" xfId="58" applyFont="1" applyBorder="1" applyAlignment="1">
      <alignment horizontal="center" vertical="center" wrapText="1"/>
      <protection/>
    </xf>
    <xf numFmtId="0" fontId="27" fillId="0" borderId="13" xfId="58" applyFont="1" applyBorder="1" applyAlignment="1">
      <alignment horizontal="center" vertical="center" wrapText="1"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11" fillId="0" borderId="36" xfId="58" applyFont="1" applyBorder="1" applyAlignment="1">
      <alignment horizontal="center" vertical="center"/>
      <protection/>
    </xf>
    <xf numFmtId="0" fontId="11" fillId="0" borderId="46" xfId="58" applyFont="1" applyBorder="1" applyAlignment="1">
      <alignment horizontal="center" vertical="center"/>
      <protection/>
    </xf>
    <xf numFmtId="0" fontId="11" fillId="0" borderId="56" xfId="58" applyFont="1" applyBorder="1" applyAlignment="1">
      <alignment horizontal="center" vertical="center"/>
      <protection/>
    </xf>
    <xf numFmtId="0" fontId="11" fillId="0" borderId="36" xfId="58" applyFont="1" applyBorder="1" applyAlignment="1">
      <alignment horizontal="center" vertical="center" wrapText="1"/>
      <protection/>
    </xf>
    <xf numFmtId="0" fontId="11" fillId="0" borderId="46" xfId="58" applyFont="1" applyBorder="1" applyAlignment="1">
      <alignment horizontal="center" vertical="center" wrapText="1"/>
      <protection/>
    </xf>
    <xf numFmtId="0" fontId="11" fillId="0" borderId="56" xfId="58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61" applyFont="1" applyAlignment="1">
      <alignment horizontal="center"/>
      <protection/>
    </xf>
    <xf numFmtId="168" fontId="23" fillId="0" borderId="12" xfId="40" applyNumberFormat="1" applyFont="1" applyBorder="1" applyAlignment="1">
      <alignment horizontal="center" vertical="center"/>
    </xf>
    <xf numFmtId="168" fontId="23" fillId="0" borderId="0" xfId="40" applyNumberFormat="1" applyFont="1" applyBorder="1" applyAlignment="1">
      <alignment horizontal="center" vertical="center"/>
    </xf>
    <xf numFmtId="168" fontId="23" fillId="0" borderId="58" xfId="40" applyNumberFormat="1" applyFont="1" applyBorder="1" applyAlignment="1">
      <alignment horizontal="center" vertical="center"/>
    </xf>
    <xf numFmtId="0" fontId="26" fillId="0" borderId="11" xfId="58" applyFont="1" applyBorder="1" applyAlignment="1">
      <alignment horizontal="center" textRotation="255"/>
      <protection/>
    </xf>
    <xf numFmtId="0" fontId="26" fillId="0" borderId="13" xfId="58" applyFont="1" applyBorder="1" applyAlignment="1">
      <alignment horizontal="center" textRotation="255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0" fillId="0" borderId="5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60" applyFont="1" applyAlignment="1">
      <alignment horizontal="left" wrapText="1"/>
      <protection/>
    </xf>
    <xf numFmtId="0" fontId="10" fillId="0" borderId="5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2" fillId="0" borderId="0" xfId="60" applyFont="1" applyAlignment="1">
      <alignment wrapText="1"/>
      <protection/>
    </xf>
    <xf numFmtId="0" fontId="7" fillId="0" borderId="0" xfId="0" applyFont="1" applyAlignment="1">
      <alignment wrapText="1"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11" fillId="0" borderId="11" xfId="60" applyFont="1" applyBorder="1" applyAlignment="1">
      <alignment horizontal="center" vertical="center" textRotation="180"/>
      <protection/>
    </xf>
    <xf numFmtId="0" fontId="11" fillId="0" borderId="13" xfId="60" applyFont="1" applyBorder="1" applyAlignment="1">
      <alignment horizontal="center" vertical="center" textRotation="180"/>
      <protection/>
    </xf>
    <xf numFmtId="0" fontId="11" fillId="0" borderId="15" xfId="60" applyFont="1" applyBorder="1" applyAlignment="1">
      <alignment horizontal="center" vertical="center" textRotation="180"/>
      <protection/>
    </xf>
    <xf numFmtId="0" fontId="21" fillId="0" borderId="0" xfId="0" applyFont="1" applyAlignment="1">
      <alignment horizontal="center"/>
    </xf>
    <xf numFmtId="0" fontId="12" fillId="0" borderId="11" xfId="61" applyFont="1" applyBorder="1" applyAlignment="1">
      <alignment horizontal="center" textRotation="180"/>
      <protection/>
    </xf>
    <xf numFmtId="0" fontId="12" fillId="0" borderId="13" xfId="61" applyFont="1" applyBorder="1" applyAlignment="1">
      <alignment horizontal="center" textRotation="180"/>
      <protection/>
    </xf>
    <xf numFmtId="0" fontId="12" fillId="0" borderId="15" xfId="61" applyFont="1" applyBorder="1" applyAlignment="1">
      <alignment horizontal="center" textRotation="180"/>
      <protection/>
    </xf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26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4" fillId="0" borderId="65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168" fontId="4" fillId="0" borderId="66" xfId="40" applyNumberFormat="1" applyFont="1" applyBorder="1" applyAlignment="1">
      <alignment horizontal="center" vertical="center"/>
    </xf>
    <xf numFmtId="168" fontId="4" fillId="0" borderId="67" xfId="40" applyNumberFormat="1" applyFont="1" applyBorder="1" applyAlignment="1">
      <alignment horizontal="center" vertical="center"/>
    </xf>
    <xf numFmtId="0" fontId="4" fillId="0" borderId="68" xfId="58" applyFont="1" applyBorder="1" applyAlignment="1">
      <alignment horizontal="center" vertical="center"/>
      <protection/>
    </xf>
    <xf numFmtId="0" fontId="4" fillId="0" borderId="67" xfId="58" applyFont="1" applyBorder="1" applyAlignment="1">
      <alignment horizontal="center" vertical="center"/>
      <protection/>
    </xf>
    <xf numFmtId="0" fontId="4" fillId="0" borderId="69" xfId="58" applyFont="1" applyBorder="1" applyAlignment="1">
      <alignment horizontal="center" vertical="center"/>
      <protection/>
    </xf>
    <xf numFmtId="168" fontId="4" fillId="0" borderId="70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0" fontId="4" fillId="0" borderId="71" xfId="58" applyFont="1" applyBorder="1" applyAlignment="1">
      <alignment horizontal="center"/>
      <protection/>
    </xf>
    <xf numFmtId="0" fontId="4" fillId="0" borderId="72" xfId="58" applyFont="1" applyBorder="1" applyAlignment="1">
      <alignment horizontal="center"/>
      <protection/>
    </xf>
    <xf numFmtId="0" fontId="4" fillId="0" borderId="70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 vertical="center" wrapText="1"/>
      <protection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79" xfId="40" applyNumberFormat="1" applyFont="1" applyBorder="1" applyAlignment="1">
      <alignment horizontal="center" vertical="center"/>
    </xf>
    <xf numFmtId="168" fontId="12" fillId="0" borderId="80" xfId="40" applyNumberFormat="1" applyFont="1" applyBorder="1" applyAlignment="1">
      <alignment horizontal="center" vertical="center"/>
    </xf>
    <xf numFmtId="168" fontId="12" fillId="0" borderId="81" xfId="40" applyNumberFormat="1" applyFont="1" applyBorder="1" applyAlignment="1">
      <alignment horizontal="center" vertical="center"/>
    </xf>
    <xf numFmtId="168" fontId="12" fillId="0" borderId="82" xfId="40" applyNumberFormat="1" applyFont="1" applyBorder="1" applyAlignment="1">
      <alignment horizontal="center" vertical="center"/>
    </xf>
    <xf numFmtId="168" fontId="12" fillId="0" borderId="83" xfId="40" applyNumberFormat="1" applyFont="1" applyBorder="1" applyAlignment="1">
      <alignment horizontal="center" vertical="center"/>
    </xf>
    <xf numFmtId="168" fontId="12" fillId="0" borderId="84" xfId="40" applyNumberFormat="1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2" fontId="12" fillId="0" borderId="79" xfId="0" applyNumberFormat="1" applyFont="1" applyBorder="1" applyAlignment="1">
      <alignment horizontal="center" vertical="center" wrapText="1"/>
    </xf>
    <xf numFmtId="2" fontId="12" fillId="0" borderId="80" xfId="0" applyNumberFormat="1" applyFont="1" applyBorder="1" applyAlignment="1">
      <alignment horizontal="center" vertical="center" wrapText="1"/>
    </xf>
    <xf numFmtId="2" fontId="12" fillId="0" borderId="81" xfId="0" applyNumberFormat="1" applyFont="1" applyBorder="1" applyAlignment="1">
      <alignment horizontal="center" vertical="center" wrapText="1"/>
    </xf>
    <xf numFmtId="168" fontId="12" fillId="0" borderId="86" xfId="4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87" xfId="0" applyFont="1" applyBorder="1" applyAlignment="1">
      <alignment horizontal="left" vertical="center" wrapText="1"/>
    </xf>
    <xf numFmtId="168" fontId="12" fillId="0" borderId="88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168" fontId="12" fillId="0" borderId="70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87" xfId="40" applyNumberFormat="1" applyFont="1" applyBorder="1" applyAlignment="1">
      <alignment horizontal="center" vertical="center"/>
    </xf>
    <xf numFmtId="168" fontId="18" fillId="0" borderId="90" xfId="40" applyNumberFormat="1" applyFont="1" applyBorder="1" applyAlignment="1">
      <alignment horizontal="center" vertical="center"/>
    </xf>
    <xf numFmtId="168" fontId="18" fillId="0" borderId="91" xfId="40" applyNumberFormat="1" applyFont="1" applyBorder="1" applyAlignment="1">
      <alignment horizontal="center" vertical="center"/>
    </xf>
    <xf numFmtId="168" fontId="18" fillId="0" borderId="92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93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95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96" xfId="0" applyFont="1" applyBorder="1" applyAlignment="1">
      <alignment horizontal="left" vertical="center"/>
    </xf>
    <xf numFmtId="0" fontId="12" fillId="0" borderId="97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/>
    </xf>
    <xf numFmtId="0" fontId="12" fillId="0" borderId="99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10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2" fillId="0" borderId="3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12" fillId="0" borderId="34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" fillId="0" borderId="7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3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87" xfId="0" applyFont="1" applyBorder="1" applyAlignment="1">
      <alignment horizontal="center"/>
    </xf>
    <xf numFmtId="168" fontId="12" fillId="0" borderId="3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5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68" fontId="12" fillId="0" borderId="29" xfId="4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42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59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42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59" xfId="40" applyNumberFormat="1" applyFont="1" applyBorder="1" applyAlignment="1">
      <alignment horizontal="center"/>
    </xf>
    <xf numFmtId="168" fontId="12" fillId="0" borderId="101" xfId="40" applyNumberFormat="1" applyFont="1" applyBorder="1" applyAlignment="1">
      <alignment horizontal="center"/>
    </xf>
    <xf numFmtId="168" fontId="12" fillId="0" borderId="102" xfId="4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4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36" xfId="57" applyFont="1" applyBorder="1" applyAlignment="1">
      <alignment horizontal="center"/>
      <protection/>
    </xf>
    <xf numFmtId="0" fontId="6" fillId="0" borderId="46" xfId="57" applyFont="1" applyBorder="1" applyAlignment="1">
      <alignment horizontal="center"/>
      <protection/>
    </xf>
    <xf numFmtId="0" fontId="0" fillId="0" borderId="30" xfId="0" applyBorder="1" applyAlignment="1">
      <alignment/>
    </xf>
    <xf numFmtId="0" fontId="19" fillId="0" borderId="30" xfId="0" applyFont="1" applyBorder="1" applyAlignment="1">
      <alignment wrapText="1"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36" xfId="0" applyBorder="1" applyAlignment="1">
      <alignment/>
    </xf>
    <xf numFmtId="0" fontId="0" fillId="0" borderId="5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56" xfId="0" applyNumberFormat="1" applyBorder="1" applyAlignment="1">
      <alignment/>
    </xf>
    <xf numFmtId="0" fontId="35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6" fillId="0" borderId="0" xfId="0" applyFont="1" applyAlignment="1">
      <alignment/>
    </xf>
    <xf numFmtId="3" fontId="21" fillId="0" borderId="0" xfId="40" applyNumberFormat="1" applyFont="1" applyBorder="1" applyAlignment="1">
      <alignment horizontal="right"/>
    </xf>
    <xf numFmtId="0" fontId="4" fillId="0" borderId="104" xfId="0" applyFont="1" applyBorder="1" applyAlignment="1">
      <alignment/>
    </xf>
    <xf numFmtId="0" fontId="11" fillId="0" borderId="105" xfId="60" applyFont="1" applyBorder="1" applyAlignment="1">
      <alignment horizontal="left" wrapText="1"/>
      <protection/>
    </xf>
    <xf numFmtId="168" fontId="7" fillId="0" borderId="104" xfId="40" applyNumberFormat="1" applyFont="1" applyBorder="1" applyAlignment="1">
      <alignment/>
    </xf>
    <xf numFmtId="168" fontId="4" fillId="0" borderId="106" xfId="40" applyNumberFormat="1" applyFont="1" applyBorder="1" applyAlignment="1">
      <alignment/>
    </xf>
    <xf numFmtId="168" fontId="4" fillId="0" borderId="107" xfId="40" applyNumberFormat="1" applyFont="1" applyBorder="1" applyAlignment="1">
      <alignment/>
    </xf>
    <xf numFmtId="168" fontId="4" fillId="0" borderId="108" xfId="40" applyNumberFormat="1" applyFont="1" applyBorder="1" applyAlignment="1">
      <alignment/>
    </xf>
    <xf numFmtId="168" fontId="12" fillId="0" borderId="0" xfId="42" applyNumberFormat="1" applyFont="1" applyBorder="1" applyAlignment="1">
      <alignment horizontal="right"/>
    </xf>
    <xf numFmtId="168" fontId="6" fillId="0" borderId="0" xfId="42" applyNumberFormat="1" applyFont="1" applyBorder="1" applyAlignment="1">
      <alignment horizontal="right"/>
    </xf>
    <xf numFmtId="168" fontId="12" fillId="0" borderId="37" xfId="42" applyNumberFormat="1" applyFont="1" applyBorder="1" applyAlignment="1">
      <alignment horizontal="right"/>
    </xf>
    <xf numFmtId="0" fontId="15" fillId="0" borderId="0" xfId="60" applyFont="1" applyBorder="1" applyAlignment="1">
      <alignment horizontal="left" wrapText="1"/>
      <protection/>
    </xf>
    <xf numFmtId="0" fontId="6" fillId="0" borderId="7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168" fontId="6" fillId="0" borderId="13" xfId="42" applyNumberFormat="1" applyFont="1" applyBorder="1" applyAlignment="1">
      <alignment horizontal="center"/>
    </xf>
    <xf numFmtId="168" fontId="6" fillId="0" borderId="11" xfId="42" applyNumberFormat="1" applyFont="1" applyBorder="1" applyAlignment="1">
      <alignment/>
    </xf>
    <xf numFmtId="168" fontId="6" fillId="0" borderId="111" xfId="42" applyNumberFormat="1" applyFont="1" applyBorder="1" applyAlignment="1">
      <alignment/>
    </xf>
    <xf numFmtId="168" fontId="6" fillId="0" borderId="112" xfId="42" applyNumberFormat="1" applyFont="1" applyBorder="1" applyAlignment="1">
      <alignment/>
    </xf>
    <xf numFmtId="168" fontId="6" fillId="0" borderId="70" xfId="42" applyNumberFormat="1" applyFont="1" applyBorder="1" applyAlignment="1">
      <alignment/>
    </xf>
    <xf numFmtId="168" fontId="12" fillId="0" borderId="70" xfId="42" applyNumberFormat="1" applyFont="1" applyBorder="1" applyAlignment="1">
      <alignment/>
    </xf>
    <xf numFmtId="168" fontId="12" fillId="0" borderId="112" xfId="42" applyNumberFormat="1" applyFont="1" applyBorder="1" applyAlignment="1">
      <alignment/>
    </xf>
    <xf numFmtId="168" fontId="12" fillId="0" borderId="11" xfId="42" applyNumberFormat="1" applyFont="1" applyBorder="1" applyAlignment="1">
      <alignment/>
    </xf>
    <xf numFmtId="168" fontId="12" fillId="0" borderId="13" xfId="42" applyNumberFormat="1" applyFont="1" applyBorder="1" applyAlignment="1">
      <alignment horizontal="center"/>
    </xf>
    <xf numFmtId="168" fontId="12" fillId="0" borderId="61" xfId="42" applyNumberFormat="1" applyFont="1" applyBorder="1" applyAlignment="1">
      <alignment horizontal="center"/>
    </xf>
    <xf numFmtId="168" fontId="12" fillId="0" borderId="60" xfId="42" applyNumberFormat="1" applyFont="1" applyBorder="1" applyAlignment="1">
      <alignment horizontal="center"/>
    </xf>
    <xf numFmtId="168" fontId="12" fillId="0" borderId="21" xfId="42" applyNumberFormat="1" applyFont="1" applyBorder="1" applyAlignment="1">
      <alignment horizontal="center"/>
    </xf>
    <xf numFmtId="168" fontId="12" fillId="0" borderId="15" xfId="42" applyNumberFormat="1" applyFont="1" applyBorder="1" applyAlignment="1">
      <alignment/>
    </xf>
    <xf numFmtId="168" fontId="12" fillId="0" borderId="113" xfId="42" applyNumberFormat="1" applyFont="1" applyBorder="1" applyAlignment="1">
      <alignment/>
    </xf>
    <xf numFmtId="168" fontId="12" fillId="0" borderId="114" xfId="42" applyNumberFormat="1" applyFont="1" applyBorder="1" applyAlignment="1">
      <alignment/>
    </xf>
    <xf numFmtId="168" fontId="12" fillId="0" borderId="87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32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29" fillId="0" borderId="29" xfId="42" applyNumberFormat="1" applyFont="1" applyFill="1" applyBorder="1" applyAlignment="1">
      <alignment/>
    </xf>
    <xf numFmtId="168" fontId="29" fillId="0" borderId="44" xfId="42" applyNumberFormat="1" applyFont="1" applyFill="1" applyBorder="1" applyAlignment="1">
      <alignment/>
    </xf>
    <xf numFmtId="168" fontId="12" fillId="0" borderId="29" xfId="42" applyNumberFormat="1" applyFont="1" applyFill="1" applyBorder="1" applyAlignment="1">
      <alignment/>
    </xf>
    <xf numFmtId="168" fontId="12" fillId="0" borderId="44" xfId="42" applyNumberFormat="1" applyFont="1" applyFill="1" applyBorder="1" applyAlignment="1">
      <alignment/>
    </xf>
    <xf numFmtId="168" fontId="6" fillId="0" borderId="115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12" fillId="0" borderId="116" xfId="42" applyNumberFormat="1" applyFont="1" applyBorder="1" applyAlignment="1">
      <alignment/>
    </xf>
    <xf numFmtId="168" fontId="12" fillId="0" borderId="117" xfId="42" applyNumberFormat="1" applyFont="1" applyBorder="1" applyAlignment="1">
      <alignment/>
    </xf>
    <xf numFmtId="168" fontId="12" fillId="0" borderId="118" xfId="42" applyNumberFormat="1" applyFont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tke%20test&#252;let\2020.09.21\Rendelet\Sitke%202020.%20&#233;vi%20k&#246;lts&#233;gvet&#233;s%202-sz.m&#243;d-%20mell&#233;klet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'2020.%20(XII.%2016.)%20Sitke%202020.%20&#233;vi%20k&#246;lts&#233;gvet&#233;s%203-sz.m&#243;d-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."/>
      <sheetName val="1.mell. -mérleg"/>
      <sheetName val="2.mell - bevétel"/>
      <sheetName val="3.mell. - bevét.Köá"/>
      <sheetName val="4.mell. - kiadás"/>
      <sheetName val="5.mell. - kiadás.köá."/>
      <sheetName val="6.mell. - közgazd.mérleg"/>
      <sheetName val="7.mell. -ei.felh.ütemt."/>
      <sheetName val="8.mell."/>
      <sheetName val="9.mell"/>
      <sheetName val="Munka1"/>
    </sheetNames>
    <sheetDataSet>
      <sheetData sheetId="6">
        <row r="7">
          <cell r="A7" t="str">
            <v>Sitke község Önkormányzata</v>
          </cell>
        </row>
        <row r="8">
          <cell r="A8" t="str">
            <v>Költségvetési (működési és felhalmozási ) mérlege</v>
          </cell>
        </row>
        <row r="9">
          <cell r="A9" t="str">
            <v>(közgazdasági tagolásban)</v>
          </cell>
        </row>
        <row r="10">
          <cell r="A10" t="str">
            <v>2020. év</v>
          </cell>
        </row>
      </sheetData>
      <sheetData sheetId="9">
        <row r="7">
          <cell r="A7" t="str">
            <v>SITKE KÖZSÉG ÖNKORMÁNYZATA</v>
          </cell>
        </row>
        <row r="8">
          <cell r="A8" t="str">
            <v>KÖLTSÉGVETÉSI SZERVEK KÖZPONTI KÖLTSÉGVETÉSI ÉS ÖNKORMÁNYZATI TÁMOGATÁSA</v>
          </cell>
        </row>
        <row r="9">
          <cell r="A9" t="str">
            <v>2020. év</v>
          </cell>
        </row>
        <row r="11">
          <cell r="G11" t="str">
            <v> (  Ft-ban )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."/>
      <sheetName val="1.mell. -mérleg"/>
      <sheetName val="2.mell - bevétel"/>
      <sheetName val="3.mell. - bevét.Köá"/>
      <sheetName val="4.mell. - kiadás"/>
      <sheetName val="5.mell. - kiadás.köá."/>
      <sheetName val="6.mell. - beruházások"/>
      <sheetName val="7.mell.-felújítások"/>
      <sheetName val="8.mell. - közgazd.mérleg"/>
      <sheetName val="9.mell. -ei.felh.ütemt."/>
      <sheetName val="10.mell."/>
      <sheetName val="11.mell"/>
      <sheetName val="Munka1"/>
    </sheetNames>
    <sheetDataSet>
      <sheetData sheetId="1">
        <row r="6">
          <cell r="B6" t="str">
            <v>SITKE KÖZSÉG ÖNKORMÁNYZATA</v>
          </cell>
        </row>
        <row r="7">
          <cell r="B7" t="str">
            <v>BEVÉTELEINEK ÉS KIADÁSAINAK ALAKULÁSA</v>
          </cell>
        </row>
        <row r="8">
          <cell r="B8" t="str">
            <v>2020. évre</v>
          </cell>
        </row>
        <row r="10">
          <cell r="A10" t="str">
            <v>1.</v>
          </cell>
          <cell r="B10" t="str">
            <v>BEVÉTELEK:</v>
          </cell>
        </row>
        <row r="11">
          <cell r="A11" t="str">
            <v>1.1.</v>
          </cell>
          <cell r="B11" t="str">
            <v>MŰKÖDÉSI TÁMOGATÁSOK ÁLLAMHÁZTARTÁSON BELÜLRŐL</v>
          </cell>
          <cell r="E11">
            <v>36221665</v>
          </cell>
          <cell r="F11" t="str">
            <v> Ft</v>
          </cell>
        </row>
        <row r="12">
          <cell r="A12" t="str">
            <v>1.1.1.</v>
          </cell>
          <cell r="B12" t="str">
            <v> ebből:   Helyi önkormányzatok  működésének  általános támogatása</v>
          </cell>
          <cell r="C12">
            <v>35872029</v>
          </cell>
          <cell r="D12" t="str">
            <v>e Ft</v>
          </cell>
        </row>
        <row r="13">
          <cell r="A13" t="str">
            <v>1.1.2.</v>
          </cell>
          <cell r="B13" t="str">
            <v>             Egyéb működési célú támogatások bevételei államháztartáson belülről</v>
          </cell>
          <cell r="C13">
            <v>349636</v>
          </cell>
          <cell r="D13" t="str">
            <v>e Ft</v>
          </cell>
        </row>
        <row r="15">
          <cell r="A15" t="str">
            <v>1.2.</v>
          </cell>
          <cell r="B15" t="str">
            <v>FELHALMOZÁSI TÁMOGATÁSOK ÁLLAMHÁZTARTÁSON BELÜLRŐL</v>
          </cell>
          <cell r="F15" t="str">
            <v> Ft</v>
          </cell>
        </row>
        <row r="17">
          <cell r="A17" t="str">
            <v>1.3.</v>
          </cell>
          <cell r="B17" t="str">
            <v>KÖZHATALMI BEVÉTELEK</v>
          </cell>
          <cell r="E17">
            <v>6128056</v>
          </cell>
          <cell r="F17" t="str">
            <v> Ft</v>
          </cell>
        </row>
        <row r="19">
          <cell r="A19" t="str">
            <v>1.4.</v>
          </cell>
          <cell r="B19" t="str">
            <v>MŰKÖDÉSI BEVÉTELEK</v>
          </cell>
          <cell r="E19">
            <v>11024170</v>
          </cell>
          <cell r="F19" t="str">
            <v> Ft</v>
          </cell>
        </row>
        <row r="21">
          <cell r="A21" t="str">
            <v>1.5.</v>
          </cell>
          <cell r="B21" t="str">
            <v>FELHALMOZÁSI BEVÉTELEK</v>
          </cell>
          <cell r="E21">
            <v>121813100</v>
          </cell>
          <cell r="F21" t="str">
            <v> Ft</v>
          </cell>
        </row>
        <row r="23">
          <cell r="A23" t="str">
            <v>1.6.</v>
          </cell>
          <cell r="B23" t="str">
            <v>MŰKÖDÉSI CÉLÚ ÁTVETT PÉNZESZKÖZÖK</v>
          </cell>
          <cell r="E23">
            <v>0</v>
          </cell>
          <cell r="F23" t="str">
            <v> Ft</v>
          </cell>
        </row>
        <row r="24">
          <cell r="A24" t="str">
            <v>1.6.1.</v>
          </cell>
          <cell r="B24" t="str">
            <v> ebből: működési célú visszatérítendő támogatások, kölcsönök visszatérülése államházt.kívülről</v>
          </cell>
          <cell r="C24">
            <v>0</v>
          </cell>
          <cell r="D24" t="str">
            <v>e Ft</v>
          </cell>
        </row>
        <row r="25">
          <cell r="B25" t="str">
            <v>           Egyéb működési célú átvett pénzeszközök</v>
          </cell>
          <cell r="C25">
            <v>0</v>
          </cell>
          <cell r="D25" t="str">
            <v>e Ft</v>
          </cell>
        </row>
        <row r="27">
          <cell r="A27" t="str">
            <v>1.7.</v>
          </cell>
          <cell r="B27" t="str">
            <v>FELHALMOZÁSI CÉLÚ ÁTVETT PÉNZESZKÖZÖK</v>
          </cell>
          <cell r="E27">
            <v>8277879</v>
          </cell>
          <cell r="F27" t="str">
            <v> Ft</v>
          </cell>
        </row>
        <row r="28">
          <cell r="A28" t="str">
            <v>1.7.1.</v>
          </cell>
          <cell r="B28" t="str">
            <v> ebből: felhalmozási célú visszatérítendő támogatások, kölcsönök visszatérülése államházt.kívülről</v>
          </cell>
          <cell r="C28">
            <v>2277879</v>
          </cell>
          <cell r="D28" t="str">
            <v>e Ft</v>
          </cell>
        </row>
        <row r="29">
          <cell r="A29" t="str">
            <v>1.7.2.</v>
          </cell>
          <cell r="B29" t="str">
            <v>           Egyéb felhalmozási célú átvett pénzeszközök</v>
          </cell>
          <cell r="C29">
            <v>6000000</v>
          </cell>
          <cell r="D29" t="str">
            <v>e Ft</v>
          </cell>
        </row>
        <row r="31">
          <cell r="A31" t="str">
            <v>2.</v>
          </cell>
          <cell r="B31" t="str">
            <v>TÁRGYÉVI BEVÉTELEK ÖSSZESEN:</v>
          </cell>
          <cell r="E31">
            <v>183464870</v>
          </cell>
          <cell r="F31" t="str">
            <v> Ft</v>
          </cell>
        </row>
        <row r="33">
          <cell r="A33" t="str">
            <v>3.</v>
          </cell>
          <cell r="B33" t="str">
            <v>KIADÁSOK:</v>
          </cell>
        </row>
        <row r="34">
          <cell r="A34" t="str">
            <v>3.1.</v>
          </cell>
          <cell r="B34" t="str">
            <v>MŰKÖDÉSI KIADÁSOK</v>
          </cell>
          <cell r="E34">
            <v>89583593</v>
          </cell>
          <cell r="F34" t="str">
            <v> Ft</v>
          </cell>
        </row>
        <row r="35">
          <cell r="B35" t="str">
            <v> ebből:</v>
          </cell>
        </row>
        <row r="36">
          <cell r="A36" t="str">
            <v>3.1.1.</v>
          </cell>
          <cell r="B36" t="str">
            <v>       - Személyi juttatások</v>
          </cell>
          <cell r="C36">
            <v>24955551</v>
          </cell>
          <cell r="D36" t="str">
            <v> Ft</v>
          </cell>
        </row>
        <row r="37">
          <cell r="A37" t="str">
            <v>3.1.2</v>
          </cell>
          <cell r="B37" t="str">
            <v>       - Munkáltatót terhelő járulékok</v>
          </cell>
          <cell r="C37">
            <v>4359973</v>
          </cell>
          <cell r="D37" t="str">
            <v> Ft</v>
          </cell>
        </row>
        <row r="38">
          <cell r="A38" t="str">
            <v>3.1.3.</v>
          </cell>
          <cell r="B38" t="str">
            <v>       - Dologi kiadások</v>
          </cell>
          <cell r="C38">
            <v>31593596</v>
          </cell>
          <cell r="D38" t="str">
            <v> Ft</v>
          </cell>
        </row>
        <row r="39">
          <cell r="A39" t="str">
            <v>3.1.4.</v>
          </cell>
          <cell r="B39" t="str">
            <v>       - Ellátottak juttatásai</v>
          </cell>
          <cell r="C39">
            <v>2700000</v>
          </cell>
          <cell r="D39" t="str">
            <v> Ft</v>
          </cell>
        </row>
        <row r="40">
          <cell r="A40" t="str">
            <v>3.1.5.</v>
          </cell>
          <cell r="B40" t="str">
            <v>       - egyéb működési kiadások</v>
          </cell>
          <cell r="C40">
            <v>2570200</v>
          </cell>
          <cell r="D40" t="str">
            <v> Ft</v>
          </cell>
        </row>
        <row r="41">
          <cell r="A41" t="str">
            <v>3.1.6.</v>
          </cell>
          <cell r="B41" t="str">
            <v>       - Általános tartalék</v>
          </cell>
          <cell r="C41">
            <v>23404273</v>
          </cell>
          <cell r="D41" t="str">
            <v>Ft</v>
          </cell>
        </row>
        <row r="42">
          <cell r="A42" t="str">
            <v>3.2</v>
          </cell>
          <cell r="B42" t="str">
            <v>FELHALMOZÁSI KIADÁSOK</v>
          </cell>
          <cell r="E42">
            <v>214108080</v>
          </cell>
          <cell r="F42" t="str">
            <v> Ft</v>
          </cell>
        </row>
        <row r="43">
          <cell r="B43" t="str">
            <v> ebből:</v>
          </cell>
        </row>
        <row r="44">
          <cell r="A44" t="str">
            <v>3.2.1.</v>
          </cell>
          <cell r="B44" t="str">
            <v>       - Beruházások</v>
          </cell>
          <cell r="C44">
            <v>127528307</v>
          </cell>
          <cell r="D44" t="str">
            <v> Ft</v>
          </cell>
        </row>
        <row r="45">
          <cell r="A45" t="str">
            <v>3.2.2.</v>
          </cell>
          <cell r="B45" t="str">
            <v>       - Felújítások</v>
          </cell>
          <cell r="C45">
            <v>82976200</v>
          </cell>
          <cell r="D45" t="str">
            <v> Ft</v>
          </cell>
        </row>
        <row r="46">
          <cell r="A46" t="str">
            <v>3.2.3</v>
          </cell>
          <cell r="B46" t="str">
            <v>       - egyéb felhalmozási kiadások</v>
          </cell>
          <cell r="C46">
            <v>3603573</v>
          </cell>
          <cell r="D46" t="str">
            <v> Ft</v>
          </cell>
        </row>
        <row r="48">
          <cell r="A48" t="str">
            <v>4.</v>
          </cell>
          <cell r="B48" t="str">
            <v>FINANSZÍROZÁSI KIADÁSOK</v>
          </cell>
          <cell r="E48">
            <v>1449359</v>
          </cell>
          <cell r="F48" t="str">
            <v> Ft</v>
          </cell>
        </row>
        <row r="49">
          <cell r="A49" t="str">
            <v>4.1.</v>
          </cell>
          <cell r="B49" t="str">
            <v> ebből: fejlesztési célú hitelek törlesztése</v>
          </cell>
          <cell r="D49" t="str">
            <v> Ft</v>
          </cell>
        </row>
        <row r="50">
          <cell r="A50" t="str">
            <v>4.2.</v>
          </cell>
          <cell r="B50" t="str">
            <v>           befektetési célú részesedések vásárlása</v>
          </cell>
          <cell r="D50" t="str">
            <v> Ft</v>
          </cell>
        </row>
        <row r="51">
          <cell r="A51" t="str">
            <v>4.3.</v>
          </cell>
          <cell r="B51" t="str">
            <v>          Áht-n belüli megelőlegezések visszafizetése</v>
          </cell>
          <cell r="C51">
            <v>1449359</v>
          </cell>
          <cell r="D51" t="str">
            <v> Ft</v>
          </cell>
        </row>
        <row r="52">
          <cell r="A52" t="str">
            <v>5.</v>
          </cell>
          <cell r="B52" t="str">
            <v>TÁRGYÉVI KIADÁSOK ÖSSZESEN:</v>
          </cell>
          <cell r="E52">
            <v>305141032</v>
          </cell>
          <cell r="F52" t="str">
            <v> Ft</v>
          </cell>
        </row>
        <row r="54">
          <cell r="A54" t="str">
            <v>6.</v>
          </cell>
          <cell r="B54" t="str">
            <v>TÁRGYÉVI BEVÉTELEK ÉS KIADÁSOK EGYENLEGE:</v>
          </cell>
          <cell r="E54">
            <v>-121676162</v>
          </cell>
          <cell r="F54" t="str">
            <v> Ft</v>
          </cell>
        </row>
        <row r="56">
          <cell r="A56" t="str">
            <v>7.</v>
          </cell>
          <cell r="B56" t="str">
            <v>ELŐZŐ ÉVEK KÖLTSÉGVETÉSI MARADVÁNY IGÉNYBEVÉTELE </v>
          </cell>
          <cell r="E56">
            <v>120226803</v>
          </cell>
          <cell r="F56" t="str">
            <v> Ft</v>
          </cell>
        </row>
        <row r="57">
          <cell r="A57" t="str">
            <v>8.</v>
          </cell>
          <cell r="B57" t="str">
            <v>2019.ÉVBEN MEGELŐLEGEZETT ÁLLAMI TÁMOGATÁS</v>
          </cell>
          <cell r="E57">
            <v>1449359</v>
          </cell>
          <cell r="F57" t="str">
            <v>Ft</v>
          </cell>
        </row>
        <row r="58">
          <cell r="A58" t="str">
            <v>9.</v>
          </cell>
          <cell r="B58" t="str">
            <v>TÁRGYÉVI KÖLTSÉGVETÉS EGYENLEGE</v>
          </cell>
          <cell r="E58">
            <v>0</v>
          </cell>
          <cell r="F58" t="str">
            <v> Ft</v>
          </cell>
        </row>
      </sheetData>
      <sheetData sheetId="8">
        <row r="12">
          <cell r="A12" t="str">
            <v>sor-</v>
          </cell>
          <cell r="C12" t="str">
            <v>tervezett</v>
          </cell>
        </row>
        <row r="13">
          <cell r="B13" t="str">
            <v>Megnevezés</v>
          </cell>
          <cell r="C13" t="str">
            <v>előirányzat</v>
          </cell>
        </row>
        <row r="14">
          <cell r="A14" t="str">
            <v>szám</v>
          </cell>
          <cell r="C14" t="str">
            <v>Ft</v>
          </cell>
        </row>
        <row r="16">
          <cell r="A16" t="str">
            <v>I. Működési  költségvetés</v>
          </cell>
        </row>
        <row r="17">
          <cell r="A17" t="str">
            <v>1.</v>
          </cell>
          <cell r="B17" t="str">
            <v>Működési  támogatások államháztartáson belülről</v>
          </cell>
        </row>
        <row r="18">
          <cell r="B18" t="str">
            <v> - önkormányzatok működési támogatásai</v>
          </cell>
          <cell r="C18">
            <v>35872029</v>
          </cell>
        </row>
        <row r="19">
          <cell r="B19" t="str">
            <v> - egyéb működési célú támogatások bevételei államháztartáson belülről</v>
          </cell>
          <cell r="C19">
            <v>349636</v>
          </cell>
        </row>
        <row r="20">
          <cell r="A20" t="str">
            <v>2.</v>
          </cell>
          <cell r="B20" t="str">
            <v>Közhatalmi bevételek</v>
          </cell>
          <cell r="C20">
            <v>6128056</v>
          </cell>
        </row>
        <row r="21">
          <cell r="A21" t="str">
            <v>3.</v>
          </cell>
          <cell r="B21" t="str">
            <v>Működési bevételek   </v>
          </cell>
          <cell r="C21">
            <v>11024170</v>
          </cell>
        </row>
        <row r="22">
          <cell r="A22" t="str">
            <v>4.</v>
          </cell>
          <cell r="B22" t="str">
            <v>Működési célú átvett pénzeszközök</v>
          </cell>
        </row>
        <row r="23">
          <cell r="B23" t="str">
            <v> - működési célú visszatérítendő támogatások, kölcsönök visszatérülése államháztartáson kívülről</v>
          </cell>
        </row>
        <row r="24">
          <cell r="B24" t="str">
            <v> - egyéb működési célú átvett pénzeszközök</v>
          </cell>
        </row>
        <row r="25">
          <cell r="B25" t="str">
            <v>Működési bevételek összesen</v>
          </cell>
          <cell r="C25">
            <v>53373891</v>
          </cell>
        </row>
        <row r="26">
          <cell r="A26" t="str">
            <v>5.</v>
          </cell>
          <cell r="B26" t="str">
            <v>Személyi juttatások</v>
          </cell>
          <cell r="C26">
            <v>24955551</v>
          </cell>
        </row>
        <row r="27">
          <cell r="A27" t="str">
            <v>6.</v>
          </cell>
          <cell r="B27" t="str">
            <v>Munkaadókat terhelő járulékok és szociális hozzájárulási adó</v>
          </cell>
          <cell r="C27">
            <v>4359973</v>
          </cell>
        </row>
        <row r="28">
          <cell r="A28" t="str">
            <v>7.</v>
          </cell>
          <cell r="B28" t="str">
            <v>Dologi kiadások</v>
          </cell>
          <cell r="C28">
            <v>31593596</v>
          </cell>
        </row>
        <row r="29">
          <cell r="A29" t="str">
            <v>8.</v>
          </cell>
          <cell r="B29" t="str">
            <v>Ellátottak pénzbeli juttatásai</v>
          </cell>
          <cell r="C29">
            <v>2700000</v>
          </cell>
        </row>
        <row r="30">
          <cell r="A30" t="str">
            <v>9.</v>
          </cell>
          <cell r="B30" t="str">
            <v>Egyéb működési célú kiadások</v>
          </cell>
        </row>
        <row r="31">
          <cell r="B31" t="str">
            <v> - működési célú visszatérítendő támogatások, kölcsönök nyújtása államháztartáson kívülre</v>
          </cell>
        </row>
        <row r="32">
          <cell r="B32" t="str">
            <v> - egyéb működési célú támogatások </v>
          </cell>
          <cell r="C32">
            <v>2570200</v>
          </cell>
        </row>
        <row r="33">
          <cell r="B33" t="str">
            <v> - tartalékok</v>
          </cell>
          <cell r="C33">
            <v>23404273</v>
          </cell>
        </row>
        <row r="34">
          <cell r="B34" t="str">
            <v>Működési kiadások összesen</v>
          </cell>
          <cell r="C34">
            <v>89583593</v>
          </cell>
        </row>
        <row r="39">
          <cell r="B39" t="str">
            <v>- 2 -</v>
          </cell>
        </row>
        <row r="41">
          <cell r="A41" t="str">
            <v>sor-</v>
          </cell>
          <cell r="C41" t="str">
            <v>tervezett</v>
          </cell>
        </row>
        <row r="42">
          <cell r="B42" t="str">
            <v>Megnevezés</v>
          </cell>
        </row>
        <row r="43">
          <cell r="A43" t="str">
            <v>szám</v>
          </cell>
          <cell r="C43" t="str">
            <v>előirányzat</v>
          </cell>
        </row>
        <row r="45">
          <cell r="A45" t="str">
            <v>II. Felhalmozási költségvetés</v>
          </cell>
        </row>
        <row r="46">
          <cell r="A46" t="str">
            <v>10.</v>
          </cell>
          <cell r="B46" t="str">
            <v>Felhalmozási támogatások államháztartáson belülről</v>
          </cell>
        </row>
        <row r="47">
          <cell r="A47" t="str">
            <v>11.</v>
          </cell>
          <cell r="B47" t="str">
            <v>Felhalmozási bevételek   </v>
          </cell>
          <cell r="C47">
            <v>121813100</v>
          </cell>
        </row>
        <row r="48">
          <cell r="A48" t="str">
            <v>12.</v>
          </cell>
          <cell r="B48" t="str">
            <v>Felhalmozási célú átvett pénzeszközök</v>
          </cell>
        </row>
        <row r="49">
          <cell r="B49" t="str">
            <v> - felhalmozási célú visszatérítendő támogatások, kölcsönök visszatérülése államházt.kívülről</v>
          </cell>
          <cell r="C49">
            <v>2277879</v>
          </cell>
        </row>
        <row r="50">
          <cell r="B50" t="str">
            <v> - egyéb felhalmozási célú átvett pénzeszközök</v>
          </cell>
          <cell r="C50">
            <v>6000000</v>
          </cell>
        </row>
        <row r="51">
          <cell r="B51" t="str">
            <v>Felhalmozási bevételek összesen</v>
          </cell>
          <cell r="C51">
            <v>130090979</v>
          </cell>
        </row>
        <row r="52">
          <cell r="A52" t="str">
            <v>13.</v>
          </cell>
          <cell r="B52" t="str">
            <v>Beruházások</v>
          </cell>
          <cell r="C52">
            <v>127528307</v>
          </cell>
        </row>
        <row r="53">
          <cell r="A53" t="str">
            <v>14.</v>
          </cell>
          <cell r="B53" t="str">
            <v>Felújítások</v>
          </cell>
          <cell r="C53">
            <v>82976200</v>
          </cell>
        </row>
        <row r="54">
          <cell r="A54" t="str">
            <v>15.</v>
          </cell>
          <cell r="B54" t="str">
            <v>Egyéb felhalmozási kiadások</v>
          </cell>
        </row>
        <row r="55">
          <cell r="B55" t="str">
            <v> - egyéb felhalmozási célú támogatások államháztartáson kívülre</v>
          </cell>
          <cell r="C55">
            <v>3603573</v>
          </cell>
        </row>
        <row r="56">
          <cell r="B56" t="str">
            <v> - tartalékok</v>
          </cell>
        </row>
        <row r="57">
          <cell r="B57" t="str">
            <v>Felhalmozási kiadások összesen</v>
          </cell>
          <cell r="C57">
            <v>214108080</v>
          </cell>
        </row>
        <row r="58">
          <cell r="B58" t="str">
            <v>Önkormányzat bevételei összesen:</v>
          </cell>
          <cell r="C58">
            <v>183464870</v>
          </cell>
        </row>
        <row r="59">
          <cell r="B59" t="str">
            <v>Önkormányzat kiadásai összesen:</v>
          </cell>
          <cell r="C59">
            <v>303691673</v>
          </cell>
        </row>
        <row r="63">
          <cell r="A63" t="str">
            <v>III. Finanszírozási műveletek elszámolása</v>
          </cell>
        </row>
        <row r="65">
          <cell r="A65" t="str">
            <v>16.</v>
          </cell>
          <cell r="B65" t="str">
            <v>Előző év költségvetési maradványának igénybevétele</v>
          </cell>
          <cell r="C65">
            <v>120226803</v>
          </cell>
        </row>
        <row r="66">
          <cell r="A66" t="str">
            <v>17.</v>
          </cell>
          <cell r="B66" t="str">
            <v>Áht-n belüli megelőlegezések </v>
          </cell>
          <cell r="C66">
            <v>1449359</v>
          </cell>
        </row>
        <row r="67">
          <cell r="B67" t="str">
            <v>Finanszírozási bevételek összesen:</v>
          </cell>
          <cell r="C67">
            <v>121676162</v>
          </cell>
        </row>
        <row r="68">
          <cell r="A68" t="str">
            <v>18.</v>
          </cell>
          <cell r="B68" t="str">
            <v>Áht-n belüli megelőlegezések viszafizetése</v>
          </cell>
          <cell r="C68">
            <v>1449359</v>
          </cell>
        </row>
        <row r="69">
          <cell r="A69" t="str">
            <v>19.</v>
          </cell>
          <cell r="B69" t="str">
            <v>Hitel-, kölcsöntörlesztés államháztartáson kívülre</v>
          </cell>
        </row>
        <row r="70">
          <cell r="A70" t="str">
            <v>20.</v>
          </cell>
          <cell r="B70" t="str">
            <v>Befektetési célú belföldi értékpapírok vásárlása</v>
          </cell>
        </row>
        <row r="71">
          <cell r="B71" t="str">
            <v>Finanszírozási kiadások összesen:</v>
          </cell>
          <cell r="C71">
            <v>1449359</v>
          </cell>
        </row>
        <row r="72">
          <cell r="B72" t="str">
            <v>Önkormányzat bevételei mindösszesen:</v>
          </cell>
          <cell r="C72">
            <v>305141032</v>
          </cell>
        </row>
        <row r="73">
          <cell r="B73" t="str">
            <v>Önkormányzat kiadásai mindösszesen:</v>
          </cell>
          <cell r="C73">
            <v>305141032</v>
          </cell>
        </row>
      </sheetData>
      <sheetData sheetId="11">
        <row r="12">
          <cell r="A12" t="str">
            <v>SORSZÁM</v>
          </cell>
          <cell r="B12" t="str">
            <v>Intézmény megnevezése</v>
          </cell>
          <cell r="C12" t="str">
            <v>központi költségvetési támogatás</v>
          </cell>
          <cell r="E12" t="str">
            <v>önkormányzati támogatás</v>
          </cell>
          <cell r="G12" t="str">
            <v> összes támogatás </v>
          </cell>
        </row>
        <row r="13">
          <cell r="C13" t="str">
            <v>  Ft </v>
          </cell>
          <cell r="D13" t="str">
            <v>megoszlás    %-a</v>
          </cell>
          <cell r="E13" t="str">
            <v>  Ft </v>
          </cell>
          <cell r="F13" t="str">
            <v>megoszlás %-a</v>
          </cell>
        </row>
        <row r="14">
          <cell r="A14" t="str">
            <v>1.</v>
          </cell>
          <cell r="B14" t="str">
            <v>Sitkei Önkormányzati Konyha</v>
          </cell>
          <cell r="C14">
            <v>5817551</v>
          </cell>
          <cell r="D14">
            <v>47.08129676981029</v>
          </cell>
          <cell r="E14">
            <v>6538844</v>
          </cell>
          <cell r="F14">
            <v>52.91870323018971</v>
          </cell>
          <cell r="G14">
            <v>12356395</v>
          </cell>
        </row>
        <row r="15">
          <cell r="A15" t="str">
            <v>2.</v>
          </cell>
          <cell r="B15" t="str">
            <v>Összesen:</v>
          </cell>
          <cell r="C15">
            <v>5817551</v>
          </cell>
          <cell r="D15">
            <v>47.08129676981029</v>
          </cell>
          <cell r="E15">
            <v>6538844</v>
          </cell>
          <cell r="F15">
            <v>52.91870323018971</v>
          </cell>
          <cell r="G15">
            <v>12356395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8:U63"/>
  <sheetViews>
    <sheetView zoomScalePageLayoutView="0" workbookViewId="0" topLeftCell="C28">
      <selection activeCell="L45" sqref="L45:T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63"/>
      <c r="J39" s="2"/>
      <c r="L39" s="467" t="s">
        <v>4</v>
      </c>
      <c r="M39" s="467"/>
      <c r="N39" s="467"/>
      <c r="O39" s="467"/>
      <c r="P39" s="467"/>
      <c r="Q39" s="467"/>
      <c r="R39" s="467"/>
      <c r="S39" s="467"/>
      <c r="T39" s="467"/>
      <c r="U39" s="63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58"/>
      <c r="J41" s="2"/>
      <c r="L41" s="467" t="s">
        <v>475</v>
      </c>
      <c r="M41" s="467"/>
      <c r="N41" s="467"/>
      <c r="O41" s="467"/>
      <c r="P41" s="467"/>
      <c r="Q41" s="467"/>
      <c r="R41" s="467"/>
      <c r="S41" s="467"/>
      <c r="T41" s="467"/>
      <c r="U41" s="63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58"/>
      <c r="J43" s="2"/>
      <c r="L43" s="467" t="s">
        <v>364</v>
      </c>
      <c r="M43" s="467"/>
      <c r="N43" s="467"/>
      <c r="O43" s="467"/>
      <c r="P43" s="467"/>
      <c r="Q43" s="467"/>
      <c r="R43" s="467"/>
      <c r="S43" s="467"/>
      <c r="T43" s="467"/>
      <c r="U43" s="63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468"/>
      <c r="M45" s="468"/>
      <c r="N45" s="468"/>
      <c r="O45" s="468"/>
      <c r="P45" s="468"/>
      <c r="Q45" s="468"/>
      <c r="R45" s="468"/>
      <c r="S45" s="468"/>
      <c r="T45" s="468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64"/>
      <c r="M46" s="294"/>
      <c r="N46" s="18"/>
      <c r="O46" s="182"/>
    </row>
    <row r="47" spans="1:10" ht="27.75">
      <c r="A47" s="64"/>
      <c r="B47" s="65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L39:T39"/>
    <mergeCell ref="L41:T41"/>
    <mergeCell ref="L43:T43"/>
    <mergeCell ref="L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zoomScalePageLayoutView="0" workbookViewId="0" topLeftCell="A13">
      <selection activeCell="A10" sqref="A10:C24"/>
    </sheetView>
  </sheetViews>
  <sheetFormatPr defaultColWidth="9.00390625" defaultRowHeight="12.75"/>
  <cols>
    <col min="1" max="1" width="6.125" style="0" customWidth="1"/>
    <col min="2" max="2" width="69.25390625" style="0" customWidth="1"/>
    <col min="3" max="3" width="14.375" style="0" customWidth="1"/>
  </cols>
  <sheetData>
    <row r="1" spans="2:4" ht="15.75">
      <c r="B1" s="598" t="s">
        <v>503</v>
      </c>
      <c r="C1" s="598"/>
      <c r="D1" s="21"/>
    </row>
    <row r="2" spans="2:4" ht="15.75">
      <c r="B2" s="21"/>
      <c r="C2" s="21"/>
      <c r="D2" s="21"/>
    </row>
    <row r="3" spans="2:4" ht="15.75">
      <c r="B3" s="21"/>
      <c r="C3" s="21"/>
      <c r="D3" s="21"/>
    </row>
    <row r="4" spans="2:4" ht="15.75">
      <c r="B4" s="580"/>
      <c r="C4" s="580"/>
      <c r="D4" s="21"/>
    </row>
    <row r="5" spans="2:4" ht="15.75">
      <c r="B5" s="21"/>
      <c r="C5" s="21"/>
      <c r="D5" s="21"/>
    </row>
    <row r="6" spans="2:12" ht="15.75">
      <c r="B6" s="580" t="s">
        <v>36</v>
      </c>
      <c r="C6" s="605"/>
      <c r="D6" s="21"/>
      <c r="L6" s="303"/>
    </row>
    <row r="7" spans="2:4" ht="15.75">
      <c r="B7" s="580" t="s">
        <v>382</v>
      </c>
      <c r="C7" s="605"/>
      <c r="D7" s="21"/>
    </row>
    <row r="8" spans="2:4" ht="15.75">
      <c r="B8" s="580" t="s">
        <v>477</v>
      </c>
      <c r="C8" s="605"/>
      <c r="D8" s="21"/>
    </row>
    <row r="9" spans="2:4" ht="16.5" thickBot="1">
      <c r="B9" s="21"/>
      <c r="C9" s="21"/>
      <c r="D9" s="21"/>
    </row>
    <row r="10" spans="1:4" ht="16.5" customHeight="1" thickTop="1">
      <c r="A10" s="599" t="s">
        <v>404</v>
      </c>
      <c r="B10" s="829" t="s">
        <v>0</v>
      </c>
      <c r="C10" s="602" t="s">
        <v>458</v>
      </c>
      <c r="D10" s="21"/>
    </row>
    <row r="11" spans="1:4" ht="15.75">
      <c r="A11" s="600"/>
      <c r="B11" s="830"/>
      <c r="C11" s="603"/>
      <c r="D11" s="21"/>
    </row>
    <row r="12" spans="1:4" ht="21" customHeight="1" thickBot="1">
      <c r="A12" s="601"/>
      <c r="B12" s="831"/>
      <c r="C12" s="604"/>
      <c r="D12" s="21"/>
    </row>
    <row r="13" spans="1:4" ht="21" customHeight="1">
      <c r="A13" s="437"/>
      <c r="B13" s="438"/>
      <c r="C13" s="439"/>
      <c r="D13" s="21"/>
    </row>
    <row r="14" spans="1:4" ht="15.75">
      <c r="A14" s="366" t="s">
        <v>39</v>
      </c>
      <c r="B14" s="21" t="s">
        <v>414</v>
      </c>
      <c r="C14" s="21"/>
      <c r="D14" s="21"/>
    </row>
    <row r="15" spans="1:4" ht="15.75">
      <c r="A15" s="366"/>
      <c r="B15" s="21"/>
      <c r="C15" s="21"/>
      <c r="D15" s="21"/>
    </row>
    <row r="16" spans="1:4" ht="15.75">
      <c r="A16" s="440" t="s">
        <v>407</v>
      </c>
      <c r="B16" s="370" t="s">
        <v>462</v>
      </c>
      <c r="C16" s="21"/>
      <c r="D16" s="344"/>
    </row>
    <row r="17" spans="1:4" ht="27.75" customHeight="1">
      <c r="A17" s="426" t="s">
        <v>408</v>
      </c>
      <c r="B17" s="371" t="s">
        <v>489</v>
      </c>
      <c r="C17" s="384">
        <f>61407949+4</f>
        <v>61407953</v>
      </c>
      <c r="D17" s="344"/>
    </row>
    <row r="18" spans="1:4" ht="27" customHeight="1">
      <c r="A18" s="426" t="s">
        <v>409</v>
      </c>
      <c r="B18" s="371" t="s">
        <v>490</v>
      </c>
      <c r="C18" s="384">
        <f>3927560+78</f>
        <v>3927638</v>
      </c>
      <c r="D18" s="344"/>
    </row>
    <row r="19" spans="1:4" ht="39.75" customHeight="1">
      <c r="A19" s="456" t="s">
        <v>491</v>
      </c>
      <c r="B19" s="371" t="s">
        <v>492</v>
      </c>
      <c r="C19" s="384">
        <f>3227000-3227000</f>
        <v>0</v>
      </c>
      <c r="D19" s="344"/>
    </row>
    <row r="20" spans="1:4" ht="24.75" customHeight="1">
      <c r="A20" s="366" t="s">
        <v>437</v>
      </c>
      <c r="B20" s="21" t="s">
        <v>385</v>
      </c>
      <c r="C20" s="441">
        <f>(C17+C18+C19)*0.27-1</f>
        <v>17640608.57</v>
      </c>
      <c r="D20" s="21"/>
    </row>
    <row r="21" spans="1:4" ht="18.75" customHeight="1">
      <c r="A21" s="366"/>
      <c r="B21" s="18" t="s">
        <v>383</v>
      </c>
      <c r="C21" s="19">
        <f>SUM(C17:C20)</f>
        <v>82976199.57</v>
      </c>
      <c r="D21" s="21"/>
    </row>
    <row r="22" spans="1:4" ht="18.75" customHeight="1">
      <c r="A22" s="366"/>
      <c r="B22" s="18"/>
      <c r="C22" s="19"/>
      <c r="D22" s="21"/>
    </row>
    <row r="23" spans="1:4" ht="18.75" customHeight="1">
      <c r="A23" s="366"/>
      <c r="B23" s="18"/>
      <c r="C23" s="19"/>
      <c r="D23" s="21"/>
    </row>
    <row r="24" spans="1:4" s="304" customFormat="1" ht="15.75">
      <c r="A24" s="367"/>
      <c r="B24" s="18" t="s">
        <v>384</v>
      </c>
      <c r="C24" s="19">
        <f>C21</f>
        <v>82976199.57</v>
      </c>
      <c r="D24" s="18"/>
    </row>
    <row r="25" spans="2:4" ht="15.75">
      <c r="B25" s="21"/>
      <c r="C25" s="21"/>
      <c r="D25" s="21"/>
    </row>
    <row r="26" spans="2:4" ht="15.75">
      <c r="B26" s="21"/>
      <c r="C26" s="21"/>
      <c r="D26" s="21"/>
    </row>
    <row r="27" spans="2:4" ht="15.75">
      <c r="B27" s="21"/>
      <c r="C27" s="21"/>
      <c r="D27" s="21"/>
    </row>
    <row r="28" spans="2:4" ht="15.75">
      <c r="B28" s="21"/>
      <c r="C28" s="21"/>
      <c r="D28" s="21"/>
    </row>
  </sheetData>
  <sheetProtection/>
  <mergeCells count="8">
    <mergeCell ref="B1:C1"/>
    <mergeCell ref="B4:C4"/>
    <mergeCell ref="A10:A12"/>
    <mergeCell ref="B10:B12"/>
    <mergeCell ref="C10:C12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1"/>
  <sheetViews>
    <sheetView zoomScalePageLayoutView="0" workbookViewId="0" topLeftCell="A43">
      <selection activeCell="A71" sqref="A7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48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469" t="s">
        <v>504</v>
      </c>
      <c r="B1" s="469"/>
      <c r="C1" s="469"/>
    </row>
    <row r="2" s="141" customFormat="1" ht="15.75">
      <c r="C2" s="147"/>
    </row>
    <row r="3" spans="1:3" s="132" customFormat="1" ht="15">
      <c r="A3" s="609"/>
      <c r="B3" s="609"/>
      <c r="C3" s="609"/>
    </row>
    <row r="4" spans="1:3" s="132" customFormat="1" ht="6.75" customHeight="1">
      <c r="A4" s="142"/>
      <c r="B4" s="77"/>
      <c r="C4" s="77"/>
    </row>
    <row r="5" spans="1:3" ht="16.5" customHeight="1">
      <c r="A5" s="484" t="str">
        <f>'[1]6.mell. - közgazd.mérleg'!A7</f>
        <v>Sitke község Önkormányzata</v>
      </c>
      <c r="B5" s="484"/>
      <c r="C5" s="484"/>
    </row>
    <row r="6" spans="1:3" ht="24" customHeight="1">
      <c r="A6" s="494" t="str">
        <f>'[1]6.mell. - közgazd.mérleg'!A8</f>
        <v>Költségvetési (működési és felhalmozási ) mérlege</v>
      </c>
      <c r="B6" s="494"/>
      <c r="C6" s="494"/>
    </row>
    <row r="7" spans="1:3" ht="16.5" customHeight="1">
      <c r="A7" s="494" t="str">
        <f>'[1]6.mell. - közgazd.mérleg'!A9</f>
        <v>(közgazdasági tagolásban)</v>
      </c>
      <c r="B7" s="494"/>
      <c r="C7" s="494"/>
    </row>
    <row r="8" spans="1:3" ht="15.75">
      <c r="A8" s="494" t="str">
        <f>'[1]6.mell. - közgazd.mérleg'!A10</f>
        <v>2020. év</v>
      </c>
      <c r="B8" s="494"/>
      <c r="C8" s="494"/>
    </row>
    <row r="9" ht="16.5" thickBot="1">
      <c r="C9" s="148">
        <f>'[1]6.mell. - közgazd.mérleg'!C11</f>
        <v>0</v>
      </c>
    </row>
    <row r="10" spans="1:3" ht="16.5" customHeight="1">
      <c r="A10" s="150" t="str">
        <f>'[2]8.mell. - közgazd.mérleg'!A12</f>
        <v>sor-</v>
      </c>
      <c r="B10" s="143"/>
      <c r="C10" s="151" t="str">
        <f>'[2]8.mell. - közgazd.mérleg'!C12</f>
        <v>tervezett</v>
      </c>
    </row>
    <row r="11" spans="1:3" ht="25.5" customHeight="1">
      <c r="A11" s="144"/>
      <c r="B11" s="145" t="str">
        <f>'[2]8.mell. - közgazd.mérleg'!B13</f>
        <v>Megnevezés</v>
      </c>
      <c r="C11" s="152" t="str">
        <f>'[2]8.mell. - közgazd.mérleg'!C13</f>
        <v>előirányzat</v>
      </c>
    </row>
    <row r="12" spans="1:4" ht="18" customHeight="1" thickBot="1">
      <c r="A12" s="146" t="str">
        <f>'[2]8.mell. - közgazd.mérleg'!A14</f>
        <v>szám</v>
      </c>
      <c r="B12" s="153"/>
      <c r="C12" s="154" t="str">
        <f>'[2]8.mell. - közgazd.mérleg'!C14</f>
        <v>Ft</v>
      </c>
      <c r="D12" s="345"/>
    </row>
    <row r="13" spans="2:4" ht="12" customHeight="1">
      <c r="B13" s="299"/>
      <c r="C13" s="300"/>
      <c r="D13" s="180"/>
    </row>
    <row r="14" spans="1:3" ht="20.25" customHeight="1">
      <c r="A14" s="610" t="str">
        <f>'[2]8.mell. - közgazd.mérleg'!A16</f>
        <v>I. Működési  költségvetés</v>
      </c>
      <c r="B14" s="610"/>
      <c r="C14" s="610"/>
    </row>
    <row r="15" spans="1:3" ht="20.25" customHeight="1">
      <c r="A15" s="155" t="str">
        <f>'[2]8.mell. - közgazd.mérleg'!A17</f>
        <v>1.</v>
      </c>
      <c r="B15" s="156" t="str">
        <f>'[2]8.mell. - közgazd.mérleg'!B17</f>
        <v>Működési  támogatások államháztartáson belülről</v>
      </c>
      <c r="C15" s="157">
        <f>'[2]8.mell. - közgazd.mérleg'!C17</f>
        <v>0</v>
      </c>
    </row>
    <row r="16" spans="1:3" ht="20.25" customHeight="1">
      <c r="A16" s="155"/>
      <c r="B16" s="21" t="str">
        <f>'[2]8.mell. - közgazd.mérleg'!B18</f>
        <v> - önkormányzatok működési támogatásai</v>
      </c>
      <c r="C16" s="157">
        <f>'[2]8.mell. - közgazd.mérleg'!C18</f>
        <v>35872029</v>
      </c>
    </row>
    <row r="17" spans="1:5" ht="20.25" customHeight="1">
      <c r="A17" s="155"/>
      <c r="B17" s="111" t="str">
        <f>'[2]8.mell. - közgazd.mérleg'!B19</f>
        <v> - egyéb működési célú támogatások bevételei államháztartáson belülről</v>
      </c>
      <c r="C17" s="157">
        <f>'[2]8.mell. - közgazd.mérleg'!C19</f>
        <v>349636</v>
      </c>
      <c r="D17" s="108"/>
      <c r="E17" s="108"/>
    </row>
    <row r="18" spans="1:3" ht="20.25" customHeight="1">
      <c r="A18" s="155" t="str">
        <f>'[2]8.mell. - közgazd.mérleg'!A20</f>
        <v>2.</v>
      </c>
      <c r="B18" s="156" t="str">
        <f>'[2]8.mell. - közgazd.mérleg'!B20</f>
        <v>Közhatalmi bevételek</v>
      </c>
      <c r="C18" s="157">
        <f>'[2]8.mell. - közgazd.mérleg'!C20</f>
        <v>6128056</v>
      </c>
    </row>
    <row r="19" spans="1:3" ht="20.25" customHeight="1">
      <c r="A19" s="155" t="str">
        <f>'[2]8.mell. - közgazd.mérleg'!A21</f>
        <v>3.</v>
      </c>
      <c r="B19" s="156" t="str">
        <f>'[2]8.mell. - közgazd.mérleg'!B21</f>
        <v>Működési bevételek   </v>
      </c>
      <c r="C19" s="157">
        <f>'[2]8.mell. - közgazd.mérleg'!C21</f>
        <v>11024170</v>
      </c>
    </row>
    <row r="20" spans="1:3" ht="20.25" customHeight="1">
      <c r="A20" s="155" t="str">
        <f>'[2]8.mell. - közgazd.mérleg'!A22</f>
        <v>4.</v>
      </c>
      <c r="B20" s="158" t="str">
        <f>'[2]8.mell. - közgazd.mérleg'!B22</f>
        <v>Működési célú átvett pénzeszközök</v>
      </c>
      <c r="C20" s="157">
        <f>'[2]8.mell. - közgazd.mérleg'!C22</f>
        <v>0</v>
      </c>
    </row>
    <row r="21" spans="1:5" ht="36" customHeight="1">
      <c r="A21" s="155"/>
      <c r="B21" s="111" t="str">
        <f>'[2]8.mell. - közgazd.mérleg'!B23</f>
        <v> - működési célú visszatérítendő támogatások, kölcsönök visszatérülése államháztartáson kívülről</v>
      </c>
      <c r="C21" s="157">
        <f>'[2]8.mell. - közgazd.mérleg'!C23</f>
        <v>0</v>
      </c>
      <c r="D21" s="111"/>
      <c r="E21" s="111"/>
    </row>
    <row r="22" spans="1:3" ht="20.25" customHeight="1">
      <c r="A22" s="155"/>
      <c r="B22" s="21" t="str">
        <f>'[2]8.mell. - közgazd.mérleg'!B24</f>
        <v> - egyéb működési célú átvett pénzeszközök</v>
      </c>
      <c r="C22" s="157">
        <f>'[2]8.mell. - közgazd.mérleg'!C24</f>
        <v>0</v>
      </c>
    </row>
    <row r="23" spans="1:3" ht="30" customHeight="1">
      <c r="A23" s="362"/>
      <c r="B23" s="363" t="str">
        <f>'[2]8.mell. - közgazd.mérleg'!B25</f>
        <v>Működési bevételek összesen</v>
      </c>
      <c r="C23" s="175">
        <f>'[2]8.mell. - közgazd.mérleg'!C25</f>
        <v>53373891</v>
      </c>
    </row>
    <row r="24" spans="1:3" ht="21" customHeight="1">
      <c r="A24" s="149" t="str">
        <f>'[2]8.mell. - közgazd.mérleg'!A26</f>
        <v>5.</v>
      </c>
      <c r="B24" s="156" t="str">
        <f>'[2]8.mell. - közgazd.mérleg'!B26</f>
        <v>Személyi juttatások</v>
      </c>
      <c r="C24" s="24">
        <f>'[2]8.mell. - közgazd.mérleg'!C26</f>
        <v>24955551</v>
      </c>
    </row>
    <row r="25" spans="1:3" ht="21" customHeight="1">
      <c r="A25" s="149" t="str">
        <f>'[2]8.mell. - közgazd.mérleg'!A27</f>
        <v>6.</v>
      </c>
      <c r="B25" s="156" t="str">
        <f>'[2]8.mell. - közgazd.mérleg'!B27</f>
        <v>Munkaadókat terhelő járulékok és szociális hozzájárulási adó</v>
      </c>
      <c r="C25" s="24">
        <f>'[2]8.mell. - közgazd.mérleg'!C27</f>
        <v>4359973</v>
      </c>
    </row>
    <row r="26" spans="1:3" ht="21" customHeight="1">
      <c r="A26" s="149" t="str">
        <f>'[2]8.mell. - közgazd.mérleg'!A28</f>
        <v>7.</v>
      </c>
      <c r="B26" s="162" t="str">
        <f>'[2]8.mell. - közgazd.mérleg'!B28</f>
        <v>Dologi kiadások</v>
      </c>
      <c r="C26" s="24">
        <f>'[2]8.mell. - közgazd.mérleg'!C28</f>
        <v>31593596</v>
      </c>
    </row>
    <row r="27" spans="1:3" ht="21" customHeight="1">
      <c r="A27" s="149" t="str">
        <f>'[2]8.mell. - közgazd.mérleg'!A29</f>
        <v>8.</v>
      </c>
      <c r="B27" s="162" t="str">
        <f>'[2]8.mell. - közgazd.mérleg'!B29</f>
        <v>Ellátottak pénzbeli juttatásai</v>
      </c>
      <c r="C27" s="24">
        <f>'[2]8.mell. - közgazd.mérleg'!C29</f>
        <v>2700000</v>
      </c>
    </row>
    <row r="28" spans="1:3" ht="21" customHeight="1">
      <c r="A28" s="149" t="str">
        <f>'[2]8.mell. - közgazd.mérleg'!A30</f>
        <v>9.</v>
      </c>
      <c r="B28" s="162" t="str">
        <f>'[2]8.mell. - közgazd.mérleg'!B30</f>
        <v>Egyéb működési célú kiadások</v>
      </c>
      <c r="C28" s="24">
        <f>'[2]8.mell. - közgazd.mérleg'!C30</f>
        <v>0</v>
      </c>
    </row>
    <row r="29" spans="1:3" ht="32.25" customHeight="1">
      <c r="A29" s="149"/>
      <c r="B29" s="111" t="str">
        <f>'[2]8.mell. - közgazd.mérleg'!B31</f>
        <v> - működési célú visszatérítendő támogatások, kölcsönök nyújtása államháztartáson kívülre</v>
      </c>
      <c r="C29" s="164">
        <f>'[2]8.mell. - közgazd.mérleg'!C31</f>
        <v>0</v>
      </c>
    </row>
    <row r="30" spans="1:3" ht="15.75">
      <c r="A30" s="149"/>
      <c r="B30" s="163" t="str">
        <f>'[2]8.mell. - közgazd.mérleg'!B32</f>
        <v> - egyéb működési célú támogatások </v>
      </c>
      <c r="C30" s="164">
        <f>'[2]8.mell. - közgazd.mérleg'!C32</f>
        <v>2570200</v>
      </c>
    </row>
    <row r="31" spans="1:5" ht="15.75">
      <c r="A31" s="149"/>
      <c r="B31" s="163" t="str">
        <f>'[2]8.mell. - közgazd.mérleg'!B33</f>
        <v> - tartalékok</v>
      </c>
      <c r="C31" s="148">
        <f>'[2]8.mell. - közgazd.mérleg'!C33</f>
        <v>23404273</v>
      </c>
      <c r="E31" s="113"/>
    </row>
    <row r="32" spans="1:6" ht="33.75" customHeight="1">
      <c r="A32" s="362"/>
      <c r="B32" s="363" t="str">
        <f>'[2]8.mell. - közgazd.mérleg'!B34</f>
        <v>Működési kiadások összesen</v>
      </c>
      <c r="C32" s="175">
        <f>'[2]8.mell. - közgazd.mérleg'!C34</f>
        <v>89583593</v>
      </c>
      <c r="E32" s="113"/>
      <c r="F32" s="113"/>
    </row>
    <row r="33" spans="1:6" ht="22.5" customHeight="1">
      <c r="A33" s="606"/>
      <c r="B33" s="606"/>
      <c r="C33" s="606"/>
      <c r="E33" s="113"/>
      <c r="F33" s="113"/>
    </row>
    <row r="34" spans="1:3" ht="15.75">
      <c r="A34" s="295"/>
      <c r="B34" s="295"/>
      <c r="C34" s="295"/>
    </row>
    <row r="35" spans="1:3" ht="15.75">
      <c r="A35" s="295"/>
      <c r="B35" s="295"/>
      <c r="C35" s="295"/>
    </row>
    <row r="36" spans="1:3" ht="15.75">
      <c r="A36" s="295"/>
      <c r="B36" s="295"/>
      <c r="C36" s="295"/>
    </row>
    <row r="37" spans="1:3" ht="12.75" customHeight="1">
      <c r="A37" s="295"/>
      <c r="B37" s="466" t="str">
        <f>'[2]8.mell. - közgazd.mérleg'!B39</f>
        <v>- 2 -</v>
      </c>
      <c r="C37" s="295"/>
    </row>
    <row r="38" spans="1:3" ht="21.75" customHeight="1" thickBot="1">
      <c r="A38" s="295"/>
      <c r="B38" s="295"/>
      <c r="C38" s="295"/>
    </row>
    <row r="39" spans="1:3" ht="12" customHeight="1">
      <c r="A39" s="150" t="str">
        <f>'[2]8.mell. - közgazd.mérleg'!A41</f>
        <v>sor-</v>
      </c>
      <c r="B39" s="143"/>
      <c r="C39" s="151" t="str">
        <f>'[2]8.mell. - közgazd.mérleg'!C41</f>
        <v>tervezett</v>
      </c>
    </row>
    <row r="40" spans="1:3" ht="21" customHeight="1">
      <c r="A40" s="144"/>
      <c r="B40" s="145" t="str">
        <f>'[2]8.mell. - közgazd.mérleg'!B42</f>
        <v>Megnevezés</v>
      </c>
      <c r="C40" s="152">
        <f>'[2]8.mell. - közgazd.mérleg'!C42</f>
        <v>0</v>
      </c>
    </row>
    <row r="41" spans="1:3" ht="21" customHeight="1" thickBot="1">
      <c r="A41" s="146" t="str">
        <f>'[2]8.mell. - közgazd.mérleg'!A43</f>
        <v>szám</v>
      </c>
      <c r="B41" s="153"/>
      <c r="C41" s="154" t="str">
        <f>'[2]8.mell. - közgazd.mérleg'!C43</f>
        <v>előirányzat</v>
      </c>
    </row>
    <row r="42" spans="1:3" ht="21" customHeight="1">
      <c r="A42" s="170"/>
      <c r="B42" s="298"/>
      <c r="C42" s="180">
        <f>'[2]8.mell. - közgazd.mérleg'!C44</f>
        <v>0</v>
      </c>
    </row>
    <row r="43" spans="1:3" ht="21" customHeight="1">
      <c r="A43" s="607" t="str">
        <f>'[2]8.mell. - közgazd.mérleg'!A45</f>
        <v>II. Felhalmozási költségvetés</v>
      </c>
      <c r="B43" s="607"/>
      <c r="C43" s="607"/>
    </row>
    <row r="44" spans="1:3" ht="31.5" customHeight="1">
      <c r="A44" s="149" t="str">
        <f>'[2]8.mell. - közgazd.mérleg'!A46</f>
        <v>10.</v>
      </c>
      <c r="B44" s="69" t="str">
        <f>'[2]8.mell. - közgazd.mérleg'!B46</f>
        <v>Felhalmozási támogatások államháztartáson belülről</v>
      </c>
      <c r="C44" s="148">
        <f>'[2]8.mell. - közgazd.mérleg'!C46</f>
        <v>0</v>
      </c>
    </row>
    <row r="45" spans="1:3" ht="23.25" customHeight="1">
      <c r="A45" s="149" t="str">
        <f>'[2]8.mell. - közgazd.mérleg'!A47</f>
        <v>11.</v>
      </c>
      <c r="B45" s="69" t="str">
        <f>'[2]8.mell. - közgazd.mérleg'!B47</f>
        <v>Felhalmozási bevételek   </v>
      </c>
      <c r="C45" s="148">
        <f>'[2]8.mell. - közgazd.mérleg'!C47</f>
        <v>121813100</v>
      </c>
    </row>
    <row r="46" spans="1:5" ht="20.25" customHeight="1">
      <c r="A46" s="149" t="str">
        <f>'[2]8.mell. - közgazd.mérleg'!A48</f>
        <v>12.</v>
      </c>
      <c r="B46" s="158" t="str">
        <f>'[2]8.mell. - közgazd.mérleg'!B48</f>
        <v>Felhalmozási célú átvett pénzeszközök</v>
      </c>
      <c r="C46" s="148">
        <f>'[2]8.mell. - közgazd.mérleg'!C48</f>
        <v>0</v>
      </c>
      <c r="E46" s="113"/>
    </row>
    <row r="47" spans="1:3" ht="32.25" customHeight="1">
      <c r="A47" s="149"/>
      <c r="B47" s="125" t="str">
        <f>'[2]8.mell. - közgazd.mérleg'!B49</f>
        <v> - felhalmozási célú visszatérítendő támogatások, kölcsönök visszatérülése államházt.kívülről</v>
      </c>
      <c r="C47" s="148">
        <f>'[2]8.mell. - közgazd.mérleg'!C49</f>
        <v>2277879</v>
      </c>
    </row>
    <row r="48" spans="1:3" ht="21" customHeight="1">
      <c r="A48" s="149"/>
      <c r="B48" s="56" t="str">
        <f>'[2]8.mell. - közgazd.mérleg'!B50</f>
        <v> - egyéb felhalmozási célú átvett pénzeszközök</v>
      </c>
      <c r="C48" s="148">
        <f>'[2]8.mell. - közgazd.mérleg'!C50</f>
        <v>6000000</v>
      </c>
    </row>
    <row r="49" spans="1:3" ht="21" customHeight="1">
      <c r="A49" s="362"/>
      <c r="B49" s="363" t="str">
        <f>'[2]8.mell. - közgazd.mérleg'!B51</f>
        <v>Felhalmozási bevételek összesen</v>
      </c>
      <c r="C49" s="175">
        <f>'[2]8.mell. - közgazd.mérleg'!C51</f>
        <v>130090979</v>
      </c>
    </row>
    <row r="50" spans="1:3" ht="21" customHeight="1">
      <c r="A50" s="149" t="str">
        <f>'[2]8.mell. - közgazd.mérleg'!A52</f>
        <v>13.</v>
      </c>
      <c r="B50" s="69" t="str">
        <f>'[2]8.mell. - közgazd.mérleg'!B52</f>
        <v>Beruházások</v>
      </c>
      <c r="C50" s="148">
        <f>'[2]8.mell. - közgazd.mérleg'!C52</f>
        <v>127528307</v>
      </c>
    </row>
    <row r="51" spans="1:3" ht="21" customHeight="1">
      <c r="A51" s="149" t="str">
        <f>'[2]8.mell. - közgazd.mérleg'!A53</f>
        <v>14.</v>
      </c>
      <c r="B51" s="69" t="str">
        <f>'[2]8.mell. - közgazd.mérleg'!B53</f>
        <v>Felújítások</v>
      </c>
      <c r="C51" s="148">
        <f>'[2]8.mell. - közgazd.mérleg'!C53</f>
        <v>82976200</v>
      </c>
    </row>
    <row r="52" spans="1:6" s="9" customFormat="1" ht="27.75" customHeight="1">
      <c r="A52" s="149" t="str">
        <f>'[2]8.mell. - közgazd.mérleg'!A54</f>
        <v>15.</v>
      </c>
      <c r="B52" s="158" t="str">
        <f>'[2]8.mell. - közgazd.mérleg'!B54</f>
        <v>Egyéb felhalmozási kiadások</v>
      </c>
      <c r="C52" s="148">
        <f>'[2]8.mell. - közgazd.mérleg'!C54</f>
        <v>0</v>
      </c>
      <c r="F52" s="165"/>
    </row>
    <row r="53" spans="1:3" s="9" customFormat="1" ht="24" customHeight="1">
      <c r="A53" s="149"/>
      <c r="B53" s="163" t="str">
        <f>'[2]8.mell. - közgazd.mérleg'!B55</f>
        <v> - egyéb felhalmozási célú támogatások államháztartáson kívülre</v>
      </c>
      <c r="C53" s="148">
        <f>'[2]8.mell. - közgazd.mérleg'!C55</f>
        <v>3603573</v>
      </c>
    </row>
    <row r="54" spans="1:6" s="9" customFormat="1" ht="22.5" customHeight="1">
      <c r="A54" s="149"/>
      <c r="B54" s="163" t="str">
        <f>'[2]8.mell. - közgazd.mérleg'!B56</f>
        <v> - tartalékok</v>
      </c>
      <c r="C54" s="148">
        <f>'[2]8.mell. - közgazd.mérleg'!C56</f>
        <v>0</v>
      </c>
      <c r="F54" s="165"/>
    </row>
    <row r="55" spans="1:3" s="9" customFormat="1" ht="20.25" customHeight="1" thickBot="1">
      <c r="A55" s="362"/>
      <c r="B55" s="363" t="str">
        <f>'[2]8.mell. - közgazd.mérleg'!B57</f>
        <v>Felhalmozási kiadások összesen</v>
      </c>
      <c r="C55" s="175">
        <f>'[2]8.mell. - közgazd.mérleg'!C57</f>
        <v>214108080</v>
      </c>
    </row>
    <row r="56" spans="1:3" s="172" customFormat="1" ht="21.75" customHeight="1" thickBot="1">
      <c r="A56" s="166"/>
      <c r="B56" s="167" t="str">
        <f>'[2]8.mell. - közgazd.mérleg'!B58</f>
        <v>Önkormányzat bevételei összesen:</v>
      </c>
      <c r="C56" s="168">
        <f>'[2]8.mell. - közgazd.mérleg'!C58</f>
        <v>183464870</v>
      </c>
    </row>
    <row r="57" spans="1:3" s="172" customFormat="1" ht="21" customHeight="1" thickBot="1">
      <c r="A57" s="166"/>
      <c r="B57" s="167" t="str">
        <f>'[2]8.mell. - közgazd.mérleg'!B59</f>
        <v>Önkormányzat kiadásai összesen:</v>
      </c>
      <c r="C57" s="168">
        <f>'[2]8.mell. - közgazd.mérleg'!C59</f>
        <v>303691673</v>
      </c>
    </row>
    <row r="58" spans="1:3" ht="20.25" customHeight="1">
      <c r="A58" s="169"/>
      <c r="B58" s="170"/>
      <c r="C58" s="171">
        <f>'[2]8.mell. - közgazd.mérleg'!C60</f>
        <v>0</v>
      </c>
    </row>
    <row r="59" spans="1:3" ht="12.75" customHeight="1">
      <c r="A59" s="301"/>
      <c r="B59" s="301"/>
      <c r="C59" s="301"/>
    </row>
    <row r="60" spans="1:3" ht="20.25" customHeight="1">
      <c r="A60" s="170"/>
      <c r="B60" s="179"/>
      <c r="C60" s="180">
        <f>'[2]8.mell. - közgazd.mérleg'!C62</f>
        <v>0</v>
      </c>
    </row>
    <row r="61" spans="1:3" ht="20.25" customHeight="1">
      <c r="A61" s="608" t="str">
        <f>'[2]8.mell. - közgazd.mérleg'!A63</f>
        <v>III. Finanszírozási műveletek elszámolása</v>
      </c>
      <c r="B61" s="608"/>
      <c r="C61" s="608"/>
    </row>
    <row r="62" spans="1:3" ht="21" customHeight="1">
      <c r="A62" s="173"/>
      <c r="B62" s="173"/>
      <c r="C62" s="173"/>
    </row>
    <row r="63" spans="1:3" ht="21" customHeight="1">
      <c r="A63" s="159" t="str">
        <f>'[2]8.mell. - közgazd.mérleg'!A65</f>
        <v>16.</v>
      </c>
      <c r="B63" s="174" t="str">
        <f>'[2]8.mell. - közgazd.mérleg'!B65</f>
        <v>Előző év költségvetési maradványának igénybevétele</v>
      </c>
      <c r="C63" s="161">
        <f>'[2]8.mell. - közgazd.mérleg'!C65</f>
        <v>120226803</v>
      </c>
    </row>
    <row r="64" spans="1:3" ht="15.75">
      <c r="A64" s="159" t="str">
        <f>'[2]8.mell. - közgazd.mérleg'!A66</f>
        <v>17.</v>
      </c>
      <c r="B64" s="160" t="str">
        <f>'[2]8.mell. - közgazd.mérleg'!B66</f>
        <v>Áht-n belüli megelőlegezések </v>
      </c>
      <c r="C64" s="161">
        <f>'[2]8.mell. - közgazd.mérleg'!C66</f>
        <v>1449359</v>
      </c>
    </row>
    <row r="65" spans="1:3" ht="15.75">
      <c r="A65" s="159">
        <f>'[2]8.mell. - közgazd.mérleg'!A67</f>
        <v>0</v>
      </c>
      <c r="B65" s="160" t="str">
        <f>'[2]8.mell. - közgazd.mérleg'!B67</f>
        <v>Finanszírozási bevételek összesen:</v>
      </c>
      <c r="C65" s="175">
        <f>'[2]8.mell. - közgazd.mérleg'!C67</f>
        <v>121676162</v>
      </c>
    </row>
    <row r="66" spans="1:3" s="176" customFormat="1" ht="30" customHeight="1">
      <c r="A66" s="155" t="str">
        <f>'[2]8.mell. - közgazd.mérleg'!A68</f>
        <v>18.</v>
      </c>
      <c r="B66" s="160" t="str">
        <f>'[2]8.mell. - közgazd.mérleg'!B68</f>
        <v>Áht-n belüli megelőlegezések viszafizetése</v>
      </c>
      <c r="C66" s="445">
        <f>'[2]8.mell. - közgazd.mérleg'!C68</f>
        <v>1449359</v>
      </c>
    </row>
    <row r="67" spans="1:5" s="176" customFormat="1" ht="30" customHeight="1">
      <c r="A67" s="155" t="str">
        <f>'[2]8.mell. - közgazd.mérleg'!A69</f>
        <v>19.</v>
      </c>
      <c r="B67" s="174" t="str">
        <f>'[2]8.mell. - közgazd.mérleg'!B69</f>
        <v>Hitel-, kölcsöntörlesztés államháztartáson kívülre</v>
      </c>
      <c r="C67" s="161">
        <f>'[2]8.mell. - közgazd.mérleg'!C69</f>
        <v>0</v>
      </c>
      <c r="E67" s="178"/>
    </row>
    <row r="68" spans="1:5" ht="17.25" customHeight="1">
      <c r="A68" s="149" t="str">
        <f>'[2]8.mell. - közgazd.mérleg'!A70</f>
        <v>20.</v>
      </c>
      <c r="B68" s="174" t="str">
        <f>'[2]8.mell. - közgazd.mérleg'!B70</f>
        <v>Befektetési célú belföldi értékpapírok vásárlása</v>
      </c>
      <c r="C68" s="161">
        <f>'[2]8.mell. - közgazd.mérleg'!C70</f>
        <v>0</v>
      </c>
      <c r="E68" s="178"/>
    </row>
    <row r="69" spans="1:3" ht="16.5" thickBot="1">
      <c r="A69" s="159"/>
      <c r="B69" s="160" t="str">
        <f>'[2]8.mell. - közgazd.mérleg'!B71</f>
        <v>Finanszírozási kiadások összesen:</v>
      </c>
      <c r="C69" s="175">
        <f>'[2]8.mell. - közgazd.mérleg'!C71</f>
        <v>1449359</v>
      </c>
    </row>
    <row r="70" spans="1:3" ht="16.5" thickBot="1">
      <c r="A70" s="177"/>
      <c r="B70" s="364" t="str">
        <f>'[2]8.mell. - közgazd.mérleg'!B72</f>
        <v>Önkormányzat bevételei mindösszesen:</v>
      </c>
      <c r="C70" s="365">
        <f>'[2]8.mell. - közgazd.mérleg'!C72</f>
        <v>305141032</v>
      </c>
    </row>
    <row r="71" spans="1:3" ht="16.5" thickBot="1">
      <c r="A71" s="177"/>
      <c r="B71" s="364" t="str">
        <f>'[2]8.mell. - közgazd.mérleg'!B73</f>
        <v>Önkormányzat kiadásai mindösszesen:</v>
      </c>
      <c r="C71" s="365">
        <f>'[2]8.mell. - közgazd.mérleg'!C73</f>
        <v>305141032</v>
      </c>
    </row>
  </sheetData>
  <sheetProtection/>
  <mergeCells count="10">
    <mergeCell ref="A33:C33"/>
    <mergeCell ref="A43:C43"/>
    <mergeCell ref="A61:C61"/>
    <mergeCell ref="A1:C1"/>
    <mergeCell ref="A3:C3"/>
    <mergeCell ref="A5:C5"/>
    <mergeCell ref="A6:C6"/>
    <mergeCell ref="A7:C7"/>
    <mergeCell ref="A8:C8"/>
    <mergeCell ref="A14:C1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55"/>
  <sheetViews>
    <sheetView zoomScalePageLayoutView="0" workbookViewId="0" topLeftCell="H34">
      <selection activeCell="A10" sqref="A10:O49"/>
    </sheetView>
  </sheetViews>
  <sheetFormatPr defaultColWidth="9.00390625" defaultRowHeight="12.75"/>
  <cols>
    <col min="1" max="1" width="5.125" style="56" customWidth="1"/>
    <col min="2" max="2" width="43.625" style="56" customWidth="1"/>
    <col min="3" max="3" width="15.375" style="24" customWidth="1"/>
    <col min="4" max="4" width="18.00390625" style="24" customWidth="1"/>
    <col min="5" max="5" width="17.375" style="24" customWidth="1"/>
    <col min="6" max="6" width="16.875" style="24" customWidth="1"/>
    <col min="7" max="7" width="16.625" style="24" customWidth="1"/>
    <col min="8" max="8" width="16.875" style="24" customWidth="1"/>
    <col min="9" max="11" width="15.375" style="24" customWidth="1"/>
    <col min="12" max="12" width="17.25390625" style="24" customWidth="1"/>
    <col min="13" max="13" width="17.625" style="24" customWidth="1"/>
    <col min="14" max="14" width="17.375" style="24" customWidth="1"/>
    <col min="15" max="15" width="16.625" style="24" customWidth="1"/>
    <col min="16" max="17" width="15.625" style="56" bestFit="1" customWidth="1"/>
    <col min="18" max="18" width="12.625" style="56" bestFit="1" customWidth="1"/>
    <col min="19" max="16384" width="9.125" style="56" customWidth="1"/>
  </cols>
  <sheetData>
    <row r="2" spans="1:15" s="114" customFormat="1" ht="15.75">
      <c r="A2" s="517" t="s">
        <v>505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</row>
    <row r="4" spans="2:15" ht="15.75"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</row>
    <row r="5" spans="2:15" ht="15.75"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</row>
    <row r="6" spans="2:15" ht="15.75">
      <c r="B6" s="471" t="s">
        <v>36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</row>
    <row r="7" spans="2:15" ht="15.75">
      <c r="B7" s="471" t="s">
        <v>240</v>
      </c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</row>
    <row r="8" spans="2:15" ht="15.75">
      <c r="B8" s="471" t="s">
        <v>477</v>
      </c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</row>
    <row r="9" spans="3:15" ht="16.5" thickBot="1">
      <c r="C9" s="25"/>
      <c r="D9" s="25"/>
      <c r="E9" s="25"/>
      <c r="F9" s="212"/>
      <c r="G9" s="25"/>
      <c r="H9" s="25"/>
      <c r="I9" s="25"/>
      <c r="J9" s="25"/>
      <c r="O9" s="213" t="s">
        <v>388</v>
      </c>
    </row>
    <row r="10" spans="1:15" ht="15.75">
      <c r="A10" s="214" t="s">
        <v>37</v>
      </c>
      <c r="B10" s="215"/>
      <c r="C10" s="833"/>
      <c r="D10" s="834"/>
      <c r="E10" s="835"/>
      <c r="F10" s="836"/>
      <c r="G10" s="836"/>
      <c r="H10" s="836"/>
      <c r="I10" s="836"/>
      <c r="J10" s="836"/>
      <c r="K10" s="837"/>
      <c r="L10" s="837"/>
      <c r="M10" s="837"/>
      <c r="N10" s="838"/>
      <c r="O10" s="839"/>
    </row>
    <row r="11" spans="1:15" ht="15.75">
      <c r="A11" s="216"/>
      <c r="B11" s="217" t="s">
        <v>0</v>
      </c>
      <c r="C11" s="840" t="s">
        <v>241</v>
      </c>
      <c r="D11" s="841" t="s">
        <v>242</v>
      </c>
      <c r="E11" s="842" t="s">
        <v>243</v>
      </c>
      <c r="F11" s="843" t="s">
        <v>244</v>
      </c>
      <c r="G11" s="843" t="s">
        <v>245</v>
      </c>
      <c r="H11" s="843" t="s">
        <v>246</v>
      </c>
      <c r="I11" s="843" t="s">
        <v>247</v>
      </c>
      <c r="J11" s="843" t="s">
        <v>248</v>
      </c>
      <c r="K11" s="843" t="s">
        <v>249</v>
      </c>
      <c r="L11" s="843" t="s">
        <v>250</v>
      </c>
      <c r="M11" s="843" t="s">
        <v>251</v>
      </c>
      <c r="N11" s="842" t="s">
        <v>252</v>
      </c>
      <c r="O11" s="832" t="s">
        <v>232</v>
      </c>
    </row>
    <row r="12" spans="1:15" ht="16.5" thickBot="1">
      <c r="A12" s="218" t="s">
        <v>38</v>
      </c>
      <c r="B12" s="219"/>
      <c r="C12" s="844"/>
      <c r="D12" s="845"/>
      <c r="E12" s="846"/>
      <c r="F12" s="847"/>
      <c r="G12" s="847"/>
      <c r="H12" s="847"/>
      <c r="I12" s="847"/>
      <c r="J12" s="847"/>
      <c r="K12" s="847"/>
      <c r="L12" s="847"/>
      <c r="M12" s="847"/>
      <c r="N12" s="846"/>
      <c r="O12" s="844"/>
    </row>
    <row r="13" spans="1:15" ht="28.5" customHeight="1">
      <c r="A13" s="220"/>
      <c r="B13" s="221" t="s">
        <v>253</v>
      </c>
      <c r="C13" s="848"/>
      <c r="D13" s="848"/>
      <c r="E13" s="848"/>
      <c r="F13" s="848"/>
      <c r="G13" s="848"/>
      <c r="H13" s="848"/>
      <c r="I13" s="848"/>
      <c r="J13" s="848"/>
      <c r="K13" s="848"/>
      <c r="L13" s="848"/>
      <c r="M13" s="848"/>
      <c r="N13" s="848"/>
      <c r="O13" s="849"/>
    </row>
    <row r="14" spans="1:15" ht="28.5" customHeight="1">
      <c r="A14" s="220" t="s">
        <v>39</v>
      </c>
      <c r="B14" s="221" t="s">
        <v>254</v>
      </c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848"/>
      <c r="N14" s="848"/>
      <c r="O14" s="849"/>
    </row>
    <row r="15" spans="1:15" ht="28.5" customHeight="1">
      <c r="A15" s="220"/>
      <c r="B15" s="221" t="s">
        <v>255</v>
      </c>
      <c r="C15" s="848">
        <f>2243614+756325-364911-92809+434736+42542</f>
        <v>3019497</v>
      </c>
      <c r="D15" s="848">
        <f>2243614+756325-364911-92809+434736+42542</f>
        <v>3019497</v>
      </c>
      <c r="E15" s="848">
        <f>2243614+756325-364911-92809+434736+42542</f>
        <v>3019497</v>
      </c>
      <c r="F15" s="848">
        <f>2243614+756325-364911-92809+434736+42542</f>
        <v>3019497</v>
      </c>
      <c r="G15" s="848">
        <f>2243614+756325-364911-92809+434736+42542</f>
        <v>3019497</v>
      </c>
      <c r="H15" s="848">
        <f>2243614+756325-364911-92809+434736+42542-417779</f>
        <v>2601718</v>
      </c>
      <c r="I15" s="848">
        <f>2243614+756325-364911-92809+434736+42542-700730+130720</f>
        <v>2449487</v>
      </c>
      <c r="J15" s="848">
        <f>2243614+756325-364911-92809+434736+42542+233640</f>
        <v>3253137</v>
      </c>
      <c r="K15" s="848">
        <f>2243614+756325-364911-92809+434736+42542+58410</f>
        <v>3077907</v>
      </c>
      <c r="L15" s="848">
        <f>2243614+756325-364911-92809+434736+42542+58410-632874</f>
        <v>2445033</v>
      </c>
      <c r="M15" s="848">
        <f>2243614+756325-364911-92809+434736+42542+58410</f>
        <v>3077907</v>
      </c>
      <c r="N15" s="848">
        <f>2243614+756325-364911-92809+434736+42542+8+58410+540</f>
        <v>3078455</v>
      </c>
      <c r="O15" s="849">
        <f>SUM(C15:N15)</f>
        <v>35081129</v>
      </c>
    </row>
    <row r="16" spans="1:15" ht="28.5" customHeight="1">
      <c r="A16" s="220"/>
      <c r="B16" s="221" t="s">
        <v>256</v>
      </c>
      <c r="C16" s="848"/>
      <c r="D16" s="848"/>
      <c r="E16" s="848"/>
      <c r="F16" s="848"/>
      <c r="G16" s="848"/>
      <c r="H16" s="848">
        <v>100000</v>
      </c>
      <c r="I16" s="848">
        <v>128360</v>
      </c>
      <c r="J16" s="848">
        <f>32100+121276</f>
        <v>153376</v>
      </c>
      <c r="K16" s="848">
        <v>552400</v>
      </c>
      <c r="L16" s="848"/>
      <c r="M16" s="848">
        <v>206400</v>
      </c>
      <c r="N16" s="848"/>
      <c r="O16" s="849">
        <f>SUM(C16:N16)</f>
        <v>1140536</v>
      </c>
    </row>
    <row r="17" spans="1:15" ht="15.75">
      <c r="A17" s="220" t="s">
        <v>40</v>
      </c>
      <c r="B17" s="221" t="s">
        <v>257</v>
      </c>
      <c r="C17" s="848">
        <f>(12+44+32+31)*1000+150000</f>
        <v>269000</v>
      </c>
      <c r="D17" s="848">
        <f>(19+12+118+253+31)*1000</f>
        <v>433000</v>
      </c>
      <c r="E17" s="848">
        <f>(1127+11+620+382+31)*1000+37000-1100000</f>
        <v>1108000</v>
      </c>
      <c r="F17" s="848">
        <f>(9+12+76+34+31+200)*1000</f>
        <v>362000</v>
      </c>
      <c r="G17" s="848">
        <f>(408+12+48+35+31-200)*1000</f>
        <v>334000</v>
      </c>
      <c r="H17" s="848">
        <f>(46+12+20+19+31)*1000</f>
        <v>128000</v>
      </c>
      <c r="I17" s="848">
        <f>(12+2+2+31)*1000+150000</f>
        <v>197000</v>
      </c>
      <c r="J17" s="848">
        <f>(12+237+346+31)*1000</f>
        <v>626000</v>
      </c>
      <c r="K17" s="848">
        <f>(1188+11+601+335+31)*1000-1140000+68056</f>
        <v>1094056</v>
      </c>
      <c r="L17" s="848">
        <f>(10+12+27+35+31)*1000+150000</f>
        <v>265000</v>
      </c>
      <c r="M17" s="848">
        <f>(852+11+76+12+31)*1000</f>
        <v>982000</v>
      </c>
      <c r="N17" s="848">
        <f>(241+11+34+15+29)*1000</f>
        <v>330000</v>
      </c>
      <c r="O17" s="849">
        <f aca="true" t="shared" si="0" ref="O17:O26">SUM(C17:N17)</f>
        <v>6128056</v>
      </c>
    </row>
    <row r="18" spans="1:18" ht="15.75">
      <c r="A18" s="220" t="s">
        <v>91</v>
      </c>
      <c r="B18" s="221" t="s">
        <v>258</v>
      </c>
      <c r="C18" s="848">
        <f>840000+76550</f>
        <v>916550</v>
      </c>
      <c r="D18" s="848">
        <f aca="true" t="shared" si="1" ref="D18:K18">840000+76550</f>
        <v>916550</v>
      </c>
      <c r="E18" s="848">
        <f>840000+76550</f>
        <v>916550</v>
      </c>
      <c r="F18" s="848">
        <f t="shared" si="1"/>
        <v>916550</v>
      </c>
      <c r="G18" s="848">
        <f t="shared" si="1"/>
        <v>916550</v>
      </c>
      <c r="H18" s="848">
        <f t="shared" si="1"/>
        <v>916550</v>
      </c>
      <c r="I18" s="848">
        <f t="shared" si="1"/>
        <v>916550</v>
      </c>
      <c r="J18" s="848">
        <f t="shared" si="1"/>
        <v>916550</v>
      </c>
      <c r="K18" s="848">
        <f t="shared" si="1"/>
        <v>916550</v>
      </c>
      <c r="L18" s="848">
        <f>840000+76555</f>
        <v>916555</v>
      </c>
      <c r="M18" s="848">
        <f>840000+17846+7719+76550</f>
        <v>942115</v>
      </c>
      <c r="N18" s="848">
        <f>840000+76550</f>
        <v>916550</v>
      </c>
      <c r="O18" s="849">
        <f t="shared" si="0"/>
        <v>11024170</v>
      </c>
      <c r="Q18" s="233"/>
      <c r="R18" s="233"/>
    </row>
    <row r="19" spans="1:15" ht="15.75">
      <c r="A19" s="220" t="s">
        <v>92</v>
      </c>
      <c r="B19" s="222" t="s">
        <v>259</v>
      </c>
      <c r="C19" s="850"/>
      <c r="D19" s="850"/>
      <c r="E19" s="850"/>
      <c r="F19" s="850"/>
      <c r="G19" s="850"/>
      <c r="H19" s="850"/>
      <c r="I19" s="850"/>
      <c r="J19" s="850"/>
      <c r="K19" s="850"/>
      <c r="L19" s="850"/>
      <c r="M19" s="850"/>
      <c r="N19" s="850"/>
      <c r="O19" s="849">
        <f t="shared" si="0"/>
        <v>0</v>
      </c>
    </row>
    <row r="20" spans="1:15" ht="15.75">
      <c r="A20" s="220" t="s">
        <v>98</v>
      </c>
      <c r="B20" s="222" t="s">
        <v>195</v>
      </c>
      <c r="C20" s="851"/>
      <c r="D20" s="851"/>
      <c r="E20" s="851"/>
      <c r="F20" s="851"/>
      <c r="G20" s="851"/>
      <c r="H20" s="851"/>
      <c r="I20" s="851"/>
      <c r="J20" s="851"/>
      <c r="K20" s="851"/>
      <c r="L20" s="851"/>
      <c r="M20" s="851"/>
      <c r="N20" s="852"/>
      <c r="O20" s="849">
        <f t="shared" si="0"/>
        <v>0</v>
      </c>
    </row>
    <row r="21" spans="1:15" ht="31.5">
      <c r="A21" s="220"/>
      <c r="B21" s="221" t="s">
        <v>260</v>
      </c>
      <c r="C21" s="853"/>
      <c r="D21" s="853"/>
      <c r="E21" s="853"/>
      <c r="F21" s="853"/>
      <c r="G21" s="853"/>
      <c r="H21" s="853"/>
      <c r="I21" s="853"/>
      <c r="J21" s="853"/>
      <c r="K21" s="853"/>
      <c r="L21" s="853"/>
      <c r="M21" s="853"/>
      <c r="N21" s="854"/>
      <c r="O21" s="849">
        <f t="shared" si="0"/>
        <v>0</v>
      </c>
    </row>
    <row r="22" spans="1:15" ht="17.25" customHeight="1">
      <c r="A22" s="220"/>
      <c r="B22" s="221" t="s">
        <v>261</v>
      </c>
      <c r="C22" s="853"/>
      <c r="D22" s="853"/>
      <c r="E22" s="853"/>
      <c r="F22" s="853"/>
      <c r="G22" s="853"/>
      <c r="H22" s="853"/>
      <c r="I22" s="853"/>
      <c r="J22" s="853"/>
      <c r="K22" s="853"/>
      <c r="L22" s="853"/>
      <c r="M22" s="853"/>
      <c r="N22" s="854"/>
      <c r="O22" s="849">
        <f t="shared" si="0"/>
        <v>0</v>
      </c>
    </row>
    <row r="23" spans="1:15" ht="15.75">
      <c r="A23" s="220" t="s">
        <v>196</v>
      </c>
      <c r="B23" s="222" t="s">
        <v>262</v>
      </c>
      <c r="C23" s="853"/>
      <c r="D23" s="853"/>
      <c r="E23" s="853"/>
      <c r="F23" s="853"/>
      <c r="G23" s="853"/>
      <c r="H23" s="853"/>
      <c r="I23" s="853"/>
      <c r="J23" s="853"/>
      <c r="K23" s="853"/>
      <c r="L23" s="853">
        <f>117084290+4728810</f>
        <v>121813100</v>
      </c>
      <c r="M23" s="853"/>
      <c r="N23" s="854"/>
      <c r="O23" s="849">
        <f t="shared" si="0"/>
        <v>121813100</v>
      </c>
    </row>
    <row r="24" spans="1:15" ht="47.25">
      <c r="A24" s="220"/>
      <c r="B24" s="231" t="s">
        <v>263</v>
      </c>
      <c r="C24" s="853">
        <v>28904</v>
      </c>
      <c r="D24" s="853">
        <v>28904</v>
      </c>
      <c r="E24" s="853">
        <v>28904</v>
      </c>
      <c r="F24" s="853">
        <v>28904</v>
      </c>
      <c r="G24" s="853">
        <v>28904</v>
      </c>
      <c r="H24" s="853">
        <v>28904</v>
      </c>
      <c r="I24" s="853">
        <v>28904</v>
      </c>
      <c r="J24" s="853">
        <v>28904</v>
      </c>
      <c r="K24" s="853">
        <f>1952679+7251</f>
        <v>1959930</v>
      </c>
      <c r="L24" s="853">
        <v>28904</v>
      </c>
      <c r="M24" s="853">
        <f>28904+5</f>
        <v>28909</v>
      </c>
      <c r="N24" s="853">
        <v>28904</v>
      </c>
      <c r="O24" s="849">
        <f t="shared" si="0"/>
        <v>2277879</v>
      </c>
    </row>
    <row r="25" spans="1:15" ht="15.75">
      <c r="A25" s="220"/>
      <c r="B25" s="221" t="s">
        <v>264</v>
      </c>
      <c r="C25" s="853"/>
      <c r="D25" s="853"/>
      <c r="E25" s="853"/>
      <c r="F25" s="853"/>
      <c r="G25" s="853"/>
      <c r="H25" s="853"/>
      <c r="I25" s="853"/>
      <c r="J25" s="853">
        <v>3000000</v>
      </c>
      <c r="K25" s="853"/>
      <c r="L25" s="853"/>
      <c r="M25" s="853"/>
      <c r="N25" s="854">
        <v>3000000</v>
      </c>
      <c r="O25" s="849">
        <f t="shared" si="0"/>
        <v>6000000</v>
      </c>
    </row>
    <row r="26" spans="1:15" ht="15.75">
      <c r="A26" s="220" t="s">
        <v>197</v>
      </c>
      <c r="B26" s="222" t="s">
        <v>265</v>
      </c>
      <c r="C26" s="853">
        <f>413192+500000</f>
        <v>913192</v>
      </c>
      <c r="D26" s="853">
        <f>98322035-413192-500000</f>
        <v>97408843</v>
      </c>
      <c r="E26" s="853">
        <v>140000</v>
      </c>
      <c r="F26" s="853"/>
      <c r="G26" s="853">
        <f>25+5+99+234696+964900</f>
        <v>1199725</v>
      </c>
      <c r="H26" s="853"/>
      <c r="I26" s="853">
        <f>289419+20902499+822484</f>
        <v>22014402</v>
      </c>
      <c r="J26" s="853"/>
      <c r="K26" s="853"/>
      <c r="L26" s="853"/>
      <c r="M26" s="853"/>
      <c r="N26" s="854"/>
      <c r="O26" s="849">
        <f t="shared" si="0"/>
        <v>121676162</v>
      </c>
    </row>
    <row r="27" spans="1:15" ht="16.5" thickBot="1">
      <c r="A27" s="223" t="s">
        <v>198</v>
      </c>
      <c r="B27" s="224" t="s">
        <v>266</v>
      </c>
      <c r="C27" s="853"/>
      <c r="D27" s="853">
        <f>C49</f>
        <v>500000</v>
      </c>
      <c r="E27" s="853">
        <f aca="true" t="shared" si="2" ref="E27:N27">D49</f>
        <v>91084307</v>
      </c>
      <c r="F27" s="853">
        <f t="shared" si="2"/>
        <v>90894515</v>
      </c>
      <c r="G27" s="853">
        <f t="shared" si="2"/>
        <v>90685627</v>
      </c>
      <c r="H27" s="853">
        <f t="shared" si="2"/>
        <v>90365760</v>
      </c>
      <c r="I27" s="853">
        <f t="shared" si="2"/>
        <v>61329685</v>
      </c>
      <c r="J27" s="853">
        <f t="shared" si="2"/>
        <v>35158637</v>
      </c>
      <c r="K27" s="853">
        <f t="shared" si="2"/>
        <v>4263670</v>
      </c>
      <c r="L27" s="853">
        <f t="shared" si="2"/>
        <v>4698370</v>
      </c>
      <c r="M27" s="853">
        <f t="shared" si="2"/>
        <v>125323679</v>
      </c>
      <c r="N27" s="853">
        <f t="shared" si="2"/>
        <v>123644788</v>
      </c>
      <c r="O27" s="849"/>
    </row>
    <row r="28" spans="1:16" s="18" customFormat="1" ht="27.75" customHeight="1" thickBot="1">
      <c r="A28" s="225"/>
      <c r="B28" s="225" t="s">
        <v>267</v>
      </c>
      <c r="C28" s="855">
        <f aca="true" t="shared" si="3" ref="C28:N28">SUM(C15:C27)</f>
        <v>5147143</v>
      </c>
      <c r="D28" s="855">
        <f t="shared" si="3"/>
        <v>102306794</v>
      </c>
      <c r="E28" s="855">
        <f t="shared" si="3"/>
        <v>96297258</v>
      </c>
      <c r="F28" s="855">
        <f t="shared" si="3"/>
        <v>95221466</v>
      </c>
      <c r="G28" s="855">
        <f t="shared" si="3"/>
        <v>96184303</v>
      </c>
      <c r="H28" s="855">
        <f t="shared" si="3"/>
        <v>94140932</v>
      </c>
      <c r="I28" s="855">
        <f t="shared" si="3"/>
        <v>87064388</v>
      </c>
      <c r="J28" s="855">
        <f t="shared" si="3"/>
        <v>43136604</v>
      </c>
      <c r="K28" s="855">
        <f t="shared" si="3"/>
        <v>11864513</v>
      </c>
      <c r="L28" s="855">
        <f t="shared" si="3"/>
        <v>130166962</v>
      </c>
      <c r="M28" s="855">
        <f t="shared" si="3"/>
        <v>130561010</v>
      </c>
      <c r="N28" s="855">
        <f t="shared" si="3"/>
        <v>130998697</v>
      </c>
      <c r="O28" s="856">
        <f>SUM(O14:O27)</f>
        <v>305141032</v>
      </c>
      <c r="P28" s="119"/>
    </row>
    <row r="29" spans="1:15" ht="15.75">
      <c r="A29" s="226"/>
      <c r="B29" s="227" t="s">
        <v>268</v>
      </c>
      <c r="C29" s="848"/>
      <c r="D29" s="848"/>
      <c r="E29" s="848"/>
      <c r="F29" s="848"/>
      <c r="G29" s="848"/>
      <c r="H29" s="848"/>
      <c r="I29" s="848"/>
      <c r="J29" s="848"/>
      <c r="K29" s="848"/>
      <c r="L29" s="848"/>
      <c r="M29" s="848"/>
      <c r="N29" s="848"/>
      <c r="O29" s="857"/>
    </row>
    <row r="30" spans="1:17" ht="15.75">
      <c r="A30" s="220" t="s">
        <v>199</v>
      </c>
      <c r="B30" s="222" t="s">
        <v>150</v>
      </c>
      <c r="C30" s="848">
        <v>1841663</v>
      </c>
      <c r="D30" s="848">
        <v>1841663</v>
      </c>
      <c r="E30" s="848">
        <v>1841663</v>
      </c>
      <c r="F30" s="848">
        <f>1841663-82280</f>
        <v>1759383</v>
      </c>
      <c r="G30" s="848">
        <v>1841663</v>
      </c>
      <c r="H30" s="848">
        <f>1841663+32868</f>
        <v>1874531</v>
      </c>
      <c r="I30" s="848">
        <f>1841663+300007+105000</f>
        <v>2246670</v>
      </c>
      <c r="J30" s="848">
        <v>1841663</v>
      </c>
      <c r="K30" s="848">
        <v>1841663</v>
      </c>
      <c r="L30" s="848">
        <v>1841663</v>
      </c>
      <c r="M30" s="848">
        <v>1841663</v>
      </c>
      <c r="N30" s="848">
        <f>1841663+2800000-300000</f>
        <v>4341663</v>
      </c>
      <c r="O30" s="849">
        <f aca="true" t="shared" si="4" ref="O30:O47">SUM(C30:N30)</f>
        <v>24955551</v>
      </c>
      <c r="P30" s="233"/>
      <c r="Q30" s="233"/>
    </row>
    <row r="31" spans="1:17" ht="31.5">
      <c r="A31" s="220" t="s">
        <v>200</v>
      </c>
      <c r="B31" s="231" t="s">
        <v>269</v>
      </c>
      <c r="C31" s="848">
        <v>324480</v>
      </c>
      <c r="D31" s="848">
        <v>324480</v>
      </c>
      <c r="E31" s="848">
        <v>324480</v>
      </c>
      <c r="F31" s="848">
        <f>324480-7199</f>
        <v>317281</v>
      </c>
      <c r="G31" s="848">
        <v>324480</v>
      </c>
      <c r="H31" s="848">
        <f>324480-32868</f>
        <v>291612</v>
      </c>
      <c r="I31" s="848">
        <f>324480+16276</f>
        <v>340756</v>
      </c>
      <c r="J31" s="848">
        <f>324480+52500</f>
        <v>376980</v>
      </c>
      <c r="K31" s="848">
        <v>324480</v>
      </c>
      <c r="L31" s="848">
        <v>324480</v>
      </c>
      <c r="M31" s="848">
        <v>324480</v>
      </c>
      <c r="N31" s="848">
        <f>324480+437504</f>
        <v>761984</v>
      </c>
      <c r="O31" s="849">
        <f t="shared" si="4"/>
        <v>4359973</v>
      </c>
      <c r="Q31" s="233"/>
    </row>
    <row r="32" spans="1:17" ht="15.75">
      <c r="A32" s="220" t="s">
        <v>201</v>
      </c>
      <c r="B32" s="222" t="s">
        <v>152</v>
      </c>
      <c r="C32" s="848">
        <f>2391000-270000-500000-100000+180000</f>
        <v>1701000</v>
      </c>
      <c r="D32" s="848">
        <f>1745000+200000+180000</f>
        <v>2125000</v>
      </c>
      <c r="E32" s="848">
        <f>1745000+900000+150000+140000</f>
        <v>2935000</v>
      </c>
      <c r="F32" s="848">
        <f>1745000+50000+160000+89479</f>
        <v>2044479</v>
      </c>
      <c r="G32" s="848">
        <f>1745000+450000+171000+964900</f>
        <v>3330900</v>
      </c>
      <c r="H32" s="848">
        <f>1745000+150000+100000</f>
        <v>1995000</v>
      </c>
      <c r="I32" s="848">
        <f>1745000+300000+150000+40640+822484</f>
        <v>3058124</v>
      </c>
      <c r="J32" s="848">
        <f>1745000+250000+100000</f>
        <v>2095000</v>
      </c>
      <c r="K32" s="848">
        <f>1745000+150000+150000</f>
        <v>2045000</v>
      </c>
      <c r="L32" s="848">
        <f>1745000+60000+171000+491440</f>
        <v>2467440</v>
      </c>
      <c r="M32" s="848">
        <f>1745000+123732+100000+150000+552400+1238250</f>
        <v>3909382</v>
      </c>
      <c r="N32" s="848">
        <f>1745000+194797+246914+4728810-3028250</f>
        <v>3887271</v>
      </c>
      <c r="O32" s="849">
        <f t="shared" si="4"/>
        <v>31593596</v>
      </c>
      <c r="P32" s="233"/>
      <c r="Q32" s="233"/>
    </row>
    <row r="33" spans="1:15" ht="15.75">
      <c r="A33" s="220" t="s">
        <v>202</v>
      </c>
      <c r="B33" s="222" t="s">
        <v>153</v>
      </c>
      <c r="C33" s="848">
        <f>150000-20000</f>
        <v>130000</v>
      </c>
      <c r="D33" s="848">
        <f>150000-30000</f>
        <v>120000</v>
      </c>
      <c r="E33" s="848">
        <v>150000</v>
      </c>
      <c r="F33" s="848">
        <f>150000-10000</f>
        <v>140000</v>
      </c>
      <c r="G33" s="848">
        <f>150000-20000</f>
        <v>130000</v>
      </c>
      <c r="H33" s="848">
        <f>150000-10000</f>
        <v>140000</v>
      </c>
      <c r="I33" s="848">
        <f>150000-20000</f>
        <v>130000</v>
      </c>
      <c r="J33" s="848">
        <f>150000-10000</f>
        <v>140000</v>
      </c>
      <c r="K33" s="848">
        <f>150000-20000</f>
        <v>130000</v>
      </c>
      <c r="L33" s="848">
        <f>150000-10000</f>
        <v>140000</v>
      </c>
      <c r="M33" s="848">
        <f>150000</f>
        <v>150000</v>
      </c>
      <c r="N33" s="848">
        <v>1200000</v>
      </c>
      <c r="O33" s="849">
        <f t="shared" si="4"/>
        <v>2700000</v>
      </c>
    </row>
    <row r="34" spans="1:15" ht="15.75">
      <c r="A34" s="220" t="s">
        <v>203</v>
      </c>
      <c r="B34" s="222" t="s">
        <v>270</v>
      </c>
      <c r="C34" s="848"/>
      <c r="D34" s="848"/>
      <c r="E34" s="848"/>
      <c r="F34" s="848"/>
      <c r="G34" s="848"/>
      <c r="H34" s="848"/>
      <c r="I34" s="848"/>
      <c r="J34" s="848"/>
      <c r="K34" s="848"/>
      <c r="L34" s="848"/>
      <c r="M34" s="848"/>
      <c r="N34" s="848"/>
      <c r="O34" s="849"/>
    </row>
    <row r="35" spans="1:15" ht="15.75">
      <c r="A35" s="220"/>
      <c r="B35" s="222" t="s">
        <v>271</v>
      </c>
      <c r="C35" s="848">
        <v>50000</v>
      </c>
      <c r="D35" s="848"/>
      <c r="E35" s="848"/>
      <c r="F35" s="848"/>
      <c r="G35" s="848"/>
      <c r="H35" s="848"/>
      <c r="I35" s="848"/>
      <c r="J35" s="848">
        <v>50000</v>
      </c>
      <c r="K35" s="848">
        <v>1200000</v>
      </c>
      <c r="L35" s="848"/>
      <c r="M35" s="848"/>
      <c r="N35" s="848"/>
      <c r="O35" s="849">
        <f t="shared" si="4"/>
        <v>1300000</v>
      </c>
    </row>
    <row r="36" spans="1:16" ht="15.75">
      <c r="A36" s="220"/>
      <c r="B36" s="222" t="s">
        <v>272</v>
      </c>
      <c r="C36" s="848"/>
      <c r="D36" s="848">
        <v>79850</v>
      </c>
      <c r="E36" s="848">
        <v>50000</v>
      </c>
      <c r="F36" s="848">
        <v>40000</v>
      </c>
      <c r="G36" s="848">
        <f>209100-17600</f>
        <v>191500</v>
      </c>
      <c r="H36" s="848"/>
      <c r="I36" s="848">
        <v>40000</v>
      </c>
      <c r="J36" s="848">
        <v>40000</v>
      </c>
      <c r="K36" s="848">
        <v>625000</v>
      </c>
      <c r="L36" s="848">
        <v>69700</v>
      </c>
      <c r="M36" s="848">
        <v>54300</v>
      </c>
      <c r="N36" s="848">
        <v>79850</v>
      </c>
      <c r="O36" s="849">
        <f t="shared" si="4"/>
        <v>1270200</v>
      </c>
      <c r="P36" s="233"/>
    </row>
    <row r="37" spans="1:15" ht="15.75">
      <c r="A37" s="220" t="s">
        <v>204</v>
      </c>
      <c r="B37" s="222" t="s">
        <v>156</v>
      </c>
      <c r="C37" s="848"/>
      <c r="D37" s="848">
        <v>51562</v>
      </c>
      <c r="E37" s="848">
        <v>101600</v>
      </c>
      <c r="F37" s="848">
        <v>234696</v>
      </c>
      <c r="G37" s="848"/>
      <c r="H37" s="848"/>
      <c r="I37" s="848">
        <v>185928</v>
      </c>
      <c r="J37" s="848">
        <f>1999880+25+4098290</f>
        <v>6098195</v>
      </c>
      <c r="K37" s="848"/>
      <c r="L37" s="848"/>
      <c r="M37" s="848">
        <f>280797-152400</f>
        <v>128397</v>
      </c>
      <c r="N37" s="848">
        <f>7741929+117084290-4098290</f>
        <v>120727929</v>
      </c>
      <c r="O37" s="849">
        <f t="shared" si="4"/>
        <v>127528307</v>
      </c>
    </row>
    <row r="38" spans="1:15" ht="15.75">
      <c r="A38" s="220" t="s">
        <v>206</v>
      </c>
      <c r="B38" s="222" t="s">
        <v>67</v>
      </c>
      <c r="C38" s="848">
        <v>600000</v>
      </c>
      <c r="D38" s="848">
        <v>2627000</v>
      </c>
      <c r="E38" s="848"/>
      <c r="F38" s="848"/>
      <c r="G38" s="848"/>
      <c r="H38" s="848">
        <f>28510000+104</f>
        <v>28510104</v>
      </c>
      <c r="I38" s="848">
        <v>22500000</v>
      </c>
      <c r="J38" s="848">
        <f>32329386-4098290</f>
        <v>28231096</v>
      </c>
      <c r="K38" s="848"/>
      <c r="L38" s="848"/>
      <c r="M38" s="848">
        <v>508000</v>
      </c>
      <c r="N38" s="848"/>
      <c r="O38" s="849">
        <f t="shared" si="4"/>
        <v>82976200</v>
      </c>
    </row>
    <row r="39" spans="1:15" ht="20.25" customHeight="1">
      <c r="A39" s="220" t="s">
        <v>207</v>
      </c>
      <c r="B39" s="222" t="s">
        <v>205</v>
      </c>
      <c r="C39" s="848"/>
      <c r="D39" s="848"/>
      <c r="E39" s="848"/>
      <c r="F39" s="848"/>
      <c r="G39" s="848"/>
      <c r="H39" s="848"/>
      <c r="I39" s="848"/>
      <c r="J39" s="848"/>
      <c r="K39" s="848"/>
      <c r="L39" s="848"/>
      <c r="M39" s="848"/>
      <c r="N39" s="848"/>
      <c r="O39" s="849">
        <f t="shared" si="4"/>
        <v>0</v>
      </c>
    </row>
    <row r="40" spans="1:15" ht="20.25" customHeight="1">
      <c r="A40" s="220"/>
      <c r="B40" s="222" t="s">
        <v>271</v>
      </c>
      <c r="C40" s="848"/>
      <c r="D40" s="848"/>
      <c r="E40" s="848"/>
      <c r="F40" s="848"/>
      <c r="G40" s="848"/>
      <c r="H40" s="848"/>
      <c r="I40" s="848"/>
      <c r="J40" s="848"/>
      <c r="K40" s="848"/>
      <c r="L40" s="848"/>
      <c r="M40" s="848"/>
      <c r="N40" s="848"/>
      <c r="O40" s="849">
        <f t="shared" si="4"/>
        <v>0</v>
      </c>
    </row>
    <row r="41" spans="1:15" ht="15.75">
      <c r="A41" s="220"/>
      <c r="B41" s="222" t="s">
        <v>272</v>
      </c>
      <c r="C41" s="848"/>
      <c r="D41" s="848">
        <v>2603573</v>
      </c>
      <c r="E41" s="848"/>
      <c r="F41" s="848"/>
      <c r="G41" s="848"/>
      <c r="H41" s="848"/>
      <c r="I41" s="848"/>
      <c r="J41" s="848"/>
      <c r="K41" s="848">
        <v>1000000</v>
      </c>
      <c r="L41" s="848"/>
      <c r="M41" s="848"/>
      <c r="N41" s="848"/>
      <c r="O41" s="849">
        <f t="shared" si="4"/>
        <v>3603573</v>
      </c>
    </row>
    <row r="42" spans="1:15" ht="15.75">
      <c r="A42" s="220" t="s">
        <v>208</v>
      </c>
      <c r="B42" s="222" t="s">
        <v>149</v>
      </c>
      <c r="C42" s="848"/>
      <c r="D42" s="848"/>
      <c r="E42" s="848"/>
      <c r="F42" s="848"/>
      <c r="G42" s="848"/>
      <c r="H42" s="848"/>
      <c r="I42" s="848"/>
      <c r="J42" s="848"/>
      <c r="K42" s="848"/>
      <c r="L42" s="848"/>
      <c r="M42" s="848"/>
      <c r="N42" s="848"/>
      <c r="O42" s="849">
        <f t="shared" si="4"/>
        <v>0</v>
      </c>
    </row>
    <row r="43" spans="1:15" ht="15.75">
      <c r="A43" s="220"/>
      <c r="B43" s="302" t="s">
        <v>381</v>
      </c>
      <c r="C43" s="848"/>
      <c r="D43" s="848">
        <v>1449359</v>
      </c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9">
        <f t="shared" si="4"/>
        <v>1449359</v>
      </c>
    </row>
    <row r="44" spans="1:15" ht="15.75">
      <c r="A44" s="220"/>
      <c r="B44" s="222" t="s">
        <v>273</v>
      </c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9">
        <f t="shared" si="4"/>
        <v>0</v>
      </c>
    </row>
    <row r="45" spans="1:15" ht="15.75">
      <c r="A45" s="220"/>
      <c r="B45" s="222" t="s">
        <v>274</v>
      </c>
      <c r="C45" s="848"/>
      <c r="D45" s="848"/>
      <c r="E45" s="848"/>
      <c r="F45" s="848"/>
      <c r="G45" s="848"/>
      <c r="H45" s="848"/>
      <c r="I45" s="848"/>
      <c r="J45" s="848"/>
      <c r="K45" s="848"/>
      <c r="L45" s="848"/>
      <c r="M45" s="848"/>
      <c r="N45" s="848"/>
      <c r="O45" s="849">
        <f t="shared" si="4"/>
        <v>0</v>
      </c>
    </row>
    <row r="46" spans="1:16" ht="15.75">
      <c r="A46" s="220" t="s">
        <v>275</v>
      </c>
      <c r="B46" s="222" t="s">
        <v>276</v>
      </c>
      <c r="C46" s="848"/>
      <c r="D46" s="848"/>
      <c r="E46" s="848"/>
      <c r="F46" s="848"/>
      <c r="G46" s="848"/>
      <c r="H46" s="848"/>
      <c r="I46" s="848">
        <f>20902499-700730+130720+467820+32100-128360-40640+128360-2171944-632874+206400-1238250-677368+4098290+3028250</f>
        <v>23404273</v>
      </c>
      <c r="J46" s="848"/>
      <c r="K46" s="848"/>
      <c r="L46" s="848"/>
      <c r="M46" s="848"/>
      <c r="N46" s="848"/>
      <c r="O46" s="849">
        <f t="shared" si="4"/>
        <v>23404273</v>
      </c>
      <c r="P46" s="233"/>
    </row>
    <row r="47" spans="1:15" ht="16.5" thickBot="1">
      <c r="A47" s="223" t="s">
        <v>277</v>
      </c>
      <c r="B47" s="224" t="s">
        <v>278</v>
      </c>
      <c r="C47" s="848"/>
      <c r="D47" s="848"/>
      <c r="E47" s="848"/>
      <c r="F47" s="848"/>
      <c r="G47" s="848"/>
      <c r="H47" s="848"/>
      <c r="I47" s="848"/>
      <c r="J47" s="848"/>
      <c r="K47" s="848"/>
      <c r="L47" s="848"/>
      <c r="M47" s="848"/>
      <c r="N47" s="848"/>
      <c r="O47" s="849">
        <f t="shared" si="4"/>
        <v>0</v>
      </c>
    </row>
    <row r="48" spans="1:19" s="18" customFormat="1" ht="24" customHeight="1" thickBot="1">
      <c r="A48" s="225"/>
      <c r="B48" s="225" t="s">
        <v>279</v>
      </c>
      <c r="C48" s="855">
        <f aca="true" t="shared" si="5" ref="C48:N48">SUM(C30:C47)</f>
        <v>4647143</v>
      </c>
      <c r="D48" s="855">
        <f t="shared" si="5"/>
        <v>11222487</v>
      </c>
      <c r="E48" s="855">
        <f t="shared" si="5"/>
        <v>5402743</v>
      </c>
      <c r="F48" s="855">
        <f t="shared" si="5"/>
        <v>4535839</v>
      </c>
      <c r="G48" s="855">
        <f t="shared" si="5"/>
        <v>5818543</v>
      </c>
      <c r="H48" s="855">
        <f t="shared" si="5"/>
        <v>32811247</v>
      </c>
      <c r="I48" s="855">
        <f t="shared" si="5"/>
        <v>51905751</v>
      </c>
      <c r="J48" s="855">
        <f t="shared" si="5"/>
        <v>38872934</v>
      </c>
      <c r="K48" s="855">
        <f t="shared" si="5"/>
        <v>7166143</v>
      </c>
      <c r="L48" s="855">
        <f t="shared" si="5"/>
        <v>4843283</v>
      </c>
      <c r="M48" s="855">
        <f t="shared" si="5"/>
        <v>6916222</v>
      </c>
      <c r="N48" s="855">
        <f t="shared" si="5"/>
        <v>130998697</v>
      </c>
      <c r="O48" s="856">
        <f>SUM(O30:O47)</f>
        <v>305141032</v>
      </c>
      <c r="S48" s="228"/>
    </row>
    <row r="49" spans="1:15" ht="26.25" customHeight="1" thickBot="1">
      <c r="A49" s="229"/>
      <c r="B49" s="230" t="s">
        <v>280</v>
      </c>
      <c r="C49" s="858">
        <f aca="true" t="shared" si="6" ref="C49:N49">C28-C48</f>
        <v>500000</v>
      </c>
      <c r="D49" s="858">
        <f t="shared" si="6"/>
        <v>91084307</v>
      </c>
      <c r="E49" s="858">
        <f t="shared" si="6"/>
        <v>90894515</v>
      </c>
      <c r="F49" s="858">
        <f t="shared" si="6"/>
        <v>90685627</v>
      </c>
      <c r="G49" s="858">
        <f t="shared" si="6"/>
        <v>90365760</v>
      </c>
      <c r="H49" s="858">
        <f t="shared" si="6"/>
        <v>61329685</v>
      </c>
      <c r="I49" s="858">
        <f t="shared" si="6"/>
        <v>35158637</v>
      </c>
      <c r="J49" s="858">
        <f t="shared" si="6"/>
        <v>4263670</v>
      </c>
      <c r="K49" s="858">
        <f t="shared" si="6"/>
        <v>4698370</v>
      </c>
      <c r="L49" s="858">
        <f t="shared" si="6"/>
        <v>125323679</v>
      </c>
      <c r="M49" s="858">
        <f t="shared" si="6"/>
        <v>123644788</v>
      </c>
      <c r="N49" s="858">
        <f t="shared" si="6"/>
        <v>0</v>
      </c>
      <c r="O49" s="859"/>
    </row>
    <row r="51" spans="3:15" ht="15.75"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</row>
    <row r="52" ht="15.75">
      <c r="O52" s="232"/>
    </row>
    <row r="53" ht="15.75">
      <c r="O53" s="232"/>
    </row>
    <row r="54" ht="15.75">
      <c r="O54" s="232"/>
    </row>
    <row r="55" ht="15.75">
      <c r="O55" s="232"/>
    </row>
  </sheetData>
  <sheetProtection/>
  <mergeCells count="6"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2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75390625" style="27" customWidth="1"/>
    <col min="2" max="2" width="56.25390625" style="27" customWidth="1"/>
    <col min="3" max="3" width="17.875" style="27" customWidth="1"/>
    <col min="4" max="4" width="4.875" style="27" customWidth="1"/>
    <col min="5" max="16384" width="9.125" style="27" customWidth="1"/>
  </cols>
  <sheetData>
    <row r="1" spans="1:5" ht="15.75">
      <c r="A1" s="517" t="s">
        <v>506</v>
      </c>
      <c r="B1" s="517"/>
      <c r="C1" s="517"/>
      <c r="D1" s="114"/>
      <c r="E1" s="26"/>
    </row>
    <row r="2" spans="1:5" ht="15.75">
      <c r="A2" s="28"/>
      <c r="B2" s="28"/>
      <c r="C2" s="28"/>
      <c r="D2" s="29"/>
      <c r="E2" s="26"/>
    </row>
    <row r="3" spans="1:5" ht="12.75" customHeight="1">
      <c r="A3" s="29"/>
      <c r="B3" s="29"/>
      <c r="C3" s="29"/>
      <c r="D3" s="29"/>
      <c r="E3" s="26"/>
    </row>
    <row r="4" spans="1:5" ht="15.75">
      <c r="A4" s="611" t="s">
        <v>4</v>
      </c>
      <c r="B4" s="611"/>
      <c r="C4" s="611"/>
      <c r="D4" s="611"/>
      <c r="E4" s="26"/>
    </row>
    <row r="5" spans="1:5" ht="15.75">
      <c r="A5" s="611" t="s">
        <v>20</v>
      </c>
      <c r="B5" s="611"/>
      <c r="C5" s="611"/>
      <c r="D5" s="611"/>
      <c r="E5" s="26"/>
    </row>
    <row r="6" spans="1:5" ht="15.75">
      <c r="A6" s="611" t="s">
        <v>480</v>
      </c>
      <c r="B6" s="611"/>
      <c r="C6" s="611"/>
      <c r="D6" s="611"/>
      <c r="E6" s="26"/>
    </row>
    <row r="7" spans="1:5" ht="15.75">
      <c r="A7" s="28"/>
      <c r="B7" s="28"/>
      <c r="C7" s="28"/>
      <c r="D7" s="26"/>
      <c r="E7" s="26"/>
    </row>
    <row r="8" spans="1:5" ht="15.75">
      <c r="A8" s="28"/>
      <c r="B8" s="28"/>
      <c r="C8" s="28"/>
      <c r="D8" s="26"/>
      <c r="E8" s="26"/>
    </row>
    <row r="9" spans="1:5" ht="15.75">
      <c r="A9" s="28"/>
      <c r="B9" s="28"/>
      <c r="C9" s="28"/>
      <c r="D9" s="26"/>
      <c r="E9" s="26"/>
    </row>
    <row r="10" spans="1:5" ht="15.75">
      <c r="A10" s="28"/>
      <c r="B10" s="28"/>
      <c r="C10" s="28"/>
      <c r="D10" s="26"/>
      <c r="E10" s="26"/>
    </row>
    <row r="11" spans="1:5" ht="15.75">
      <c r="A11" s="28"/>
      <c r="B11" s="30" t="s">
        <v>11</v>
      </c>
      <c r="C11" s="28"/>
      <c r="D11" s="26"/>
      <c r="E11" s="26"/>
    </row>
    <row r="12" spans="1:5" ht="10.5" customHeight="1">
      <c r="A12" s="28"/>
      <c r="B12" s="30"/>
      <c r="C12" s="28"/>
      <c r="D12" s="26"/>
      <c r="E12" s="26"/>
    </row>
    <row r="13" spans="1:5" ht="12" customHeight="1">
      <c r="A13" s="28"/>
      <c r="B13" s="30"/>
      <c r="C13" s="31"/>
      <c r="D13" s="26"/>
      <c r="E13" s="26"/>
    </row>
    <row r="14" spans="1:3" s="35" customFormat="1" ht="15">
      <c r="A14" s="32"/>
      <c r="B14" s="33" t="s">
        <v>12</v>
      </c>
      <c r="C14" s="34"/>
    </row>
    <row r="15" spans="1:5" ht="19.5" customHeight="1">
      <c r="A15" s="36"/>
      <c r="B15" s="26" t="s">
        <v>13</v>
      </c>
      <c r="C15" s="37">
        <v>1845000</v>
      </c>
      <c r="D15" s="26" t="s">
        <v>1</v>
      </c>
      <c r="E15" s="26"/>
    </row>
    <row r="16" spans="1:5" ht="19.5" customHeight="1">
      <c r="A16" s="26"/>
      <c r="B16" s="29" t="s">
        <v>14</v>
      </c>
      <c r="C16" s="38">
        <f>SUM(C15)</f>
        <v>1845000</v>
      </c>
      <c r="D16" s="29" t="s">
        <v>1</v>
      </c>
      <c r="E16" s="26"/>
    </row>
    <row r="17" spans="1:5" ht="19.5" customHeight="1">
      <c r="A17" s="26"/>
      <c r="B17" s="29"/>
      <c r="C17" s="38"/>
      <c r="D17" s="29"/>
      <c r="E17" s="26"/>
    </row>
    <row r="18" spans="1:5" ht="19.5" customHeight="1">
      <c r="A18" s="26"/>
      <c r="B18" s="29"/>
      <c r="C18" s="38"/>
      <c r="D18" s="29"/>
      <c r="E18" s="26"/>
    </row>
    <row r="19" spans="1:5" ht="10.5" customHeight="1">
      <c r="A19" s="26"/>
      <c r="B19" s="29"/>
      <c r="C19" s="38"/>
      <c r="D19" s="29"/>
      <c r="E19" s="26"/>
    </row>
    <row r="20" spans="1:5" ht="15.75">
      <c r="A20" s="26"/>
      <c r="B20" s="99"/>
      <c r="C20" s="26"/>
      <c r="D20" s="26"/>
      <c r="E20" s="26"/>
    </row>
    <row r="21" spans="1:5" ht="15.75">
      <c r="A21" s="26"/>
      <c r="B21" s="26"/>
      <c r="C21" s="26"/>
      <c r="D21" s="26"/>
      <c r="E21" s="26"/>
    </row>
    <row r="22" spans="1:5" ht="15.75">
      <c r="A22" s="26"/>
      <c r="B22" s="26"/>
      <c r="C22" s="26"/>
      <c r="D22" s="26"/>
      <c r="E22" s="26"/>
    </row>
    <row r="23" spans="1:5" ht="15.75">
      <c r="A23" s="26"/>
      <c r="B23" s="26"/>
      <c r="C23" s="26"/>
      <c r="D23" s="26"/>
      <c r="E23" s="26"/>
    </row>
    <row r="24" spans="1:5" ht="15.75">
      <c r="A24" s="26"/>
      <c r="B24" s="26"/>
      <c r="C24" s="26"/>
      <c r="D24" s="26"/>
      <c r="E24" s="26"/>
    </row>
    <row r="25" spans="1:5" ht="15.75">
      <c r="A25" s="26"/>
      <c r="B25" s="26"/>
      <c r="C25" s="26"/>
      <c r="D25" s="26"/>
      <c r="E25" s="26"/>
    </row>
    <row r="26" spans="1:5" ht="15.75">
      <c r="A26" s="26"/>
      <c r="B26" s="26"/>
      <c r="C26" s="26"/>
      <c r="D26" s="26"/>
      <c r="E26" s="26"/>
    </row>
    <row r="27" spans="1:5" ht="15.75">
      <c r="A27" s="26"/>
      <c r="B27" s="26"/>
      <c r="C27" s="26"/>
      <c r="D27" s="26"/>
      <c r="E27" s="26"/>
    </row>
    <row r="28" spans="1:5" ht="15.75">
      <c r="A28" s="26"/>
      <c r="B28" s="26"/>
      <c r="C28" s="26"/>
      <c r="D28" s="26"/>
      <c r="E28" s="26"/>
    </row>
  </sheetData>
  <sheetProtection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4" width="11.875" style="1" customWidth="1"/>
    <col min="5" max="5" width="12.375" style="1" customWidth="1"/>
    <col min="6" max="16384" width="9.125" style="1" customWidth="1"/>
  </cols>
  <sheetData>
    <row r="1" spans="1:5" ht="15.75">
      <c r="A1" s="114" t="s">
        <v>507</v>
      </c>
      <c r="C1" s="615"/>
      <c r="D1" s="615"/>
      <c r="E1" s="615"/>
    </row>
    <row r="3" spans="1:5" ht="12.75">
      <c r="A3" s="472"/>
      <c r="B3" s="472"/>
      <c r="C3" s="472"/>
      <c r="D3" s="472"/>
      <c r="E3" s="472"/>
    </row>
    <row r="4" spans="1:6" ht="14.25">
      <c r="A4" s="609"/>
      <c r="B4" s="609"/>
      <c r="C4" s="609"/>
      <c r="D4" s="609"/>
      <c r="E4" s="609"/>
      <c r="F4" s="77"/>
    </row>
    <row r="5" spans="1:6" ht="14.25">
      <c r="A5" s="609" t="s">
        <v>212</v>
      </c>
      <c r="B5" s="609"/>
      <c r="C5" s="609"/>
      <c r="D5" s="609"/>
      <c r="E5" s="609"/>
      <c r="F5" s="77"/>
    </row>
    <row r="6" spans="1:6" s="5" customFormat="1" ht="15.75">
      <c r="A6" s="494" t="s">
        <v>213</v>
      </c>
      <c r="B6" s="494"/>
      <c r="C6" s="494"/>
      <c r="D6" s="494"/>
      <c r="E6" s="494"/>
      <c r="F6" s="68"/>
    </row>
    <row r="7" spans="1:6" s="5" customFormat="1" ht="15.75">
      <c r="A7" s="494" t="s">
        <v>419</v>
      </c>
      <c r="B7" s="494"/>
      <c r="C7" s="494"/>
      <c r="D7" s="494"/>
      <c r="E7" s="494"/>
      <c r="F7" s="68"/>
    </row>
    <row r="8" spans="1:5" s="5" customFormat="1" ht="13.5" thickBot="1">
      <c r="A8" s="78"/>
      <c r="B8" s="78"/>
      <c r="C8" s="78"/>
      <c r="D8" s="78"/>
      <c r="E8" s="79" t="s">
        <v>5</v>
      </c>
    </row>
    <row r="9" spans="1:5" s="82" customFormat="1" ht="22.5" customHeight="1" thickTop="1">
      <c r="A9" s="80" t="s">
        <v>37</v>
      </c>
      <c r="B9" s="81"/>
      <c r="C9" s="612" t="s">
        <v>54</v>
      </c>
      <c r="D9" s="612" t="s">
        <v>55</v>
      </c>
      <c r="E9" s="618" t="s">
        <v>56</v>
      </c>
    </row>
    <row r="10" spans="1:5" s="82" customFormat="1" ht="12.75">
      <c r="A10" s="83"/>
      <c r="B10" s="84" t="s">
        <v>57</v>
      </c>
      <c r="C10" s="613"/>
      <c r="D10" s="613"/>
      <c r="E10" s="619"/>
    </row>
    <row r="11" spans="1:5" s="82" customFormat="1" ht="13.5" thickBot="1">
      <c r="A11" s="85" t="s">
        <v>38</v>
      </c>
      <c r="B11" s="86"/>
      <c r="C11" s="614"/>
      <c r="D11" s="614"/>
      <c r="E11" s="620"/>
    </row>
    <row r="12" spans="1:5" s="82" customFormat="1" ht="12.75">
      <c r="A12" s="623" t="s">
        <v>39</v>
      </c>
      <c r="B12" s="625" t="s">
        <v>58</v>
      </c>
      <c r="C12" s="621">
        <v>1887</v>
      </c>
      <c r="D12" s="621">
        <v>1887</v>
      </c>
      <c r="E12" s="616">
        <f>SUM(C12:D17)</f>
        <v>3774</v>
      </c>
    </row>
    <row r="13" spans="1:5" s="82" customFormat="1" ht="15" customHeight="1">
      <c r="A13" s="624"/>
      <c r="B13" s="626"/>
      <c r="C13" s="622"/>
      <c r="D13" s="622"/>
      <c r="E13" s="617"/>
    </row>
    <row r="14" spans="1:5" s="82" customFormat="1" ht="15" customHeight="1">
      <c r="A14" s="624"/>
      <c r="B14" s="87" t="s">
        <v>59</v>
      </c>
      <c r="C14" s="622"/>
      <c r="D14" s="622"/>
      <c r="E14" s="617"/>
    </row>
    <row r="15" spans="1:5" s="82" customFormat="1" ht="25.5">
      <c r="A15" s="624"/>
      <c r="B15" s="87" t="s">
        <v>214</v>
      </c>
      <c r="C15" s="622"/>
      <c r="D15" s="622"/>
      <c r="E15" s="617"/>
    </row>
    <row r="16" spans="1:5" s="82" customFormat="1" ht="12.75">
      <c r="A16" s="624"/>
      <c r="B16" s="88" t="s">
        <v>60</v>
      </c>
      <c r="C16" s="622"/>
      <c r="D16" s="622"/>
      <c r="E16" s="617"/>
    </row>
    <row r="17" spans="1:5" s="82" customFormat="1" ht="13.5" thickBot="1">
      <c r="A17" s="624"/>
      <c r="B17" s="89" t="s">
        <v>61</v>
      </c>
      <c r="C17" s="622"/>
      <c r="D17" s="622"/>
      <c r="E17" s="617"/>
    </row>
    <row r="18" spans="1:6" s="95" customFormat="1" ht="40.5" customHeight="1" thickBot="1" thickTop="1">
      <c r="A18" s="90"/>
      <c r="B18" s="91" t="s">
        <v>62</v>
      </c>
      <c r="C18" s="92">
        <f>SUM(C12:C17)</f>
        <v>1887</v>
      </c>
      <c r="D18" s="92">
        <f>SUM(D12:D17)</f>
        <v>1887</v>
      </c>
      <c r="E18" s="93">
        <f>SUM(E12:E17)</f>
        <v>3774</v>
      </c>
      <c r="F18" s="94"/>
    </row>
    <row r="19" spans="1:4" s="95" customFormat="1" ht="27" customHeight="1">
      <c r="A19" s="96"/>
      <c r="B19" s="97"/>
      <c r="C19" s="98"/>
      <c r="D19" s="98"/>
    </row>
  </sheetData>
  <sheetProtection/>
  <mergeCells count="14">
    <mergeCell ref="A3:E3"/>
    <mergeCell ref="A4:E4"/>
    <mergeCell ref="A12:A17"/>
    <mergeCell ref="B12:B13"/>
    <mergeCell ref="A6:E6"/>
    <mergeCell ref="A7:E7"/>
    <mergeCell ref="A5:E5"/>
    <mergeCell ref="D9:D11"/>
    <mergeCell ref="C1:E1"/>
    <mergeCell ref="E12:E17"/>
    <mergeCell ref="E9:E11"/>
    <mergeCell ref="C12:C17"/>
    <mergeCell ref="C9:C11"/>
    <mergeCell ref="D12:D17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30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5.875" style="56" customWidth="1"/>
    <col min="2" max="2" width="37.375" style="56" customWidth="1"/>
    <col min="3" max="3" width="9.625" style="56" customWidth="1"/>
    <col min="4" max="15" width="15.75390625" style="56" customWidth="1"/>
    <col min="16" max="16" width="13.625" style="56" bestFit="1" customWidth="1"/>
    <col min="17" max="16384" width="9.125" style="56" customWidth="1"/>
  </cols>
  <sheetData>
    <row r="2" spans="1:15" ht="15.75">
      <c r="A2" s="668" t="s">
        <v>508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</row>
    <row r="3" spans="1:15" ht="15.75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</row>
    <row r="4" spans="2:15" ht="15.75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ht="15.75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1:15" ht="15.75">
      <c r="A6" s="471" t="s">
        <v>36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</row>
    <row r="7" spans="1:15" ht="15.75">
      <c r="A7" s="471" t="s">
        <v>288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</row>
    <row r="8" spans="1:15" ht="15.75">
      <c r="A8" s="471" t="s">
        <v>481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</row>
    <row r="9" spans="1:15" ht="15.7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</row>
    <row r="10" spans="1:15" ht="15.75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</row>
    <row r="11" ht="16.5" thickBot="1">
      <c r="O11" s="236" t="s">
        <v>405</v>
      </c>
    </row>
    <row r="12" spans="1:15" ht="32.25" customHeight="1" thickTop="1">
      <c r="A12" s="655" t="s">
        <v>289</v>
      </c>
      <c r="B12" s="644" t="s">
        <v>290</v>
      </c>
      <c r="C12" s="644" t="s">
        <v>291</v>
      </c>
      <c r="D12" s="647" t="s">
        <v>292</v>
      </c>
      <c r="E12" s="647"/>
      <c r="F12" s="648"/>
      <c r="G12" s="647" t="s">
        <v>293</v>
      </c>
      <c r="H12" s="647"/>
      <c r="I12" s="648"/>
      <c r="J12" s="647" t="s">
        <v>56</v>
      </c>
      <c r="K12" s="647"/>
      <c r="L12" s="648"/>
      <c r="M12" s="631" t="s">
        <v>294</v>
      </c>
      <c r="N12" s="632"/>
      <c r="O12" s="633"/>
    </row>
    <row r="13" spans="1:15" ht="16.5" thickBot="1">
      <c r="A13" s="645"/>
      <c r="B13" s="645"/>
      <c r="C13" s="645"/>
      <c r="D13" s="649"/>
      <c r="E13" s="649"/>
      <c r="F13" s="650"/>
      <c r="G13" s="649"/>
      <c r="H13" s="649"/>
      <c r="I13" s="650"/>
      <c r="J13" s="649"/>
      <c r="K13" s="649"/>
      <c r="L13" s="650"/>
      <c r="M13" s="634"/>
      <c r="N13" s="635"/>
      <c r="O13" s="630"/>
    </row>
    <row r="14" spans="1:15" ht="15.75">
      <c r="A14" s="645"/>
      <c r="B14" s="645"/>
      <c r="C14" s="645"/>
      <c r="D14" s="636" t="s">
        <v>298</v>
      </c>
      <c r="E14" s="636" t="s">
        <v>299</v>
      </c>
      <c r="F14" s="636" t="s">
        <v>413</v>
      </c>
      <c r="G14" s="636" t="s">
        <v>298</v>
      </c>
      <c r="H14" s="636" t="s">
        <v>299</v>
      </c>
      <c r="I14" s="636" t="s">
        <v>413</v>
      </c>
      <c r="J14" s="636" t="s">
        <v>298</v>
      </c>
      <c r="K14" s="636" t="s">
        <v>299</v>
      </c>
      <c r="L14" s="636" t="s">
        <v>413</v>
      </c>
      <c r="M14" s="636" t="s">
        <v>295</v>
      </c>
      <c r="N14" s="627" t="s">
        <v>293</v>
      </c>
      <c r="O14" s="629" t="s">
        <v>296</v>
      </c>
    </row>
    <row r="15" spans="1:15" ht="16.5" thickBot="1">
      <c r="A15" s="646"/>
      <c r="B15" s="646"/>
      <c r="C15" s="646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28"/>
      <c r="O15" s="630"/>
    </row>
    <row r="16" spans="1:16" ht="26.25" customHeight="1">
      <c r="A16" s="678" t="s">
        <v>39</v>
      </c>
      <c r="B16" s="656" t="s">
        <v>300</v>
      </c>
      <c r="C16" s="651"/>
      <c r="D16" s="638">
        <f>12559-9743</f>
        <v>2816</v>
      </c>
      <c r="E16" s="638"/>
      <c r="F16" s="638"/>
      <c r="G16" s="638"/>
      <c r="H16" s="638">
        <v>9743</v>
      </c>
      <c r="I16" s="638"/>
      <c r="J16" s="638">
        <f>D16+G16</f>
        <v>2816</v>
      </c>
      <c r="K16" s="638">
        <f>F16+H16</f>
        <v>9743</v>
      </c>
      <c r="L16" s="638"/>
      <c r="M16" s="665">
        <f>D16+F16</f>
        <v>2816</v>
      </c>
      <c r="N16" s="662">
        <f>G16+H16</f>
        <v>9743</v>
      </c>
      <c r="O16" s="641">
        <f>J16+K16</f>
        <v>12559</v>
      </c>
      <c r="P16" s="233"/>
    </row>
    <row r="17" spans="1:15" ht="26.25" customHeight="1">
      <c r="A17" s="670"/>
      <c r="B17" s="657"/>
      <c r="C17" s="652"/>
      <c r="D17" s="639"/>
      <c r="E17" s="639"/>
      <c r="F17" s="639"/>
      <c r="G17" s="639"/>
      <c r="H17" s="639"/>
      <c r="I17" s="639"/>
      <c r="J17" s="639"/>
      <c r="K17" s="639"/>
      <c r="L17" s="639"/>
      <c r="M17" s="666"/>
      <c r="N17" s="663"/>
      <c r="O17" s="642"/>
    </row>
    <row r="18" spans="1:15" s="237" customFormat="1" ht="26.25" customHeight="1" thickBot="1">
      <c r="A18" s="679"/>
      <c r="B18" s="658"/>
      <c r="C18" s="653"/>
      <c r="D18" s="654"/>
      <c r="E18" s="654"/>
      <c r="F18" s="654"/>
      <c r="G18" s="640"/>
      <c r="H18" s="640"/>
      <c r="I18" s="640"/>
      <c r="J18" s="640"/>
      <c r="K18" s="640"/>
      <c r="L18" s="640"/>
      <c r="M18" s="667"/>
      <c r="N18" s="664"/>
      <c r="O18" s="643"/>
    </row>
    <row r="19" spans="1:15" ht="26.25" customHeight="1" thickTop="1">
      <c r="A19" s="669"/>
      <c r="B19" s="672" t="s">
        <v>297</v>
      </c>
      <c r="C19" s="675"/>
      <c r="D19" s="659">
        <f>D16</f>
        <v>2816</v>
      </c>
      <c r="E19" s="659"/>
      <c r="F19" s="659">
        <f aca="true" t="shared" si="0" ref="F19:O19">F16</f>
        <v>0</v>
      </c>
      <c r="G19" s="659">
        <f t="shared" si="0"/>
        <v>0</v>
      </c>
      <c r="H19" s="659">
        <f>H16</f>
        <v>9743</v>
      </c>
      <c r="I19" s="659">
        <f>I16</f>
        <v>0</v>
      </c>
      <c r="J19" s="659">
        <f t="shared" si="0"/>
        <v>2816</v>
      </c>
      <c r="K19" s="659">
        <f>K16</f>
        <v>9743</v>
      </c>
      <c r="L19" s="659"/>
      <c r="M19" s="659">
        <f t="shared" si="0"/>
        <v>2816</v>
      </c>
      <c r="N19" s="659">
        <f t="shared" si="0"/>
        <v>9743</v>
      </c>
      <c r="O19" s="659">
        <f t="shared" si="0"/>
        <v>12559</v>
      </c>
    </row>
    <row r="20" spans="1:15" ht="26.25" customHeight="1">
      <c r="A20" s="670"/>
      <c r="B20" s="673"/>
      <c r="C20" s="676"/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60"/>
      <c r="O20" s="660"/>
    </row>
    <row r="21" spans="1:15" s="237" customFormat="1" ht="26.25" customHeight="1" thickBot="1">
      <c r="A21" s="671"/>
      <c r="B21" s="674"/>
      <c r="C21" s="677"/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</row>
    <row r="22" spans="1:15" ht="26.25" customHeight="1" thickTop="1">
      <c r="A22" s="238"/>
      <c r="B22" s="238"/>
      <c r="C22" s="238"/>
      <c r="D22" s="239"/>
      <c r="E22" s="239"/>
      <c r="F22" s="239"/>
      <c r="G22" s="240"/>
      <c r="H22" s="240"/>
      <c r="I22" s="240"/>
      <c r="J22" s="240"/>
      <c r="K22" s="240"/>
      <c r="L22" s="240"/>
      <c r="M22" s="239"/>
      <c r="N22" s="240"/>
      <c r="O22" s="239"/>
    </row>
    <row r="23" spans="1:15" ht="26.25" customHeight="1">
      <c r="A23" s="238"/>
      <c r="B23" s="238"/>
      <c r="C23" s="238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</row>
    <row r="24" spans="1:15" ht="26.25" customHeight="1">
      <c r="A24" s="238"/>
      <c r="B24" s="238"/>
      <c r="C24" s="238"/>
      <c r="D24" s="239"/>
      <c r="E24" s="239"/>
      <c r="F24" s="239"/>
      <c r="G24" s="239"/>
      <c r="H24" s="239"/>
      <c r="I24" s="239"/>
      <c r="J24" s="240"/>
      <c r="K24" s="240"/>
      <c r="L24" s="240"/>
      <c r="M24" s="239"/>
      <c r="N24" s="239"/>
      <c r="O24" s="239"/>
    </row>
    <row r="25" spans="1:15" ht="26.25" customHeight="1">
      <c r="A25" s="238"/>
      <c r="B25" s="238"/>
      <c r="C25" s="238"/>
      <c r="D25" s="239"/>
      <c r="E25" s="239"/>
      <c r="F25" s="239"/>
      <c r="G25" s="240"/>
      <c r="H25" s="240"/>
      <c r="I25" s="240"/>
      <c r="J25" s="239"/>
      <c r="K25" s="239"/>
      <c r="L25" s="239"/>
      <c r="M25" s="239"/>
      <c r="N25" s="239"/>
      <c r="O25" s="239"/>
    </row>
    <row r="26" spans="1:15" ht="26.25" customHeight="1">
      <c r="A26" s="238"/>
      <c r="B26" s="238"/>
      <c r="C26" s="238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</row>
    <row r="30" spans="7:9" ht="15.75">
      <c r="G30" s="233"/>
      <c r="H30" s="233"/>
      <c r="I30" s="233"/>
    </row>
  </sheetData>
  <sheetProtection/>
  <mergeCells count="54"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N14:N15"/>
    <mergeCell ref="O14:O15"/>
    <mergeCell ref="M12:O13"/>
    <mergeCell ref="M14:M15"/>
    <mergeCell ref="K16:K18"/>
    <mergeCell ref="O16:O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9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3" ht="19.5" customHeight="1">
      <c r="A1" s="517" t="s">
        <v>509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</row>
    <row r="2" spans="1:13" ht="12.75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4" spans="1:13" ht="20.25" customHeight="1">
      <c r="A4" s="770"/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</row>
    <row r="5" spans="1:13" s="56" customFormat="1" ht="15.75">
      <c r="A5" s="471" t="s">
        <v>36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</row>
    <row r="6" spans="1:13" s="56" customFormat="1" ht="15.75">
      <c r="A6" s="471" t="s">
        <v>301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</row>
    <row r="7" spans="1:13" s="56" customFormat="1" ht="15.75">
      <c r="A7" s="471" t="s">
        <v>477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</row>
    <row r="8" spans="1:13" ht="12" customHeigh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</row>
    <row r="9" spans="1:13" s="56" customFormat="1" ht="15.75">
      <c r="A9" s="242" t="s">
        <v>302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</row>
    <row r="10" spans="1:13" ht="12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</row>
    <row r="11" spans="1:13" ht="15.75">
      <c r="A11" s="243" t="s">
        <v>412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2" customHeight="1" thickBo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</row>
    <row r="13" spans="1:13" ht="16.5" thickBot="1">
      <c r="A13" s="709" t="s">
        <v>303</v>
      </c>
      <c r="B13" s="710"/>
      <c r="C13" s="710"/>
      <c r="D13" s="713" t="s">
        <v>304</v>
      </c>
      <c r="E13" s="714"/>
      <c r="F13" s="715"/>
      <c r="G13" s="713" t="s">
        <v>305</v>
      </c>
      <c r="H13" s="714"/>
      <c r="I13" s="715"/>
      <c r="J13" s="713" t="s">
        <v>306</v>
      </c>
      <c r="K13" s="714"/>
      <c r="L13" s="715"/>
      <c r="M13" s="680" t="s">
        <v>307</v>
      </c>
    </row>
    <row r="14" spans="1:13" ht="15.75">
      <c r="A14" s="711"/>
      <c r="B14" s="712"/>
      <c r="C14" s="712"/>
      <c r="D14" s="244" t="s">
        <v>308</v>
      </c>
      <c r="E14" s="245" t="s">
        <v>309</v>
      </c>
      <c r="F14" s="246" t="s">
        <v>310</v>
      </c>
      <c r="G14" s="245" t="s">
        <v>311</v>
      </c>
      <c r="H14" s="245" t="s">
        <v>309</v>
      </c>
      <c r="I14" s="246" t="s">
        <v>312</v>
      </c>
      <c r="J14" s="245" t="s">
        <v>311</v>
      </c>
      <c r="K14" s="246" t="s">
        <v>309</v>
      </c>
      <c r="L14" s="245" t="s">
        <v>312</v>
      </c>
      <c r="M14" s="681"/>
    </row>
    <row r="15" spans="1:13" ht="16.5" thickBot="1">
      <c r="A15" s="711"/>
      <c r="B15" s="712"/>
      <c r="C15" s="712"/>
      <c r="D15" s="247" t="s">
        <v>313</v>
      </c>
      <c r="E15" s="248" t="s">
        <v>314</v>
      </c>
      <c r="F15" s="249" t="s">
        <v>6</v>
      </c>
      <c r="G15" s="250" t="s">
        <v>313</v>
      </c>
      <c r="H15" s="248" t="s">
        <v>314</v>
      </c>
      <c r="I15" s="249" t="s">
        <v>6</v>
      </c>
      <c r="J15" s="250" t="s">
        <v>313</v>
      </c>
      <c r="K15" s="249" t="s">
        <v>314</v>
      </c>
      <c r="L15" s="248" t="s">
        <v>6</v>
      </c>
      <c r="M15" s="682"/>
    </row>
    <row r="16" spans="1:13" ht="7.5" customHeight="1">
      <c r="A16" s="683" t="s">
        <v>315</v>
      </c>
      <c r="B16" s="684"/>
      <c r="C16" s="685"/>
      <c r="D16" s="692"/>
      <c r="E16" s="695"/>
      <c r="F16" s="698"/>
      <c r="G16" s="701" t="s">
        <v>316</v>
      </c>
      <c r="H16" s="704"/>
      <c r="I16" s="717">
        <v>2252</v>
      </c>
      <c r="J16" s="695"/>
      <c r="K16" s="695"/>
      <c r="L16" s="695"/>
      <c r="M16" s="719">
        <f>I16</f>
        <v>2252</v>
      </c>
    </row>
    <row r="17" spans="1:13" ht="7.5" customHeight="1">
      <c r="A17" s="686"/>
      <c r="B17" s="687"/>
      <c r="C17" s="688"/>
      <c r="D17" s="693"/>
      <c r="E17" s="696"/>
      <c r="F17" s="699"/>
      <c r="G17" s="702"/>
      <c r="H17" s="705"/>
      <c r="I17" s="696"/>
      <c r="J17" s="696"/>
      <c r="K17" s="696"/>
      <c r="L17" s="696"/>
      <c r="M17" s="696"/>
    </row>
    <row r="18" spans="1:13" ht="15.75" customHeight="1" thickBot="1">
      <c r="A18" s="689"/>
      <c r="B18" s="690"/>
      <c r="C18" s="691"/>
      <c r="D18" s="694"/>
      <c r="E18" s="697"/>
      <c r="F18" s="700"/>
      <c r="G18" s="703"/>
      <c r="H18" s="706"/>
      <c r="I18" s="718"/>
      <c r="J18" s="697"/>
      <c r="K18" s="697"/>
      <c r="L18" s="697"/>
      <c r="M18" s="697"/>
    </row>
    <row r="19" spans="1:13" s="123" customFormat="1" ht="12.75" customHeight="1">
      <c r="A19" s="720" t="s">
        <v>2</v>
      </c>
      <c r="B19" s="721"/>
      <c r="C19" s="722"/>
      <c r="D19" s="707"/>
      <c r="E19" s="707"/>
      <c r="F19" s="726">
        <f>SUM(F16)</f>
        <v>0</v>
      </c>
      <c r="G19" s="707"/>
      <c r="H19" s="707"/>
      <c r="I19" s="707">
        <f>I16</f>
        <v>2252</v>
      </c>
      <c r="J19" s="707"/>
      <c r="K19" s="707"/>
      <c r="L19" s="707"/>
      <c r="M19" s="716">
        <f>M16</f>
        <v>2252</v>
      </c>
    </row>
    <row r="20" spans="1:13" s="123" customFormat="1" ht="13.5" customHeight="1" thickBot="1">
      <c r="A20" s="723"/>
      <c r="B20" s="724"/>
      <c r="C20" s="725"/>
      <c r="D20" s="708"/>
      <c r="E20" s="708"/>
      <c r="F20" s="727"/>
      <c r="G20" s="708"/>
      <c r="H20" s="708"/>
      <c r="I20" s="708"/>
      <c r="J20" s="708"/>
      <c r="K20" s="708"/>
      <c r="L20" s="708"/>
      <c r="M20" s="708"/>
    </row>
    <row r="21" spans="1:13" ht="12" customHeight="1">
      <c r="A21" s="241"/>
      <c r="B21" s="241"/>
      <c r="C21" s="241"/>
      <c r="D21" s="241"/>
      <c r="E21" s="241"/>
      <c r="F21" s="251"/>
      <c r="G21" s="241"/>
      <c r="H21" s="241"/>
      <c r="I21" s="241"/>
      <c r="J21" s="241"/>
      <c r="K21" s="241"/>
      <c r="L21" s="241"/>
      <c r="M21" s="241"/>
    </row>
    <row r="22" spans="1:6" s="243" customFormat="1" ht="12" customHeight="1">
      <c r="A22" s="243" t="s">
        <v>317</v>
      </c>
      <c r="F22" s="252"/>
    </row>
    <row r="23" spans="1:13" ht="17.25" customHeight="1">
      <c r="A23" s="253" t="s">
        <v>318</v>
      </c>
      <c r="B23" s="253"/>
      <c r="C23" s="253"/>
      <c r="D23" s="253"/>
      <c r="E23" s="253"/>
      <c r="F23" s="254"/>
      <c r="G23" s="255" t="s">
        <v>6</v>
      </c>
      <c r="H23" s="241"/>
      <c r="I23" s="241"/>
      <c r="J23" s="241"/>
      <c r="K23" s="241"/>
      <c r="L23" s="241"/>
      <c r="M23" s="241"/>
    </row>
    <row r="24" spans="1:13" ht="17.25" customHeight="1">
      <c r="A24" s="253" t="s">
        <v>319</v>
      </c>
      <c r="B24" s="253"/>
      <c r="C24" s="253"/>
      <c r="D24" s="253"/>
      <c r="E24" s="253"/>
      <c r="F24" s="254"/>
      <c r="G24" s="255" t="s">
        <v>6</v>
      </c>
      <c r="H24" s="241"/>
      <c r="I24" s="241"/>
      <c r="J24" s="241"/>
      <c r="K24" s="241"/>
      <c r="L24" s="241"/>
      <c r="M24" s="241"/>
    </row>
    <row r="25" spans="1:13" ht="15.75" customHeight="1">
      <c r="A25" s="253" t="s">
        <v>320</v>
      </c>
      <c r="B25" s="253"/>
      <c r="C25" s="253"/>
      <c r="D25" s="253"/>
      <c r="E25" s="253"/>
      <c r="F25" s="256">
        <v>15</v>
      </c>
      <c r="G25" s="257" t="s">
        <v>6</v>
      </c>
      <c r="H25" s="241"/>
      <c r="I25" s="241"/>
      <c r="J25" s="241"/>
      <c r="K25" s="241"/>
      <c r="L25" s="241"/>
      <c r="M25" s="241"/>
    </row>
    <row r="26" spans="1:13" ht="17.25" customHeight="1">
      <c r="A26" s="253" t="s">
        <v>321</v>
      </c>
      <c r="B26" s="253"/>
      <c r="C26" s="253"/>
      <c r="D26" s="253"/>
      <c r="E26" s="253"/>
      <c r="F26" s="258">
        <f>SUM(F23:F25)</f>
        <v>15</v>
      </c>
      <c r="G26" s="259" t="s">
        <v>6</v>
      </c>
      <c r="H26" s="241"/>
      <c r="I26" s="241"/>
      <c r="J26" s="241"/>
      <c r="K26" s="241"/>
      <c r="L26" s="241"/>
      <c r="M26" s="241"/>
    </row>
    <row r="27" spans="1:13" ht="13.5" customHeight="1">
      <c r="A27" s="253"/>
      <c r="B27" s="253"/>
      <c r="C27" s="253"/>
      <c r="D27" s="253"/>
      <c r="E27" s="253"/>
      <c r="F27" s="258"/>
      <c r="G27" s="259"/>
      <c r="H27" s="241"/>
      <c r="I27" s="241"/>
      <c r="J27" s="241"/>
      <c r="K27" s="241"/>
      <c r="L27" s="241"/>
      <c r="M27" s="241"/>
    </row>
    <row r="28" spans="1:13" ht="15.75">
      <c r="A28" s="243" t="s">
        <v>322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3.5" customHeight="1">
      <c r="A29" s="253"/>
      <c r="B29" s="253"/>
      <c r="C29" s="253"/>
      <c r="D29" s="253"/>
      <c r="E29" s="253"/>
      <c r="F29" s="258"/>
      <c r="G29" s="259"/>
      <c r="H29" s="241"/>
      <c r="I29" s="241"/>
      <c r="J29" s="241"/>
      <c r="K29" s="241"/>
      <c r="L29" s="241"/>
      <c r="M29" s="241"/>
    </row>
    <row r="30" spans="1:13" ht="13.5" customHeight="1" thickBot="1">
      <c r="A30" s="253"/>
      <c r="B30" s="253"/>
      <c r="C30" s="253"/>
      <c r="D30" s="253"/>
      <c r="E30" s="253"/>
      <c r="F30" s="258"/>
      <c r="G30" s="259"/>
      <c r="H30" s="241"/>
      <c r="I30" s="241"/>
      <c r="J30" s="241"/>
      <c r="K30" s="241"/>
      <c r="L30" s="241"/>
      <c r="M30" s="241"/>
    </row>
    <row r="31" spans="1:13" ht="16.5" thickBot="1">
      <c r="A31" s="709" t="s">
        <v>303</v>
      </c>
      <c r="B31" s="710"/>
      <c r="C31" s="710"/>
      <c r="D31" s="713" t="s">
        <v>304</v>
      </c>
      <c r="E31" s="714"/>
      <c r="F31" s="715"/>
      <c r="G31" s="713" t="s">
        <v>305</v>
      </c>
      <c r="H31" s="714"/>
      <c r="I31" s="715"/>
      <c r="J31" s="713" t="s">
        <v>306</v>
      </c>
      <c r="K31" s="714"/>
      <c r="L31" s="715"/>
      <c r="M31" s="680" t="s">
        <v>307</v>
      </c>
    </row>
    <row r="32" spans="1:13" ht="15.75">
      <c r="A32" s="711"/>
      <c r="B32" s="712"/>
      <c r="C32" s="712"/>
      <c r="D32" s="244" t="s">
        <v>308</v>
      </c>
      <c r="E32" s="245" t="s">
        <v>309</v>
      </c>
      <c r="F32" s="246" t="s">
        <v>310</v>
      </c>
      <c r="G32" s="245" t="s">
        <v>311</v>
      </c>
      <c r="H32" s="245" t="s">
        <v>309</v>
      </c>
      <c r="I32" s="246" t="s">
        <v>312</v>
      </c>
      <c r="J32" s="245" t="s">
        <v>311</v>
      </c>
      <c r="K32" s="246" t="s">
        <v>309</v>
      </c>
      <c r="L32" s="245" t="s">
        <v>312</v>
      </c>
      <c r="M32" s="681"/>
    </row>
    <row r="33" spans="1:13" ht="16.5" thickBot="1">
      <c r="A33" s="711"/>
      <c r="B33" s="712"/>
      <c r="C33" s="712"/>
      <c r="D33" s="247" t="s">
        <v>313</v>
      </c>
      <c r="E33" s="248" t="s">
        <v>314</v>
      </c>
      <c r="F33" s="249" t="s">
        <v>6</v>
      </c>
      <c r="G33" s="250" t="s">
        <v>313</v>
      </c>
      <c r="H33" s="248" t="s">
        <v>314</v>
      </c>
      <c r="I33" s="249" t="s">
        <v>6</v>
      </c>
      <c r="J33" s="250" t="s">
        <v>313</v>
      </c>
      <c r="K33" s="249" t="s">
        <v>314</v>
      </c>
      <c r="L33" s="248" t="s">
        <v>6</v>
      </c>
      <c r="M33" s="682"/>
    </row>
    <row r="34" spans="1:13" ht="7.5" customHeight="1">
      <c r="A34" s="729" t="s">
        <v>323</v>
      </c>
      <c r="B34" s="730"/>
      <c r="C34" s="731"/>
      <c r="D34" s="692" t="s">
        <v>324</v>
      </c>
      <c r="E34" s="695"/>
      <c r="F34" s="698">
        <v>26</v>
      </c>
      <c r="G34" s="728"/>
      <c r="H34" s="728"/>
      <c r="I34" s="728"/>
      <c r="J34" s="695"/>
      <c r="K34" s="695"/>
      <c r="L34" s="695"/>
      <c r="M34" s="719">
        <f>L34+I34+F34</f>
        <v>26</v>
      </c>
    </row>
    <row r="35" spans="1:13" ht="7.5" customHeight="1">
      <c r="A35" s="732"/>
      <c r="B35" s="733"/>
      <c r="C35" s="734"/>
      <c r="D35" s="693"/>
      <c r="E35" s="696"/>
      <c r="F35" s="699"/>
      <c r="G35" s="728"/>
      <c r="H35" s="728"/>
      <c r="I35" s="728"/>
      <c r="J35" s="696"/>
      <c r="K35" s="696"/>
      <c r="L35" s="696"/>
      <c r="M35" s="696"/>
    </row>
    <row r="36" spans="1:13" ht="7.5" customHeight="1">
      <c r="A36" s="735"/>
      <c r="B36" s="736"/>
      <c r="C36" s="737"/>
      <c r="D36" s="694"/>
      <c r="E36" s="697"/>
      <c r="F36" s="700"/>
      <c r="G36" s="728"/>
      <c r="H36" s="728"/>
      <c r="I36" s="728"/>
      <c r="J36" s="697"/>
      <c r="K36" s="697"/>
      <c r="L36" s="697"/>
      <c r="M36" s="697"/>
    </row>
    <row r="37" spans="1:13" ht="7.5" customHeight="1">
      <c r="A37" s="742" t="s">
        <v>386</v>
      </c>
      <c r="B37" s="771"/>
      <c r="C37" s="772"/>
      <c r="D37" s="692" t="s">
        <v>387</v>
      </c>
      <c r="E37" s="695"/>
      <c r="F37" s="698">
        <v>62</v>
      </c>
      <c r="G37" s="695"/>
      <c r="H37" s="695"/>
      <c r="I37" s="695"/>
      <c r="J37" s="695"/>
      <c r="K37" s="695"/>
      <c r="L37" s="695"/>
      <c r="M37" s="719">
        <f>L37+I37+F37</f>
        <v>62</v>
      </c>
    </row>
    <row r="38" spans="1:13" ht="7.5" customHeight="1">
      <c r="A38" s="773"/>
      <c r="B38" s="774"/>
      <c r="C38" s="775"/>
      <c r="D38" s="779"/>
      <c r="E38" s="739"/>
      <c r="F38" s="739"/>
      <c r="G38" s="739"/>
      <c r="H38" s="739"/>
      <c r="I38" s="739"/>
      <c r="J38" s="739"/>
      <c r="K38" s="739"/>
      <c r="L38" s="739"/>
      <c r="M38" s="696"/>
    </row>
    <row r="39" spans="1:13" ht="7.5" customHeight="1">
      <c r="A39" s="776"/>
      <c r="B39" s="777"/>
      <c r="C39" s="778"/>
      <c r="D39" s="780"/>
      <c r="E39" s="740"/>
      <c r="F39" s="740"/>
      <c r="G39" s="740"/>
      <c r="H39" s="740"/>
      <c r="I39" s="740"/>
      <c r="J39" s="740"/>
      <c r="K39" s="740"/>
      <c r="L39" s="740"/>
      <c r="M39" s="697"/>
    </row>
    <row r="40" spans="1:13" ht="19.5" customHeight="1">
      <c r="A40" s="781" t="s">
        <v>325</v>
      </c>
      <c r="B40" s="782"/>
      <c r="C40" s="783"/>
      <c r="D40" s="387"/>
      <c r="E40" s="388"/>
      <c r="F40" s="388"/>
      <c r="G40" s="389" t="s">
        <v>424</v>
      </c>
      <c r="H40" s="388"/>
      <c r="I40" s="388">
        <v>14</v>
      </c>
      <c r="J40" s="388"/>
      <c r="K40" s="388"/>
      <c r="L40" s="388"/>
      <c r="M40" s="385">
        <f>I40</f>
        <v>14</v>
      </c>
    </row>
    <row r="41" spans="1:13" ht="24.75" customHeight="1">
      <c r="A41" s="784" t="s">
        <v>325</v>
      </c>
      <c r="B41" s="785"/>
      <c r="C41" s="786"/>
      <c r="D41" s="387"/>
      <c r="E41" s="388"/>
      <c r="F41" s="388"/>
      <c r="G41" s="390" t="s">
        <v>326</v>
      </c>
      <c r="H41" s="388"/>
      <c r="I41" s="388">
        <v>299</v>
      </c>
      <c r="J41" s="388"/>
      <c r="K41" s="388"/>
      <c r="L41" s="388"/>
      <c r="M41" s="385">
        <f>I41</f>
        <v>299</v>
      </c>
    </row>
    <row r="42" spans="1:13" ht="7.5" customHeight="1">
      <c r="A42" s="742" t="s">
        <v>325</v>
      </c>
      <c r="B42" s="743"/>
      <c r="C42" s="744"/>
      <c r="D42" s="692"/>
      <c r="E42" s="695"/>
      <c r="F42" s="698"/>
      <c r="G42" s="741" t="s">
        <v>425</v>
      </c>
      <c r="H42" s="728"/>
      <c r="I42" s="738"/>
      <c r="J42" s="695"/>
      <c r="K42" s="695"/>
      <c r="L42" s="695"/>
      <c r="M42" s="719">
        <f>L42+I42+F42</f>
        <v>0</v>
      </c>
    </row>
    <row r="43" spans="1:13" ht="7.5" customHeight="1">
      <c r="A43" s="732"/>
      <c r="B43" s="733"/>
      <c r="C43" s="734"/>
      <c r="D43" s="693"/>
      <c r="E43" s="696"/>
      <c r="F43" s="699"/>
      <c r="G43" s="741"/>
      <c r="H43" s="728"/>
      <c r="I43" s="738"/>
      <c r="J43" s="696"/>
      <c r="K43" s="696"/>
      <c r="L43" s="696"/>
      <c r="M43" s="696"/>
    </row>
    <row r="44" spans="1:13" ht="7.5" customHeight="1" thickBot="1">
      <c r="A44" s="735"/>
      <c r="B44" s="736"/>
      <c r="C44" s="737"/>
      <c r="D44" s="694"/>
      <c r="E44" s="697"/>
      <c r="F44" s="700"/>
      <c r="G44" s="741"/>
      <c r="H44" s="728"/>
      <c r="I44" s="738"/>
      <c r="J44" s="697"/>
      <c r="K44" s="697"/>
      <c r="L44" s="697"/>
      <c r="M44" s="697"/>
    </row>
    <row r="45" spans="1:13" s="123" customFormat="1" ht="12.75" customHeight="1">
      <c r="A45" s="720" t="s">
        <v>2</v>
      </c>
      <c r="B45" s="721"/>
      <c r="C45" s="722"/>
      <c r="D45" s="707"/>
      <c r="E45" s="707"/>
      <c r="F45" s="726">
        <f>SUM(F34:F44)</f>
        <v>88</v>
      </c>
      <c r="G45" s="707"/>
      <c r="H45" s="707"/>
      <c r="I45" s="716">
        <f>SUM(I34:I44)</f>
        <v>313</v>
      </c>
      <c r="J45" s="707"/>
      <c r="K45" s="707"/>
      <c r="L45" s="707"/>
      <c r="M45" s="716">
        <f>SUM(M34:M44)</f>
        <v>401</v>
      </c>
    </row>
    <row r="46" spans="1:13" s="123" customFormat="1" ht="13.5" customHeight="1" thickBot="1">
      <c r="A46" s="723"/>
      <c r="B46" s="724"/>
      <c r="C46" s="725"/>
      <c r="D46" s="708"/>
      <c r="E46" s="708"/>
      <c r="F46" s="727"/>
      <c r="G46" s="708"/>
      <c r="H46" s="708"/>
      <c r="I46" s="708"/>
      <c r="J46" s="708"/>
      <c r="K46" s="708"/>
      <c r="L46" s="708"/>
      <c r="M46" s="708"/>
    </row>
    <row r="47" spans="1:13" ht="13.5" customHeight="1">
      <c r="A47" s="253"/>
      <c r="B47" s="253"/>
      <c r="C47" s="253"/>
      <c r="D47" s="253"/>
      <c r="E47" s="253"/>
      <c r="F47" s="258"/>
      <c r="G47" s="259"/>
      <c r="H47" s="241"/>
      <c r="I47" s="241"/>
      <c r="J47" s="241"/>
      <c r="K47" s="241"/>
      <c r="L47" s="241"/>
      <c r="M47" s="241"/>
    </row>
    <row r="48" spans="1:13" ht="13.5" customHeight="1">
      <c r="A48" s="253"/>
      <c r="B48" s="253"/>
      <c r="C48" s="253"/>
      <c r="D48" s="253"/>
      <c r="E48" s="253"/>
      <c r="F48" s="258"/>
      <c r="G48" s="259"/>
      <c r="H48" s="241"/>
      <c r="I48" s="241"/>
      <c r="J48" s="241"/>
      <c r="K48" s="241"/>
      <c r="L48" s="241"/>
      <c r="M48" s="241"/>
    </row>
    <row r="49" spans="1:13" ht="13.5" customHeight="1">
      <c r="A49" s="253"/>
      <c r="B49" s="253"/>
      <c r="C49" s="253"/>
      <c r="D49" s="253"/>
      <c r="E49" s="253"/>
      <c r="F49" s="258"/>
      <c r="G49" s="259"/>
      <c r="H49" s="241"/>
      <c r="I49" s="241"/>
      <c r="J49" s="241"/>
      <c r="K49" s="241"/>
      <c r="L49" s="241"/>
      <c r="M49" s="241"/>
    </row>
    <row r="50" spans="1:13" ht="13.5" customHeight="1">
      <c r="A50" s="253"/>
      <c r="B50" s="253"/>
      <c r="C50" s="253"/>
      <c r="D50" s="253"/>
      <c r="E50" s="253"/>
      <c r="F50" s="258"/>
      <c r="G50" s="259"/>
      <c r="H50" s="241"/>
      <c r="I50" s="241"/>
      <c r="J50" s="241"/>
      <c r="K50" s="241"/>
      <c r="L50" s="241"/>
      <c r="M50" s="241"/>
    </row>
    <row r="51" spans="1:13" ht="13.5" customHeight="1">
      <c r="A51" s="253"/>
      <c r="B51" s="253"/>
      <c r="C51" s="253"/>
      <c r="D51" s="253"/>
      <c r="E51" s="253"/>
      <c r="F51" s="258"/>
      <c r="G51" s="259"/>
      <c r="H51" s="241"/>
      <c r="I51" s="241"/>
      <c r="J51" s="241"/>
      <c r="K51" s="241"/>
      <c r="L51" s="241"/>
      <c r="M51" s="241"/>
    </row>
    <row r="52" spans="1:13" ht="13.5" customHeight="1">
      <c r="A52" s="253"/>
      <c r="B52" s="253"/>
      <c r="C52" s="253"/>
      <c r="D52" s="253"/>
      <c r="E52" s="253"/>
      <c r="F52" s="258"/>
      <c r="G52" s="259"/>
      <c r="H52" s="241"/>
      <c r="I52" s="241"/>
      <c r="J52" s="241"/>
      <c r="K52" s="241"/>
      <c r="L52" s="241"/>
      <c r="M52" s="241"/>
    </row>
    <row r="53" spans="1:13" ht="13.5" customHeight="1">
      <c r="A53" s="253"/>
      <c r="B53" s="253"/>
      <c r="C53" s="253"/>
      <c r="D53" s="253"/>
      <c r="E53" s="253"/>
      <c r="F53" s="258"/>
      <c r="G53" s="259"/>
      <c r="H53" s="241"/>
      <c r="I53" s="241"/>
      <c r="J53" s="241"/>
      <c r="K53" s="241"/>
      <c r="L53" s="241"/>
      <c r="M53" s="241"/>
    </row>
    <row r="54" spans="1:13" ht="13.5" customHeight="1">
      <c r="A54" s="253"/>
      <c r="B54" s="253"/>
      <c r="C54" s="253"/>
      <c r="D54" s="253"/>
      <c r="E54" s="253"/>
      <c r="F54" s="258"/>
      <c r="G54" s="259"/>
      <c r="H54" s="241"/>
      <c r="I54" s="241"/>
      <c r="J54" s="241"/>
      <c r="K54" s="241"/>
      <c r="L54" s="241"/>
      <c r="M54" s="241"/>
    </row>
    <row r="55" spans="1:13" ht="13.5" customHeight="1">
      <c r="A55" s="253"/>
      <c r="B55" s="253"/>
      <c r="C55" s="253"/>
      <c r="D55" s="253"/>
      <c r="E55" s="253"/>
      <c r="F55" s="258"/>
      <c r="G55" s="259"/>
      <c r="H55" s="241"/>
      <c r="I55" s="241"/>
      <c r="J55" s="241"/>
      <c r="K55" s="241"/>
      <c r="L55" s="241"/>
      <c r="M55" s="241"/>
    </row>
    <row r="56" spans="1:13" ht="13.5" customHeight="1">
      <c r="A56" s="253"/>
      <c r="B56" s="253"/>
      <c r="C56" s="253"/>
      <c r="D56" s="253"/>
      <c r="E56" s="253"/>
      <c r="F56" s="258"/>
      <c r="G56" s="259"/>
      <c r="H56" s="241"/>
      <c r="I56" s="241"/>
      <c r="J56" s="241"/>
      <c r="K56" s="241"/>
      <c r="L56" s="241"/>
      <c r="M56" s="241"/>
    </row>
    <row r="57" spans="1:13" ht="13.5" customHeight="1">
      <c r="A57" s="253"/>
      <c r="B57" s="253"/>
      <c r="C57" s="253"/>
      <c r="D57" s="253"/>
      <c r="E57" s="253"/>
      <c r="F57" s="258"/>
      <c r="G57" s="259"/>
      <c r="H57" s="241"/>
      <c r="I57" s="241"/>
      <c r="J57" s="241"/>
      <c r="K57" s="241"/>
      <c r="L57" s="241"/>
      <c r="M57" s="241"/>
    </row>
    <row r="58" spans="1:13" ht="13.5" customHeight="1">
      <c r="A58" s="253"/>
      <c r="B58" s="253"/>
      <c r="C58" s="253"/>
      <c r="D58" s="253"/>
      <c r="E58" s="253"/>
      <c r="F58" s="258"/>
      <c r="G58" s="259"/>
      <c r="H58" s="241"/>
      <c r="I58" s="241"/>
      <c r="J58" s="241"/>
      <c r="K58" s="241"/>
      <c r="L58" s="241"/>
      <c r="M58" s="241"/>
    </row>
    <row r="59" spans="1:13" ht="15.75">
      <c r="A59" s="7" t="s">
        <v>327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ht="12" customHeight="1">
      <c r="A60" s="241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</row>
    <row r="61" spans="1:13" ht="15.75">
      <c r="A61" s="7" t="s">
        <v>328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12" customHeight="1" thickBot="1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</row>
    <row r="63" spans="1:11" ht="12.75" customHeight="1">
      <c r="A63" s="709" t="s">
        <v>303</v>
      </c>
      <c r="B63" s="710"/>
      <c r="C63" s="710"/>
      <c r="D63" s="709" t="s">
        <v>329</v>
      </c>
      <c r="E63" s="680"/>
      <c r="F63" s="709" t="s">
        <v>330</v>
      </c>
      <c r="G63" s="680"/>
      <c r="H63" s="709" t="s">
        <v>331</v>
      </c>
      <c r="I63" s="680"/>
      <c r="J63" s="709" t="s">
        <v>332</v>
      </c>
      <c r="K63" s="680"/>
    </row>
    <row r="64" spans="1:11" ht="12.75" customHeight="1">
      <c r="A64" s="711"/>
      <c r="B64" s="712"/>
      <c r="C64" s="712"/>
      <c r="D64" s="711"/>
      <c r="E64" s="681"/>
      <c r="F64" s="711"/>
      <c r="G64" s="681"/>
      <c r="H64" s="711"/>
      <c r="I64" s="681"/>
      <c r="J64" s="711"/>
      <c r="K64" s="681"/>
    </row>
    <row r="65" spans="1:11" ht="13.5" customHeight="1" thickBot="1">
      <c r="A65" s="746"/>
      <c r="B65" s="749"/>
      <c r="C65" s="749"/>
      <c r="D65" s="746"/>
      <c r="E65" s="682"/>
      <c r="F65" s="746"/>
      <c r="G65" s="682"/>
      <c r="H65" s="746"/>
      <c r="I65" s="682"/>
      <c r="J65" s="746"/>
      <c r="K65" s="682"/>
    </row>
    <row r="66" spans="1:12" s="56" customFormat="1" ht="25.5" customHeight="1" thickBot="1">
      <c r="A66" s="696" t="s">
        <v>333</v>
      </c>
      <c r="B66" s="696"/>
      <c r="C66" s="696"/>
      <c r="D66" s="696" t="s">
        <v>334</v>
      </c>
      <c r="E66" s="696"/>
      <c r="F66" s="747" t="s">
        <v>334</v>
      </c>
      <c r="G66" s="748"/>
      <c r="H66" s="747" t="s">
        <v>334</v>
      </c>
      <c r="I66" s="748"/>
      <c r="J66" s="696" t="s">
        <v>334</v>
      </c>
      <c r="K66" s="696"/>
      <c r="L66" s="260"/>
    </row>
    <row r="67" spans="1:13" s="123" customFormat="1" ht="12.75" customHeight="1">
      <c r="A67" s="720" t="s">
        <v>2</v>
      </c>
      <c r="B67" s="721"/>
      <c r="C67" s="722"/>
      <c r="D67" s="720"/>
      <c r="E67" s="722"/>
      <c r="F67" s="720"/>
      <c r="G67" s="722"/>
      <c r="H67" s="720"/>
      <c r="I67" s="722"/>
      <c r="J67" s="720" t="s">
        <v>334</v>
      </c>
      <c r="K67" s="722"/>
      <c r="L67" s="745"/>
      <c r="M67" s="745"/>
    </row>
    <row r="68" spans="1:13" s="123" customFormat="1" ht="13.5" customHeight="1" thickBot="1">
      <c r="A68" s="723"/>
      <c r="B68" s="724"/>
      <c r="C68" s="725"/>
      <c r="D68" s="723"/>
      <c r="E68" s="725"/>
      <c r="F68" s="723"/>
      <c r="G68" s="725"/>
      <c r="H68" s="723"/>
      <c r="I68" s="725"/>
      <c r="J68" s="723"/>
      <c r="K68" s="725"/>
      <c r="L68" s="745"/>
      <c r="M68" s="745"/>
    </row>
    <row r="70" spans="1:13" ht="15.75">
      <c r="A70" s="7" t="s">
        <v>335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ht="13.5" thickBot="1"/>
    <row r="72" spans="1:11" ht="12.75" customHeight="1">
      <c r="A72" s="709" t="s">
        <v>303</v>
      </c>
      <c r="B72" s="710"/>
      <c r="C72" s="710"/>
      <c r="D72" s="709" t="s">
        <v>329</v>
      </c>
      <c r="E72" s="680"/>
      <c r="F72" s="709" t="s">
        <v>336</v>
      </c>
      <c r="G72" s="680"/>
      <c r="H72" s="709" t="s">
        <v>331</v>
      </c>
      <c r="I72" s="680"/>
      <c r="J72" s="709" t="s">
        <v>332</v>
      </c>
      <c r="K72" s="680"/>
    </row>
    <row r="73" spans="1:11" ht="12.75" customHeight="1">
      <c r="A73" s="711"/>
      <c r="B73" s="712"/>
      <c r="C73" s="712"/>
      <c r="D73" s="711"/>
      <c r="E73" s="681"/>
      <c r="F73" s="711"/>
      <c r="G73" s="681"/>
      <c r="H73" s="711"/>
      <c r="I73" s="681"/>
      <c r="J73" s="711"/>
      <c r="K73" s="681"/>
    </row>
    <row r="74" spans="1:11" ht="13.5" customHeight="1" thickBot="1">
      <c r="A74" s="746"/>
      <c r="B74" s="749"/>
      <c r="C74" s="749"/>
      <c r="D74" s="746"/>
      <c r="E74" s="682"/>
      <c r="F74" s="746"/>
      <c r="G74" s="682"/>
      <c r="H74" s="746"/>
      <c r="I74" s="682"/>
      <c r="J74" s="746"/>
      <c r="K74" s="682"/>
    </row>
    <row r="75" spans="1:12" s="56" customFormat="1" ht="25.5" customHeight="1" thickBot="1">
      <c r="A75" s="696" t="s">
        <v>337</v>
      </c>
      <c r="B75" s="696"/>
      <c r="C75" s="696"/>
      <c r="D75" s="696" t="s">
        <v>338</v>
      </c>
      <c r="E75" s="696"/>
      <c r="F75" s="767" t="s">
        <v>334</v>
      </c>
      <c r="G75" s="768"/>
      <c r="H75" s="767"/>
      <c r="I75" s="768"/>
      <c r="J75" s="699"/>
      <c r="K75" s="699"/>
      <c r="L75" s="260"/>
    </row>
    <row r="76" spans="1:13" ht="12.75" customHeight="1">
      <c r="A76" s="750" t="s">
        <v>2</v>
      </c>
      <c r="B76" s="751"/>
      <c r="C76" s="752"/>
      <c r="D76" s="756"/>
      <c r="E76" s="757"/>
      <c r="F76" s="759">
        <f>SUM(F75)</f>
        <v>0</v>
      </c>
      <c r="G76" s="760"/>
      <c r="H76" s="763">
        <f>SUM(H75)</f>
        <v>0</v>
      </c>
      <c r="I76" s="764"/>
      <c r="J76" s="763">
        <f>SUM(J75)</f>
        <v>0</v>
      </c>
      <c r="K76" s="764"/>
      <c r="L76" s="769"/>
      <c r="M76" s="769"/>
    </row>
    <row r="77" spans="1:13" ht="13.5" customHeight="1" thickBot="1">
      <c r="A77" s="753"/>
      <c r="B77" s="754"/>
      <c r="C77" s="755"/>
      <c r="D77" s="758"/>
      <c r="E77" s="650"/>
      <c r="F77" s="761"/>
      <c r="G77" s="762"/>
      <c r="H77" s="765"/>
      <c r="I77" s="766"/>
      <c r="J77" s="765"/>
      <c r="K77" s="766"/>
      <c r="L77" s="769"/>
      <c r="M77" s="769"/>
    </row>
    <row r="79" spans="1:13" ht="15.75">
      <c r="A79" s="7" t="s">
        <v>339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</row>
    <row r="80" ht="13.5" thickBot="1"/>
    <row r="81" spans="1:11" ht="12.75" customHeight="1">
      <c r="A81" s="709" t="s">
        <v>303</v>
      </c>
      <c r="B81" s="710"/>
      <c r="C81" s="710"/>
      <c r="D81" s="709" t="s">
        <v>329</v>
      </c>
      <c r="E81" s="680"/>
      <c r="F81" s="709" t="s">
        <v>330</v>
      </c>
      <c r="G81" s="680"/>
      <c r="H81" s="709" t="s">
        <v>331</v>
      </c>
      <c r="I81" s="680"/>
      <c r="J81" s="709" t="s">
        <v>332</v>
      </c>
      <c r="K81" s="680"/>
    </row>
    <row r="82" spans="1:11" ht="12.75" customHeight="1">
      <c r="A82" s="711"/>
      <c r="B82" s="712"/>
      <c r="C82" s="712"/>
      <c r="D82" s="711"/>
      <c r="E82" s="681"/>
      <c r="F82" s="711"/>
      <c r="G82" s="681"/>
      <c r="H82" s="711"/>
      <c r="I82" s="681"/>
      <c r="J82" s="711"/>
      <c r="K82" s="681"/>
    </row>
    <row r="83" spans="1:11" ht="13.5" customHeight="1" thickBot="1">
      <c r="A83" s="746"/>
      <c r="B83" s="749"/>
      <c r="C83" s="749"/>
      <c r="D83" s="746"/>
      <c r="E83" s="682"/>
      <c r="F83" s="746"/>
      <c r="G83" s="682"/>
      <c r="H83" s="746"/>
      <c r="I83" s="682"/>
      <c r="J83" s="746"/>
      <c r="K83" s="682"/>
    </row>
    <row r="84" spans="1:12" s="56" customFormat="1" ht="25.5" customHeight="1" thickBot="1">
      <c r="A84" s="696" t="s">
        <v>337</v>
      </c>
      <c r="B84" s="696"/>
      <c r="C84" s="696"/>
      <c r="D84" s="696" t="s">
        <v>340</v>
      </c>
      <c r="E84" s="696"/>
      <c r="F84" s="747" t="s">
        <v>334</v>
      </c>
      <c r="G84" s="748"/>
      <c r="H84" s="747"/>
      <c r="I84" s="748"/>
      <c r="J84" s="696"/>
      <c r="K84" s="696"/>
      <c r="L84" s="260"/>
    </row>
    <row r="85" spans="1:13" ht="12.75" customHeight="1">
      <c r="A85" s="750" t="s">
        <v>2</v>
      </c>
      <c r="B85" s="751"/>
      <c r="C85" s="752"/>
      <c r="D85" s="756"/>
      <c r="E85" s="757"/>
      <c r="F85" s="756"/>
      <c r="G85" s="757"/>
      <c r="H85" s="720">
        <f>SUM(H84)</f>
        <v>0</v>
      </c>
      <c r="I85" s="722"/>
      <c r="J85" s="720">
        <f>SUM(J84)</f>
        <v>0</v>
      </c>
      <c r="K85" s="722"/>
      <c r="L85" s="769"/>
      <c r="M85" s="769"/>
    </row>
    <row r="86" spans="1:13" ht="13.5" customHeight="1" thickBot="1">
      <c r="A86" s="753"/>
      <c r="B86" s="754"/>
      <c r="C86" s="755"/>
      <c r="D86" s="758"/>
      <c r="E86" s="650"/>
      <c r="F86" s="758"/>
      <c r="G86" s="650"/>
      <c r="H86" s="723"/>
      <c r="I86" s="725"/>
      <c r="J86" s="723"/>
      <c r="K86" s="725"/>
      <c r="L86" s="769"/>
      <c r="M86" s="769"/>
    </row>
    <row r="88" spans="1:13" ht="15.75">
      <c r="A88" s="7" t="s">
        <v>341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ht="13.5" thickBot="1"/>
    <row r="90" spans="1:11" ht="12.75" customHeight="1">
      <c r="A90" s="709" t="s">
        <v>303</v>
      </c>
      <c r="B90" s="710"/>
      <c r="C90" s="710"/>
      <c r="D90" s="709" t="s">
        <v>329</v>
      </c>
      <c r="E90" s="680"/>
      <c r="F90" s="709" t="s">
        <v>330</v>
      </c>
      <c r="G90" s="680"/>
      <c r="H90" s="709" t="s">
        <v>331</v>
      </c>
      <c r="I90" s="680"/>
      <c r="J90" s="709" t="s">
        <v>332</v>
      </c>
      <c r="K90" s="680"/>
    </row>
    <row r="91" spans="1:11" ht="12.75" customHeight="1">
      <c r="A91" s="711"/>
      <c r="B91" s="712"/>
      <c r="C91" s="712"/>
      <c r="D91" s="711"/>
      <c r="E91" s="681"/>
      <c r="F91" s="711"/>
      <c r="G91" s="681"/>
      <c r="H91" s="711"/>
      <c r="I91" s="681"/>
      <c r="J91" s="711"/>
      <c r="K91" s="681"/>
    </row>
    <row r="92" spans="1:11" ht="13.5" customHeight="1" thickBot="1">
      <c r="A92" s="746"/>
      <c r="B92" s="749"/>
      <c r="C92" s="749"/>
      <c r="D92" s="746"/>
      <c r="E92" s="682"/>
      <c r="F92" s="746"/>
      <c r="G92" s="682"/>
      <c r="H92" s="746"/>
      <c r="I92" s="682"/>
      <c r="J92" s="746"/>
      <c r="K92" s="682"/>
    </row>
    <row r="93" spans="1:12" s="56" customFormat="1" ht="25.5" customHeight="1" thickBot="1">
      <c r="A93" s="696" t="s">
        <v>337</v>
      </c>
      <c r="B93" s="696"/>
      <c r="C93" s="696"/>
      <c r="D93" s="696"/>
      <c r="E93" s="696"/>
      <c r="F93" s="747" t="s">
        <v>334</v>
      </c>
      <c r="G93" s="748"/>
      <c r="H93" s="747"/>
      <c r="I93" s="748"/>
      <c r="J93" s="696"/>
      <c r="K93" s="696"/>
      <c r="L93" s="260"/>
    </row>
    <row r="94" spans="1:13" ht="12.75" customHeight="1">
      <c r="A94" s="750" t="s">
        <v>2</v>
      </c>
      <c r="B94" s="751"/>
      <c r="C94" s="752"/>
      <c r="D94" s="756"/>
      <c r="E94" s="757"/>
      <c r="F94" s="756"/>
      <c r="G94" s="757"/>
      <c r="H94" s="720">
        <f>SUM(H93)</f>
        <v>0</v>
      </c>
      <c r="I94" s="722"/>
      <c r="J94" s="720">
        <f>SUM(J93)</f>
        <v>0</v>
      </c>
      <c r="K94" s="722"/>
      <c r="L94" s="769"/>
      <c r="M94" s="769"/>
    </row>
    <row r="95" spans="1:13" ht="13.5" customHeight="1" thickBot="1">
      <c r="A95" s="753"/>
      <c r="B95" s="754"/>
      <c r="C95" s="755"/>
      <c r="D95" s="758"/>
      <c r="E95" s="650"/>
      <c r="F95" s="758"/>
      <c r="G95" s="650"/>
      <c r="H95" s="723"/>
      <c r="I95" s="725"/>
      <c r="J95" s="723"/>
      <c r="K95" s="725"/>
      <c r="L95" s="769"/>
      <c r="M95" s="769"/>
    </row>
  </sheetData>
  <sheetProtection/>
  <mergeCells count="152">
    <mergeCell ref="A40:C40"/>
    <mergeCell ref="A41:C41"/>
    <mergeCell ref="G37:G39"/>
    <mergeCell ref="A90:C92"/>
    <mergeCell ref="D90:E92"/>
    <mergeCell ref="F90:G92"/>
    <mergeCell ref="A85:C86"/>
    <mergeCell ref="D85:E86"/>
    <mergeCell ref="F85:G86"/>
    <mergeCell ref="A84:C84"/>
    <mergeCell ref="D84:E84"/>
    <mergeCell ref="F84:G84"/>
    <mergeCell ref="A1:M1"/>
    <mergeCell ref="A4:M4"/>
    <mergeCell ref="K37:K39"/>
    <mergeCell ref="L37:L39"/>
    <mergeCell ref="M37:M39"/>
    <mergeCell ref="A37:C39"/>
    <mergeCell ref="D37:D39"/>
    <mergeCell ref="I34:I36"/>
    <mergeCell ref="J34:J36"/>
    <mergeCell ref="L34:L36"/>
    <mergeCell ref="A94:C95"/>
    <mergeCell ref="D94:E95"/>
    <mergeCell ref="F94:G95"/>
    <mergeCell ref="A93:C93"/>
    <mergeCell ref="D93:E93"/>
    <mergeCell ref="F93:G93"/>
    <mergeCell ref="L94:L95"/>
    <mergeCell ref="L76:L77"/>
    <mergeCell ref="M94:M95"/>
    <mergeCell ref="J93:K93"/>
    <mergeCell ref="H93:I93"/>
    <mergeCell ref="H94:I95"/>
    <mergeCell ref="J94:K95"/>
    <mergeCell ref="H90:I92"/>
    <mergeCell ref="M85:M86"/>
    <mergeCell ref="J90:K92"/>
    <mergeCell ref="L85:L86"/>
    <mergeCell ref="J84:K84"/>
    <mergeCell ref="J85:K86"/>
    <mergeCell ref="H85:I86"/>
    <mergeCell ref="H84:I84"/>
    <mergeCell ref="M76:M77"/>
    <mergeCell ref="A81:C83"/>
    <mergeCell ref="D81:E83"/>
    <mergeCell ref="F81:G83"/>
    <mergeCell ref="H81:I83"/>
    <mergeCell ref="J81:K83"/>
    <mergeCell ref="J75:K75"/>
    <mergeCell ref="A76:C77"/>
    <mergeCell ref="D76:E77"/>
    <mergeCell ref="F76:G77"/>
    <mergeCell ref="H76:I77"/>
    <mergeCell ref="J76:K77"/>
    <mergeCell ref="A75:C75"/>
    <mergeCell ref="D75:E75"/>
    <mergeCell ref="F75:G75"/>
    <mergeCell ref="H75:I75"/>
    <mergeCell ref="J72:K74"/>
    <mergeCell ref="A67:C68"/>
    <mergeCell ref="D67:E68"/>
    <mergeCell ref="F67:G68"/>
    <mergeCell ref="H67:I68"/>
    <mergeCell ref="A72:C74"/>
    <mergeCell ref="D72:E74"/>
    <mergeCell ref="F72:G74"/>
    <mergeCell ref="H72:I74"/>
    <mergeCell ref="A66:C66"/>
    <mergeCell ref="D66:E66"/>
    <mergeCell ref="F66:G66"/>
    <mergeCell ref="M67:M68"/>
    <mergeCell ref="A63:C65"/>
    <mergeCell ref="D63:E65"/>
    <mergeCell ref="F63:G65"/>
    <mergeCell ref="H63:I65"/>
    <mergeCell ref="H66:I66"/>
    <mergeCell ref="K42:K44"/>
    <mergeCell ref="L42:L44"/>
    <mergeCell ref="J67:K68"/>
    <mergeCell ref="L67:L68"/>
    <mergeCell ref="J63:K65"/>
    <mergeCell ref="M42:M44"/>
    <mergeCell ref="J66:K66"/>
    <mergeCell ref="H45:H46"/>
    <mergeCell ref="I45:I46"/>
    <mergeCell ref="J45:J46"/>
    <mergeCell ref="L45:L46"/>
    <mergeCell ref="M45:M46"/>
    <mergeCell ref="K45:K46"/>
    <mergeCell ref="G45:G46"/>
    <mergeCell ref="G42:G44"/>
    <mergeCell ref="A45:C46"/>
    <mergeCell ref="D45:D46"/>
    <mergeCell ref="E45:E46"/>
    <mergeCell ref="F45:F46"/>
    <mergeCell ref="F42:F44"/>
    <mergeCell ref="A42:C44"/>
    <mergeCell ref="D42:D44"/>
    <mergeCell ref="I42:I44"/>
    <mergeCell ref="J42:J44"/>
    <mergeCell ref="E34:E36"/>
    <mergeCell ref="E42:E44"/>
    <mergeCell ref="H42:H44"/>
    <mergeCell ref="I37:I39"/>
    <mergeCell ref="J37:J39"/>
    <mergeCell ref="H37:H39"/>
    <mergeCell ref="E37:E39"/>
    <mergeCell ref="F37:F39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M13:M15"/>
    <mergeCell ref="A16:C18"/>
    <mergeCell ref="D16:D18"/>
    <mergeCell ref="E16:E18"/>
    <mergeCell ref="F16:F18"/>
    <mergeCell ref="G16:G18"/>
    <mergeCell ref="H16:H18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75390625" style="26" customWidth="1"/>
    <col min="2" max="2" width="65.75390625" style="26" customWidth="1"/>
    <col min="3" max="3" width="18.25390625" style="26" customWidth="1"/>
    <col min="4" max="5" width="15.75390625" style="26" bestFit="1" customWidth="1"/>
    <col min="6" max="6" width="18.00390625" style="26" bestFit="1" customWidth="1"/>
    <col min="7" max="7" width="11.375" style="56" bestFit="1" customWidth="1"/>
    <col min="8" max="16384" width="9.125" style="56" customWidth="1"/>
  </cols>
  <sheetData>
    <row r="1" spans="1:6" ht="15.75">
      <c r="A1" s="517" t="s">
        <v>510</v>
      </c>
      <c r="B1" s="517"/>
      <c r="C1" s="517"/>
      <c r="D1" s="517"/>
      <c r="E1" s="517"/>
      <c r="F1" s="517"/>
    </row>
    <row r="2" spans="1:6" ht="21" customHeight="1">
      <c r="A2" s="611"/>
      <c r="B2" s="611"/>
      <c r="C2" s="611"/>
      <c r="D2" s="611"/>
      <c r="E2" s="611"/>
      <c r="F2" s="611"/>
    </row>
    <row r="3" spans="1:6" ht="15.75">
      <c r="A3" s="611" t="s">
        <v>342</v>
      </c>
      <c r="B3" s="611"/>
      <c r="C3" s="611"/>
      <c r="D3" s="611"/>
      <c r="E3" s="611"/>
      <c r="F3" s="611"/>
    </row>
    <row r="4" spans="1:6" ht="15.75">
      <c r="A4" s="611" t="s">
        <v>343</v>
      </c>
      <c r="B4" s="611"/>
      <c r="C4" s="611"/>
      <c r="D4" s="611"/>
      <c r="E4" s="611"/>
      <c r="F4" s="611"/>
    </row>
    <row r="5" spans="1:6" ht="15.75">
      <c r="A5" s="611" t="s">
        <v>482</v>
      </c>
      <c r="B5" s="611"/>
      <c r="C5" s="611"/>
      <c r="D5" s="611"/>
      <c r="E5" s="611"/>
      <c r="F5" s="611"/>
    </row>
    <row r="6" spans="1:6" ht="16.5" thickBot="1">
      <c r="A6" s="28"/>
      <c r="B6" s="28"/>
      <c r="C6" s="56"/>
      <c r="D6" s="262"/>
      <c r="E6" s="56"/>
      <c r="F6" s="262" t="s">
        <v>5</v>
      </c>
    </row>
    <row r="7" spans="1:6" ht="15.75">
      <c r="A7" s="263" t="s">
        <v>37</v>
      </c>
      <c r="B7" s="787" t="s">
        <v>344</v>
      </c>
      <c r="C7" s="790" t="s">
        <v>345</v>
      </c>
      <c r="D7" s="791"/>
      <c r="E7" s="791"/>
      <c r="F7" s="787" t="s">
        <v>232</v>
      </c>
    </row>
    <row r="8" spans="1:6" ht="16.5" thickBot="1">
      <c r="A8" s="264"/>
      <c r="B8" s="788"/>
      <c r="C8" s="792"/>
      <c r="D8" s="793"/>
      <c r="E8" s="793"/>
      <c r="F8" s="788"/>
    </row>
    <row r="9" spans="1:6" ht="16.5" thickBot="1">
      <c r="A9" s="264"/>
      <c r="B9" s="788"/>
      <c r="C9" s="265" t="s">
        <v>420</v>
      </c>
      <c r="D9" s="265" t="s">
        <v>464</v>
      </c>
      <c r="E9" s="265" t="s">
        <v>486</v>
      </c>
      <c r="F9" s="788"/>
    </row>
    <row r="10" spans="1:6" ht="16.5" thickBot="1">
      <c r="A10" s="266" t="s">
        <v>38</v>
      </c>
      <c r="B10" s="789"/>
      <c r="C10" s="794" t="s">
        <v>346</v>
      </c>
      <c r="D10" s="795"/>
      <c r="E10" s="795"/>
      <c r="F10" s="789"/>
    </row>
    <row r="11" spans="1:6" ht="15.75">
      <c r="A11" s="261" t="s">
        <v>39</v>
      </c>
      <c r="B11" s="291" t="s">
        <v>352</v>
      </c>
      <c r="C11" s="267">
        <v>8220</v>
      </c>
      <c r="D11" s="267">
        <v>8220</v>
      </c>
      <c r="E11" s="267">
        <v>8220</v>
      </c>
      <c r="F11" s="267">
        <f>SUM(C11:E11)</f>
        <v>24660</v>
      </c>
    </row>
    <row r="12" spans="1:6" ht="31.5">
      <c r="A12" s="261" t="s">
        <v>22</v>
      </c>
      <c r="B12" s="292" t="s">
        <v>353</v>
      </c>
      <c r="C12" s="268"/>
      <c r="D12" s="268"/>
      <c r="E12" s="268"/>
      <c r="F12" s="267">
        <f>SUM(C12:E12)</f>
        <v>0</v>
      </c>
    </row>
    <row r="13" spans="1:2" s="239" customFormat="1" ht="15.75">
      <c r="A13" s="261" t="s">
        <v>40</v>
      </c>
      <c r="B13" s="291" t="s">
        <v>354</v>
      </c>
    </row>
    <row r="14" spans="1:6" s="239" customFormat="1" ht="31.5">
      <c r="A14" s="261" t="s">
        <v>91</v>
      </c>
      <c r="B14" s="292" t="s">
        <v>355</v>
      </c>
      <c r="C14" s="269"/>
      <c r="D14" s="269"/>
      <c r="E14" s="269"/>
      <c r="F14" s="267">
        <f>SUM(C14:E14)</f>
        <v>0</v>
      </c>
    </row>
    <row r="15" spans="1:6" s="239" customFormat="1" ht="15.75">
      <c r="A15" s="261" t="s">
        <v>92</v>
      </c>
      <c r="B15" s="291" t="s">
        <v>347</v>
      </c>
      <c r="C15" s="269">
        <v>75</v>
      </c>
      <c r="D15" s="269">
        <v>75</v>
      </c>
      <c r="E15" s="269">
        <v>75</v>
      </c>
      <c r="F15" s="267">
        <f>SUM(C15:E15)</f>
        <v>225</v>
      </c>
    </row>
    <row r="16" spans="1:6" s="239" customFormat="1" ht="15.75">
      <c r="A16" s="261" t="s">
        <v>98</v>
      </c>
      <c r="B16" s="291" t="s">
        <v>356</v>
      </c>
      <c r="C16" s="270"/>
      <c r="D16" s="270"/>
      <c r="E16" s="270"/>
      <c r="F16" s="270"/>
    </row>
    <row r="17" spans="1:6" s="274" customFormat="1" ht="15.75">
      <c r="A17" s="271" t="s">
        <v>196</v>
      </c>
      <c r="B17" s="272" t="s">
        <v>348</v>
      </c>
      <c r="C17" s="273">
        <f>SUM(C11:C16)</f>
        <v>8295</v>
      </c>
      <c r="D17" s="273">
        <f>SUM(D11:D16)</f>
        <v>8295</v>
      </c>
      <c r="E17" s="273">
        <f>SUM(E11:E16)</f>
        <v>8295</v>
      </c>
      <c r="F17" s="273">
        <f>SUM(F11:F16)</f>
        <v>24885</v>
      </c>
    </row>
    <row r="18" spans="1:6" s="279" customFormat="1" ht="18.75">
      <c r="A18" s="275" t="s">
        <v>198</v>
      </c>
      <c r="B18" s="276" t="s">
        <v>349</v>
      </c>
      <c r="C18" s="277">
        <f>C17*0.5</f>
        <v>4147.5</v>
      </c>
      <c r="D18" s="277">
        <f>D17*0.5</f>
        <v>4147.5</v>
      </c>
      <c r="E18" s="277">
        <f>E17*0.5</f>
        <v>4147.5</v>
      </c>
      <c r="F18" s="278">
        <f>SUM(C18:E18)</f>
        <v>12442.5</v>
      </c>
    </row>
    <row r="19" spans="1:6" s="239" customFormat="1" ht="31.5">
      <c r="A19" s="280" t="s">
        <v>199</v>
      </c>
      <c r="B19" s="292" t="s">
        <v>357</v>
      </c>
      <c r="C19" s="269"/>
      <c r="D19" s="269"/>
      <c r="E19" s="269"/>
      <c r="F19" s="269">
        <f>SUM(C19:E19)</f>
        <v>0</v>
      </c>
    </row>
    <row r="20" spans="1:6" s="239" customFormat="1" ht="31.5">
      <c r="A20" s="280" t="s">
        <v>200</v>
      </c>
      <c r="B20" s="292" t="s">
        <v>358</v>
      </c>
      <c r="C20" s="269"/>
      <c r="D20" s="269"/>
      <c r="E20" s="269"/>
      <c r="F20" s="269">
        <f>SUM(C20:E20)</f>
        <v>0</v>
      </c>
    </row>
    <row r="21" spans="1:6" s="239" customFormat="1" ht="15.75">
      <c r="A21" s="280" t="s">
        <v>201</v>
      </c>
      <c r="B21" s="291" t="s">
        <v>359</v>
      </c>
      <c r="C21" s="269"/>
      <c r="D21" s="269"/>
      <c r="E21" s="269"/>
      <c r="F21" s="269"/>
    </row>
    <row r="22" spans="1:6" s="239" customFormat="1" ht="31.5">
      <c r="A22" s="280" t="s">
        <v>202</v>
      </c>
      <c r="B22" s="281" t="s">
        <v>360</v>
      </c>
      <c r="C22" s="269"/>
      <c r="D22" s="269"/>
      <c r="E22" s="269"/>
      <c r="F22" s="269"/>
    </row>
    <row r="23" spans="1:6" s="239" customFormat="1" ht="47.25">
      <c r="A23" s="280" t="s">
        <v>203</v>
      </c>
      <c r="B23" s="281" t="s">
        <v>361</v>
      </c>
      <c r="C23" s="269"/>
      <c r="D23" s="269"/>
      <c r="E23" s="269"/>
      <c r="F23" s="269"/>
    </row>
    <row r="24" spans="1:6" s="239" customFormat="1" ht="31.5">
      <c r="A24" s="280" t="s">
        <v>204</v>
      </c>
      <c r="B24" s="281" t="s">
        <v>362</v>
      </c>
      <c r="C24" s="269"/>
      <c r="D24" s="269"/>
      <c r="E24" s="269"/>
      <c r="F24" s="269"/>
    </row>
    <row r="25" spans="1:6" s="239" customFormat="1" ht="31.5">
      <c r="A25" s="280" t="s">
        <v>206</v>
      </c>
      <c r="B25" s="281" t="s">
        <v>363</v>
      </c>
      <c r="C25" s="282"/>
      <c r="D25" s="282"/>
      <c r="E25" s="282"/>
      <c r="F25" s="282"/>
    </row>
    <row r="26" spans="1:6" s="274" customFormat="1" ht="15.75">
      <c r="A26" s="271" t="s">
        <v>207</v>
      </c>
      <c r="B26" s="283" t="s">
        <v>350</v>
      </c>
      <c r="C26" s="284">
        <f>SUM(C19:C24)</f>
        <v>0</v>
      </c>
      <c r="D26" s="284">
        <f>SUM(D19:D24)</f>
        <v>0</v>
      </c>
      <c r="E26" s="284">
        <f>SUM(E19:E24)</f>
        <v>0</v>
      </c>
      <c r="F26" s="284">
        <f>SUM(F19:F24)</f>
        <v>0</v>
      </c>
    </row>
    <row r="27" spans="1:6" s="287" customFormat="1" ht="37.5">
      <c r="A27" s="275" t="s">
        <v>208</v>
      </c>
      <c r="B27" s="285" t="s">
        <v>351</v>
      </c>
      <c r="C27" s="286">
        <f>C18-C26</f>
        <v>4147.5</v>
      </c>
      <c r="D27" s="286">
        <f>D18-D26</f>
        <v>4147.5</v>
      </c>
      <c r="E27" s="286">
        <f>E18-E26</f>
        <v>4147.5</v>
      </c>
      <c r="F27" s="286">
        <f>SUM(C27:E27)</f>
        <v>12442.5</v>
      </c>
    </row>
    <row r="28" spans="1:6" s="239" customFormat="1" ht="15.75">
      <c r="A28" s="288"/>
      <c r="B28" s="289"/>
      <c r="C28" s="269"/>
      <c r="D28" s="269"/>
      <c r="E28" s="269"/>
      <c r="F28" s="269"/>
    </row>
    <row r="29" spans="1:7" s="239" customFormat="1" ht="15.75">
      <c r="A29" s="288"/>
      <c r="B29" s="289"/>
      <c r="C29" s="269"/>
      <c r="D29" s="269"/>
      <c r="E29" s="269"/>
      <c r="F29" s="269"/>
      <c r="G29" s="269"/>
    </row>
    <row r="30" spans="1:6" s="239" customFormat="1" ht="15.75">
      <c r="A30" s="289"/>
      <c r="B30" s="289"/>
      <c r="C30" s="269"/>
      <c r="D30" s="269"/>
      <c r="E30" s="269"/>
      <c r="F30" s="269"/>
    </row>
    <row r="31" spans="1:6" s="239" customFormat="1" ht="15.75">
      <c r="A31" s="289"/>
      <c r="B31" s="289"/>
      <c r="C31" s="269"/>
      <c r="D31" s="269"/>
      <c r="E31" s="269"/>
      <c r="F31" s="269"/>
    </row>
    <row r="32" spans="1:6" s="239" customFormat="1" ht="15.75">
      <c r="A32" s="289"/>
      <c r="B32" s="289"/>
      <c r="C32" s="269"/>
      <c r="D32" s="269"/>
      <c r="E32" s="269"/>
      <c r="F32" s="269"/>
    </row>
    <row r="33" spans="1:6" s="239" customFormat="1" ht="15.75">
      <c r="A33" s="289"/>
      <c r="B33" s="290"/>
      <c r="C33" s="269"/>
      <c r="D33" s="269"/>
      <c r="E33" s="269"/>
      <c r="F33" s="269"/>
    </row>
    <row r="34" spans="1:6" s="239" customFormat="1" ht="15.75">
      <c r="A34" s="289"/>
      <c r="B34" s="289"/>
      <c r="C34" s="269"/>
      <c r="D34" s="269"/>
      <c r="E34" s="269"/>
      <c r="F34" s="269"/>
    </row>
    <row r="35" spans="1:6" s="239" customFormat="1" ht="15.75">
      <c r="A35" s="289"/>
      <c r="B35" s="289"/>
      <c r="C35" s="269"/>
      <c r="D35" s="269"/>
      <c r="E35" s="269"/>
      <c r="F35" s="269"/>
    </row>
  </sheetData>
  <sheetProtection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N23"/>
  <sheetViews>
    <sheetView zoomScalePageLayoutView="0" workbookViewId="0" topLeftCell="A7">
      <selection activeCell="A10" sqref="A10:N14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2" spans="1:4" ht="12.75">
      <c r="A2" s="798" t="s">
        <v>511</v>
      </c>
      <c r="B2" s="798"/>
      <c r="C2" s="798"/>
      <c r="D2" s="798"/>
    </row>
    <row r="4" spans="1:14" ht="18.75" customHeight="1">
      <c r="A4" s="799"/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</row>
    <row r="5" spans="1:14" ht="18" customHeight="1">
      <c r="A5" s="799" t="s">
        <v>438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</row>
    <row r="6" spans="1:14" ht="16.5" customHeight="1">
      <c r="A6" s="799" t="s">
        <v>439</v>
      </c>
      <c r="B6" s="799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</row>
    <row r="7" spans="1:14" ht="16.5" customHeight="1">
      <c r="A7" s="799" t="s">
        <v>477</v>
      </c>
      <c r="B7" s="799"/>
      <c r="C7" s="799"/>
      <c r="D7" s="799"/>
      <c r="E7" s="799"/>
      <c r="F7" s="799"/>
      <c r="G7" s="799"/>
      <c r="H7" s="799"/>
      <c r="I7" s="799"/>
      <c r="J7" s="799"/>
      <c r="K7" s="799"/>
      <c r="L7" s="799"/>
      <c r="M7" s="799"/>
      <c r="N7" s="799"/>
    </row>
    <row r="9" ht="13.5" thickBot="1">
      <c r="N9" s="427" t="s">
        <v>440</v>
      </c>
    </row>
    <row r="10" spans="1:14" ht="21" customHeight="1" thickBot="1">
      <c r="A10" s="797" t="s">
        <v>441</v>
      </c>
      <c r="B10" s="800" t="s">
        <v>0</v>
      </c>
      <c r="C10" s="801" t="s">
        <v>442</v>
      </c>
      <c r="D10" s="802" t="s">
        <v>443</v>
      </c>
      <c r="E10" s="802"/>
      <c r="F10" s="802"/>
      <c r="G10" s="802"/>
      <c r="H10" s="802"/>
      <c r="I10" s="796" t="s">
        <v>444</v>
      </c>
      <c r="J10" s="796"/>
      <c r="K10" s="796"/>
      <c r="L10" s="796"/>
      <c r="M10" s="796" t="s">
        <v>445</v>
      </c>
      <c r="N10" s="796"/>
    </row>
    <row r="11" spans="1:14" ht="63" customHeight="1" thickBot="1">
      <c r="A11" s="797"/>
      <c r="B11" s="800"/>
      <c r="C11" s="801"/>
      <c r="D11" s="429" t="s">
        <v>446</v>
      </c>
      <c r="E11" s="429" t="s">
        <v>447</v>
      </c>
      <c r="F11" s="429" t="s">
        <v>443</v>
      </c>
      <c r="G11" s="429" t="s">
        <v>448</v>
      </c>
      <c r="H11" s="429" t="s">
        <v>449</v>
      </c>
      <c r="I11" s="429" t="s">
        <v>450</v>
      </c>
      <c r="J11" s="429" t="s">
        <v>444</v>
      </c>
      <c r="K11" s="429" t="s">
        <v>457</v>
      </c>
      <c r="L11" s="429" t="s">
        <v>451</v>
      </c>
      <c r="M11" s="429" t="s">
        <v>452</v>
      </c>
      <c r="N11" s="429" t="s">
        <v>453</v>
      </c>
    </row>
    <row r="12" spans="1:14" ht="16.5" customHeight="1" thickBot="1">
      <c r="A12" s="430" t="s">
        <v>39</v>
      </c>
      <c r="B12" s="430" t="s">
        <v>454</v>
      </c>
      <c r="C12" s="431">
        <f>H12+M12+L12+N12</f>
        <v>288762038</v>
      </c>
      <c r="D12" s="431">
        <f>36233972-700730+130720+467820+32100-417779+128360-632874+100000+552400+206400+121276</f>
        <v>36221665</v>
      </c>
      <c r="E12" s="431">
        <f>8300000-2100000-140000+68056</f>
        <v>6128056</v>
      </c>
      <c r="F12" s="431">
        <v>7824055</v>
      </c>
      <c r="G12" s="430"/>
      <c r="H12" s="431">
        <f>D12+E12+F12</f>
        <v>50173776</v>
      </c>
      <c r="I12" s="430"/>
      <c r="J12" s="431">
        <v>121813100</v>
      </c>
      <c r="K12" s="430">
        <v>8277879</v>
      </c>
      <c r="L12" s="431">
        <f>I12+J12+K12</f>
        <v>130090979</v>
      </c>
      <c r="M12" s="431">
        <f>98322035+25+104+234696+964900+20509434+822484</f>
        <v>120853678</v>
      </c>
      <c r="N12" s="431">
        <f>-12356395</f>
        <v>-12356395</v>
      </c>
    </row>
    <row r="13" spans="1:14" ht="18.75" customHeight="1" thickBot="1">
      <c r="A13" s="430" t="s">
        <v>22</v>
      </c>
      <c r="B13" s="430" t="s">
        <v>455</v>
      </c>
      <c r="C13" s="431">
        <f>H13+N13+M13</f>
        <v>16378994</v>
      </c>
      <c r="D13" s="430"/>
      <c r="E13" s="430"/>
      <c r="F13" s="431">
        <v>3200115</v>
      </c>
      <c r="G13" s="430"/>
      <c r="H13" s="431">
        <f>D13+E13+F13</f>
        <v>3200115</v>
      </c>
      <c r="I13" s="430"/>
      <c r="J13" s="430"/>
      <c r="K13" s="430"/>
      <c r="L13" s="430"/>
      <c r="M13" s="431">
        <v>822484</v>
      </c>
      <c r="N13" s="431">
        <f>12356395</f>
        <v>12356395</v>
      </c>
    </row>
    <row r="14" spans="1:14" ht="20.25" customHeight="1" thickBot="1">
      <c r="A14" s="430" t="s">
        <v>40</v>
      </c>
      <c r="B14" s="430" t="s">
        <v>456</v>
      </c>
      <c r="C14" s="431">
        <f>C12+C13</f>
        <v>305141032</v>
      </c>
      <c r="D14" s="431">
        <f aca="true" t="shared" si="0" ref="D14:N14">D12+D13</f>
        <v>36221665</v>
      </c>
      <c r="E14" s="431">
        <f t="shared" si="0"/>
        <v>6128056</v>
      </c>
      <c r="F14" s="431">
        <f t="shared" si="0"/>
        <v>11024170</v>
      </c>
      <c r="G14" s="431">
        <f t="shared" si="0"/>
        <v>0</v>
      </c>
      <c r="H14" s="431">
        <f t="shared" si="0"/>
        <v>53373891</v>
      </c>
      <c r="I14" s="431">
        <f t="shared" si="0"/>
        <v>0</v>
      </c>
      <c r="J14" s="431">
        <f t="shared" si="0"/>
        <v>121813100</v>
      </c>
      <c r="K14" s="431">
        <f t="shared" si="0"/>
        <v>8277879</v>
      </c>
      <c r="L14" s="431">
        <f t="shared" si="0"/>
        <v>130090979</v>
      </c>
      <c r="M14" s="431">
        <f t="shared" si="0"/>
        <v>121676162</v>
      </c>
      <c r="N14" s="431">
        <f t="shared" si="0"/>
        <v>0</v>
      </c>
    </row>
    <row r="23" ht="12.75">
      <c r="B23" s="433"/>
    </row>
  </sheetData>
  <sheetProtection/>
  <mergeCells count="11">
    <mergeCell ref="D10:H10"/>
    <mergeCell ref="I10:L10"/>
    <mergeCell ref="M10:N10"/>
    <mergeCell ref="A10:A11"/>
    <mergeCell ref="A2:D2"/>
    <mergeCell ref="A4:N4"/>
    <mergeCell ref="A5:N5"/>
    <mergeCell ref="A6:N6"/>
    <mergeCell ref="A7:N7"/>
    <mergeCell ref="B10:B11"/>
    <mergeCell ref="C10:C11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H14"/>
  <sheetViews>
    <sheetView tabSelected="1" zoomScalePageLayoutView="0" workbookViewId="0" topLeftCell="A7">
      <selection activeCell="A2" sqref="A2:H2"/>
    </sheetView>
  </sheetViews>
  <sheetFormatPr defaultColWidth="9.00390625" defaultRowHeight="12.75"/>
  <cols>
    <col min="1" max="1" width="2.75390625" style="0" customWidth="1"/>
    <col min="2" max="2" width="26.75390625" style="0" customWidth="1"/>
    <col min="3" max="3" width="14.25390625" style="0" customWidth="1"/>
    <col min="4" max="4" width="9.75390625" style="0" customWidth="1"/>
    <col min="5" max="5" width="12.375" style="0" customWidth="1"/>
    <col min="6" max="6" width="10.625" style="0" customWidth="1"/>
    <col min="8" max="8" width="6.375" style="0" customWidth="1"/>
  </cols>
  <sheetData>
    <row r="2" spans="1:8" ht="12.75">
      <c r="A2" s="798" t="s">
        <v>512</v>
      </c>
      <c r="B2" s="798"/>
      <c r="C2" s="798"/>
      <c r="D2" s="798"/>
      <c r="E2" s="798"/>
      <c r="F2" s="798"/>
      <c r="G2" s="798"/>
      <c r="H2" s="798"/>
    </row>
    <row r="5" spans="1:8" ht="20.25" customHeight="1">
      <c r="A5" s="799"/>
      <c r="B5" s="799"/>
      <c r="C5" s="799"/>
      <c r="D5" s="799"/>
      <c r="E5" s="799"/>
      <c r="F5" s="799"/>
      <c r="G5" s="799"/>
      <c r="H5" s="799"/>
    </row>
    <row r="6" spans="1:8" ht="17.25" customHeight="1">
      <c r="A6" s="799" t="str">
        <f>'[1]9.mell'!A7</f>
        <v>SITKE KÖZSÉG ÖNKORMÁNYZATA</v>
      </c>
      <c r="B6" s="799"/>
      <c r="C6" s="799"/>
      <c r="D6" s="799"/>
      <c r="E6" s="799"/>
      <c r="F6" s="799"/>
      <c r="G6" s="799"/>
      <c r="H6" s="799"/>
    </row>
    <row r="7" spans="1:8" ht="25.5" customHeight="1">
      <c r="A7" s="808" t="str">
        <f>'[1]9.mell'!A8</f>
        <v>KÖLTSÉGVETÉSI SZERVEK KÖZPONTI KÖLTSÉGVETÉSI ÉS ÖNKORMÁNYZATI TÁMOGATÁSA</v>
      </c>
      <c r="B7" s="808"/>
      <c r="C7" s="808"/>
      <c r="D7" s="808"/>
      <c r="E7" s="808"/>
      <c r="F7" s="808"/>
      <c r="G7" s="808"/>
      <c r="H7" s="808"/>
    </row>
    <row r="8" spans="1:8" ht="16.5" customHeight="1">
      <c r="A8" s="799" t="str">
        <f>'[1]9.mell'!A9</f>
        <v>2020. év</v>
      </c>
      <c r="B8" s="799"/>
      <c r="C8" s="799"/>
      <c r="D8" s="799"/>
      <c r="E8" s="799"/>
      <c r="F8" s="799"/>
      <c r="G8" s="799"/>
      <c r="H8" s="799"/>
    </row>
    <row r="10" spans="7:8" ht="13.5" thickBot="1">
      <c r="G10" s="803" t="str">
        <f>'[1]9.mell'!G11</f>
        <v> (  Ft-ban ) </v>
      </c>
      <c r="H10" s="803"/>
    </row>
    <row r="11" spans="1:8" ht="71.25" customHeight="1" thickBot="1">
      <c r="A11" s="809" t="str">
        <f>'[2]11.mell'!A12</f>
        <v>SORSZÁM</v>
      </c>
      <c r="B11" s="813" t="str">
        <f>'[2]11.mell'!B12</f>
        <v>Intézmény megnevezése</v>
      </c>
      <c r="C11" s="811" t="str">
        <f>'[2]11.mell'!C12</f>
        <v>központi költségvetési támogatás</v>
      </c>
      <c r="D11" s="812"/>
      <c r="E11" s="815" t="str">
        <f>'[2]11.mell'!E12</f>
        <v>önkormányzati támogatás</v>
      </c>
      <c r="F11" s="816"/>
      <c r="G11" s="815" t="str">
        <f>'[2]11.mell'!G12</f>
        <v> összes támogatás </v>
      </c>
      <c r="H11" s="816"/>
    </row>
    <row r="12" spans="1:8" ht="24.75" customHeight="1" thickBot="1">
      <c r="A12" s="810"/>
      <c r="B12" s="814"/>
      <c r="C12" s="428" t="str">
        <f>'[2]11.mell'!C13</f>
        <v>  Ft </v>
      </c>
      <c r="D12" s="429" t="str">
        <f>'[2]11.mell'!D13</f>
        <v>megoszlás    %-a</v>
      </c>
      <c r="E12" s="430" t="str">
        <f>'[2]11.mell'!E13</f>
        <v>  Ft </v>
      </c>
      <c r="F12" s="429" t="str">
        <f>'[2]11.mell'!F13</f>
        <v>megoszlás %-a</v>
      </c>
      <c r="G12" s="804"/>
      <c r="H12" s="805"/>
    </row>
    <row r="13" spans="1:8" ht="18" customHeight="1" thickBot="1">
      <c r="A13" s="430" t="str">
        <f>'[2]11.mell'!A14</f>
        <v>1.</v>
      </c>
      <c r="B13" s="430" t="str">
        <f>'[2]11.mell'!B14</f>
        <v>Sitkei Önkormányzati Konyha</v>
      </c>
      <c r="C13" s="431">
        <f>'[2]11.mell'!C14</f>
        <v>5817551</v>
      </c>
      <c r="D13" s="432">
        <f>'[2]11.mell'!D14</f>
        <v>47.08129676981029</v>
      </c>
      <c r="E13" s="431">
        <f>'[2]11.mell'!E14</f>
        <v>6538844</v>
      </c>
      <c r="F13" s="432">
        <f>'[2]11.mell'!F14</f>
        <v>52.91870323018971</v>
      </c>
      <c r="G13" s="806">
        <f>'[2]11.mell'!G14</f>
        <v>12356395</v>
      </c>
      <c r="H13" s="807"/>
    </row>
    <row r="14" spans="1:8" ht="23.25" customHeight="1" thickBot="1">
      <c r="A14" s="430" t="str">
        <f>'[2]11.mell'!A15</f>
        <v>2.</v>
      </c>
      <c r="B14" s="430" t="str">
        <f>'[2]11.mell'!B15</f>
        <v>Összesen:</v>
      </c>
      <c r="C14" s="431">
        <f>'[2]11.mell'!C15</f>
        <v>5817551</v>
      </c>
      <c r="D14" s="432">
        <f>'[2]11.mell'!D15</f>
        <v>47.08129676981029</v>
      </c>
      <c r="E14" s="431">
        <f>'[2]11.mell'!E15</f>
        <v>6538844</v>
      </c>
      <c r="F14" s="432">
        <f>'[2]11.mell'!F15</f>
        <v>52.91870323018971</v>
      </c>
      <c r="G14" s="806">
        <f>'[2]11.mell'!G15</f>
        <v>12356395</v>
      </c>
      <c r="H14" s="807"/>
    </row>
  </sheetData>
  <sheetProtection/>
  <mergeCells count="14">
    <mergeCell ref="C11:D11"/>
    <mergeCell ref="B11:B12"/>
    <mergeCell ref="E11:F11"/>
    <mergeCell ref="G11:H11"/>
    <mergeCell ref="G10:H10"/>
    <mergeCell ref="G12:H12"/>
    <mergeCell ref="G13:H13"/>
    <mergeCell ref="G14:H14"/>
    <mergeCell ref="A2:H2"/>
    <mergeCell ref="A5:H5"/>
    <mergeCell ref="A6:H6"/>
    <mergeCell ref="A7:H7"/>
    <mergeCell ref="A8:H8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9"/>
  <sheetViews>
    <sheetView zoomScalePageLayoutView="0" workbookViewId="0" topLeftCell="A43">
      <selection activeCell="A12" sqref="A12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59" customWidth="1"/>
    <col min="4" max="4" width="4.875" style="4" customWidth="1"/>
    <col min="5" max="5" width="16.375" style="59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2:6" ht="15">
      <c r="B1" s="469" t="s">
        <v>495</v>
      </c>
      <c r="C1" s="469"/>
      <c r="D1" s="469"/>
      <c r="E1" s="469"/>
      <c r="F1" s="469"/>
    </row>
    <row r="2" spans="2:6" ht="15">
      <c r="B2" s="106"/>
      <c r="C2" s="106"/>
      <c r="D2" s="106"/>
      <c r="E2" s="106"/>
      <c r="F2" s="106"/>
    </row>
    <row r="3" spans="2:6" s="56" customFormat="1" ht="15.75">
      <c r="B3" s="472"/>
      <c r="C3" s="472"/>
      <c r="D3" s="472"/>
      <c r="E3" s="472"/>
      <c r="F3" s="472"/>
    </row>
    <row r="4" spans="2:6" s="56" customFormat="1" ht="15.75">
      <c r="B4" s="471" t="str">
        <f>'[2]1.mell. -mérleg'!B6</f>
        <v>SITKE KÖZSÉG ÖNKORMÁNYZATA</v>
      </c>
      <c r="C4" s="471"/>
      <c r="D4" s="471"/>
      <c r="E4" s="471"/>
      <c r="F4" s="471"/>
    </row>
    <row r="5" spans="2:6" ht="15.75">
      <c r="B5" s="471" t="str">
        <f>'[2]1.mell. -mérleg'!B7</f>
        <v>BEVÉTELEINEK ÉS KIADÁSAINAK ALAKULÁSA</v>
      </c>
      <c r="C5" s="471"/>
      <c r="D5" s="471"/>
      <c r="E5" s="471"/>
      <c r="F5" s="471"/>
    </row>
    <row r="6" spans="2:6" ht="12.75" customHeight="1">
      <c r="B6" s="470" t="str">
        <f>'[2]1.mell. -mérleg'!B8</f>
        <v>2020. évre</v>
      </c>
      <c r="C6" s="470"/>
      <c r="D6" s="470"/>
      <c r="E6" s="470"/>
      <c r="F6" s="470"/>
    </row>
    <row r="7" spans="2:6" s="1" customFormat="1" ht="15">
      <c r="B7" s="4"/>
      <c r="C7" s="59">
        <f>'[2]1.mell. -mérleg'!C9</f>
        <v>0</v>
      </c>
      <c r="D7" s="4"/>
      <c r="E7" s="53">
        <f>'[2]1.mell. -mérleg'!E9</f>
        <v>0</v>
      </c>
      <c r="F7" s="4"/>
    </row>
    <row r="8" spans="1:5" s="1" customFormat="1" ht="18.75">
      <c r="A8" s="347" t="str">
        <f>'[2]1.mell. -mérleg'!A10</f>
        <v>1.</v>
      </c>
      <c r="B8" s="122" t="str">
        <f>'[2]1.mell. -mérleg'!B10</f>
        <v>BEVÉTELEK:</v>
      </c>
      <c r="C8" s="60">
        <f>'[2]1.mell. -mérleg'!C10</f>
        <v>0</v>
      </c>
      <c r="E8" s="123"/>
    </row>
    <row r="9" spans="1:6" ht="15.75">
      <c r="A9" s="347" t="str">
        <f>'[2]1.mell. -mérleg'!A11</f>
        <v>1.1.</v>
      </c>
      <c r="B9" s="7" t="str">
        <f>'[2]1.mell. -mérleg'!B11</f>
        <v>MŰKÖDÉSI TÁMOGATÁSOK ÁLLAMHÁZTARTÁSON BELÜLRŐL</v>
      </c>
      <c r="C9" s="60">
        <f>'[2]1.mell. -mérleg'!C11</f>
        <v>0</v>
      </c>
      <c r="D9" s="1"/>
      <c r="E9" s="124">
        <f>'[2]1.mell. -mérleg'!E11</f>
        <v>36221665</v>
      </c>
      <c r="F9" s="1" t="str">
        <f>'[2]1.mell. -mérleg'!F11</f>
        <v> Ft</v>
      </c>
    </row>
    <row r="10" spans="1:8" ht="15.75">
      <c r="A10" s="347" t="str">
        <f>'[2]1.mell. -mérleg'!A12</f>
        <v>1.1.1.</v>
      </c>
      <c r="B10" s="125" t="str">
        <f>'[2]1.mell. -mérleg'!B12</f>
        <v> ebből:   Helyi önkormányzatok  működésének  általános támogatása</v>
      </c>
      <c r="C10" s="59">
        <f>'[2]1.mell. -mérleg'!C12</f>
        <v>35872029</v>
      </c>
      <c r="D10" s="4" t="str">
        <f>'[2]1.mell. -mérleg'!D12</f>
        <v>e Ft</v>
      </c>
      <c r="E10" s="53">
        <f>'[2]1.mell. -mérleg'!E12</f>
        <v>0</v>
      </c>
      <c r="H10" s="100"/>
    </row>
    <row r="11" spans="1:6" s="1" customFormat="1" ht="15.75" customHeight="1">
      <c r="A11" s="347" t="str">
        <f>'[2]1.mell. -mérleg'!A13</f>
        <v>1.1.2.</v>
      </c>
      <c r="B11" s="125" t="str">
        <f>'[2]1.mell. -mérleg'!B13</f>
        <v>             Egyéb működési célú támogatások bevételei államháztartáson belülről</v>
      </c>
      <c r="C11" s="59">
        <f>'[2]1.mell. -mérleg'!C13</f>
        <v>349636</v>
      </c>
      <c r="D11" s="4" t="str">
        <f>'[2]1.mell. -mérleg'!D13</f>
        <v>e Ft</v>
      </c>
      <c r="E11" s="53">
        <f>'[2]1.mell. -mérleg'!E13</f>
        <v>0</v>
      </c>
      <c r="F11" s="4"/>
    </row>
    <row r="12" spans="1:5" s="1" customFormat="1" ht="15.75">
      <c r="A12" s="347"/>
      <c r="B12" s="7"/>
      <c r="C12" s="60">
        <f>'[2]1.mell. -mérleg'!C14</f>
        <v>0</v>
      </c>
      <c r="E12" s="124">
        <f>'[2]1.mell. -mérleg'!E14</f>
        <v>0</v>
      </c>
    </row>
    <row r="13" spans="1:6" s="1" customFormat="1" ht="15.75">
      <c r="A13" s="347" t="str">
        <f>'[2]1.mell. -mérleg'!A15</f>
        <v>1.2.</v>
      </c>
      <c r="B13" s="7" t="str">
        <f>'[2]1.mell. -mérleg'!B15</f>
        <v>FELHALMOZÁSI TÁMOGATÁSOK ÁLLAMHÁZTARTÁSON BELÜLRŐL</v>
      </c>
      <c r="C13" s="60">
        <f>'[2]1.mell. -mérleg'!C15</f>
        <v>0</v>
      </c>
      <c r="E13" s="124">
        <f>'[2]1.mell. -mérleg'!E15</f>
        <v>0</v>
      </c>
      <c r="F13" s="1" t="str">
        <f>'[2]1.mell. -mérleg'!F15</f>
        <v> Ft</v>
      </c>
    </row>
    <row r="14" spans="1:5" s="1" customFormat="1" ht="15.75">
      <c r="A14" s="347"/>
      <c r="B14" s="7"/>
      <c r="C14" s="60">
        <f>'[2]1.mell. -mérleg'!C16</f>
        <v>0</v>
      </c>
      <c r="E14" s="124">
        <f>'[2]1.mell. -mérleg'!E16</f>
        <v>0</v>
      </c>
    </row>
    <row r="15" spans="1:6" s="1" customFormat="1" ht="15.75">
      <c r="A15" s="347" t="str">
        <f>'[2]1.mell. -mérleg'!A17</f>
        <v>1.3.</v>
      </c>
      <c r="B15" s="7" t="str">
        <f>'[2]1.mell. -mérleg'!B17</f>
        <v>KÖZHATALMI BEVÉTELEK</v>
      </c>
      <c r="C15" s="60">
        <f>'[2]1.mell. -mérleg'!C17</f>
        <v>0</v>
      </c>
      <c r="E15" s="124">
        <f>'[2]1.mell. -mérleg'!E17</f>
        <v>6128056</v>
      </c>
      <c r="F15" s="1" t="str">
        <f>'[2]1.mell. -mérleg'!F17</f>
        <v> Ft</v>
      </c>
    </row>
    <row r="16" spans="1:8" s="1" customFormat="1" ht="15.75">
      <c r="A16" s="347"/>
      <c r="B16" s="7"/>
      <c r="C16" s="60">
        <f>'[2]1.mell. -mérleg'!C18</f>
        <v>0</v>
      </c>
      <c r="E16" s="124">
        <f>'[2]1.mell. -mérleg'!E18</f>
        <v>0</v>
      </c>
      <c r="H16" s="101"/>
    </row>
    <row r="17" spans="1:6" s="1" customFormat="1" ht="15.75">
      <c r="A17" s="347" t="str">
        <f>'[2]1.mell. -mérleg'!A19</f>
        <v>1.4.</v>
      </c>
      <c r="B17" s="7" t="str">
        <f>'[2]1.mell. -mérleg'!B19</f>
        <v>MŰKÖDÉSI BEVÉTELEK</v>
      </c>
      <c r="C17" s="60">
        <f>'[2]1.mell. -mérleg'!C19</f>
        <v>0</v>
      </c>
      <c r="E17" s="124">
        <f>'[2]1.mell. -mérleg'!E19</f>
        <v>11024170</v>
      </c>
      <c r="F17" s="1" t="str">
        <f>'[2]1.mell. -mérleg'!F19</f>
        <v> Ft</v>
      </c>
    </row>
    <row r="18" spans="1:5" s="1" customFormat="1" ht="15.75">
      <c r="A18" s="347"/>
      <c r="B18" s="8"/>
      <c r="C18" s="61">
        <f>'[2]1.mell. -mérleg'!C20</f>
        <v>0</v>
      </c>
      <c r="E18" s="124">
        <f>'[2]1.mell. -mérleg'!E20</f>
        <v>0</v>
      </c>
    </row>
    <row r="19" spans="1:6" s="1" customFormat="1" ht="15.75">
      <c r="A19" s="347" t="str">
        <f>'[2]1.mell. -mérleg'!A21</f>
        <v>1.5.</v>
      </c>
      <c r="B19" s="7" t="str">
        <f>'[2]1.mell. -mérleg'!B21</f>
        <v>FELHALMOZÁSI BEVÉTELEK</v>
      </c>
      <c r="C19" s="60">
        <f>'[2]1.mell. -mérleg'!C21</f>
        <v>0</v>
      </c>
      <c r="E19" s="124">
        <f>'[2]1.mell. -mérleg'!E21</f>
        <v>121813100</v>
      </c>
      <c r="F19" s="1" t="str">
        <f>'[2]1.mell. -mérleg'!F21</f>
        <v> Ft</v>
      </c>
    </row>
    <row r="20" spans="1:5" s="1" customFormat="1" ht="15.75">
      <c r="A20" s="347"/>
      <c r="B20" s="8"/>
      <c r="C20" s="60">
        <f>'[2]1.mell. -mérleg'!C22</f>
        <v>0</v>
      </c>
      <c r="E20" s="124">
        <f>'[2]1.mell. -mérleg'!E22</f>
        <v>0</v>
      </c>
    </row>
    <row r="21" spans="1:6" s="1" customFormat="1" ht="15.75">
      <c r="A21" s="347" t="str">
        <f>'[2]1.mell. -mérleg'!A23</f>
        <v>1.6.</v>
      </c>
      <c r="B21" s="7" t="str">
        <f>'[2]1.mell. -mérleg'!B23</f>
        <v>MŰKÖDÉSI CÉLÚ ÁTVETT PÉNZESZKÖZÖK</v>
      </c>
      <c r="E21" s="124">
        <f>'[2]1.mell. -mérleg'!E23</f>
        <v>0</v>
      </c>
      <c r="F21" s="1" t="str">
        <f>'[2]1.mell. -mérleg'!F23</f>
        <v> Ft</v>
      </c>
    </row>
    <row r="22" spans="1:8" s="6" customFormat="1" ht="32.25">
      <c r="A22" s="348" t="str">
        <f>'[2]1.mell. -mérleg'!A24</f>
        <v>1.6.1.</v>
      </c>
      <c r="B22" s="125" t="str">
        <f>'[2]1.mell. -mérleg'!B24</f>
        <v> ebből: működési célú visszatérítendő támogatások, kölcsönök visszatérülése államházt.kívülről</v>
      </c>
      <c r="C22" s="61">
        <f>'[2]1.mell. -mérleg'!C24</f>
        <v>0</v>
      </c>
      <c r="D22" s="1" t="str">
        <f>'[2]1.mell. -mérleg'!D24</f>
        <v>e Ft</v>
      </c>
      <c r="E22" s="124">
        <f>'[2]1.mell. -mérleg'!E24</f>
        <v>0</v>
      </c>
      <c r="F22" s="1"/>
      <c r="G22" s="1"/>
      <c r="H22" s="102"/>
    </row>
    <row r="23" spans="1:8" ht="18.75">
      <c r="A23" s="347"/>
      <c r="B23" s="56" t="str">
        <f>'[2]1.mell. -mérleg'!B25</f>
        <v>           Egyéb működési célú átvett pénzeszközök</v>
      </c>
      <c r="C23" s="60">
        <f>'[2]1.mell. -mérleg'!C25</f>
        <v>0</v>
      </c>
      <c r="D23" s="1" t="str">
        <f>'[2]1.mell. -mérleg'!D25</f>
        <v>e Ft</v>
      </c>
      <c r="E23" s="124">
        <f>'[2]1.mell. -mérleg'!E25</f>
        <v>0</v>
      </c>
      <c r="F23" s="1"/>
      <c r="G23" s="6"/>
      <c r="H23" s="103"/>
    </row>
    <row r="24" spans="1:8" s="1" customFormat="1" ht="18.75">
      <c r="A24" s="347"/>
      <c r="B24" s="70"/>
      <c r="C24" s="59">
        <f>'[2]1.mell. -mérleg'!C26</f>
        <v>0</v>
      </c>
      <c r="D24" s="4"/>
      <c r="E24" s="126">
        <f>'[2]1.mell. -mérleg'!E26</f>
        <v>0</v>
      </c>
      <c r="F24" s="6"/>
      <c r="H24" s="104"/>
    </row>
    <row r="25" spans="1:6" s="1" customFormat="1" ht="15.75">
      <c r="A25" s="347" t="str">
        <f>'[2]1.mell. -mérleg'!A27</f>
        <v>1.7.</v>
      </c>
      <c r="B25" s="7" t="str">
        <f>'[2]1.mell. -mérleg'!B27</f>
        <v>FELHALMOZÁSI CÉLÚ ÁTVETT PÉNZESZKÖZÖK</v>
      </c>
      <c r="C25" s="60">
        <f>'[2]1.mell. -mérleg'!C27</f>
        <v>0</v>
      </c>
      <c r="E25" s="124">
        <f>'[2]1.mell. -mérleg'!E27</f>
        <v>8277879</v>
      </c>
      <c r="F25" s="1" t="str">
        <f>'[2]1.mell. -mérleg'!F27</f>
        <v> Ft</v>
      </c>
    </row>
    <row r="26" spans="1:5" s="1" customFormat="1" ht="31.5">
      <c r="A26" s="347" t="str">
        <f>'[2]1.mell. -mérleg'!A28</f>
        <v>1.7.1.</v>
      </c>
      <c r="B26" s="125" t="str">
        <f>'[2]1.mell. -mérleg'!B28</f>
        <v> ebből: felhalmozási célú visszatérítendő támogatások, kölcsönök visszatérülése államházt.kívülről</v>
      </c>
      <c r="C26" s="60">
        <f>'[2]1.mell. -mérleg'!C28</f>
        <v>2277879</v>
      </c>
      <c r="D26" s="1" t="str">
        <f>'[2]1.mell. -mérleg'!D28</f>
        <v>e Ft</v>
      </c>
      <c r="E26" s="124">
        <f>'[2]1.mell. -mérleg'!E28</f>
        <v>0</v>
      </c>
    </row>
    <row r="27" spans="1:5" s="1" customFormat="1" ht="15.75">
      <c r="A27" s="347" t="str">
        <f>'[2]1.mell. -mérleg'!A29</f>
        <v>1.7.2.</v>
      </c>
      <c r="B27" s="56" t="str">
        <f>'[2]1.mell. -mérleg'!B29</f>
        <v>           Egyéb felhalmozási célú átvett pénzeszközök</v>
      </c>
      <c r="C27" s="60">
        <f>'[2]1.mell. -mérleg'!C29</f>
        <v>6000000</v>
      </c>
      <c r="D27" s="1" t="str">
        <f>'[2]1.mell. -mérleg'!D29</f>
        <v>e Ft</v>
      </c>
      <c r="E27" s="124">
        <f>'[2]1.mell. -mérleg'!E29</f>
        <v>0</v>
      </c>
    </row>
    <row r="28" spans="1:5" s="1" customFormat="1" ht="15.75">
      <c r="A28" s="347"/>
      <c r="B28" s="70"/>
      <c r="E28" s="123"/>
    </row>
    <row r="29" spans="1:6" s="1" customFormat="1" ht="15.75">
      <c r="A29" s="347" t="str">
        <f>'[2]1.mell. -mérleg'!A31</f>
        <v>2.</v>
      </c>
      <c r="B29" s="7" t="str">
        <f>'[2]1.mell. -mérleg'!B31</f>
        <v>TÁRGYÉVI BEVÉTELEK ÖSSZESEN:</v>
      </c>
      <c r="E29" s="127">
        <f>'[2]1.mell. -mérleg'!E31</f>
        <v>183464870</v>
      </c>
      <c r="F29" s="1" t="str">
        <f>'[2]1.mell. -mérleg'!F31</f>
        <v> Ft</v>
      </c>
    </row>
    <row r="30" spans="1:5" s="1" customFormat="1" ht="15.75">
      <c r="A30" s="347"/>
      <c r="B30" s="56"/>
      <c r="E30" s="123"/>
    </row>
    <row r="31" spans="1:5" s="1" customFormat="1" ht="18.75">
      <c r="A31" s="347" t="str">
        <f>'[2]1.mell. -mérleg'!A33</f>
        <v>3.</v>
      </c>
      <c r="B31" s="122" t="str">
        <f>'[2]1.mell. -mérleg'!B33</f>
        <v>KIADÁSOK:</v>
      </c>
      <c r="E31" s="123"/>
    </row>
    <row r="32" spans="1:6" s="1" customFormat="1" ht="15.75">
      <c r="A32" s="347" t="str">
        <f>'[2]1.mell. -mérleg'!A34</f>
        <v>3.1.</v>
      </c>
      <c r="B32" s="9" t="str">
        <f>'[2]1.mell. -mérleg'!B34</f>
        <v>MŰKÖDÉSI KIADÁSOK</v>
      </c>
      <c r="C32" s="60">
        <f>'[2]1.mell. -mérleg'!C34</f>
        <v>0</v>
      </c>
      <c r="E32" s="124">
        <f>'[2]1.mell. -mérleg'!E34</f>
        <v>89583593</v>
      </c>
      <c r="F32" s="1" t="str">
        <f>'[2]1.mell. -mérleg'!F34</f>
        <v> Ft</v>
      </c>
    </row>
    <row r="33" spans="1:5" s="1" customFormat="1" ht="15.75">
      <c r="A33" s="347">
        <f>'[2]1.mell. -mérleg'!A35</f>
        <v>0</v>
      </c>
      <c r="B33" s="8" t="str">
        <f>'[2]1.mell. -mérleg'!B35</f>
        <v> ebből:</v>
      </c>
      <c r="C33" s="60">
        <f>'[2]1.mell. -mérleg'!C35</f>
        <v>0</v>
      </c>
      <c r="E33" s="124">
        <f>'[2]1.mell. -mérleg'!E35</f>
        <v>0</v>
      </c>
    </row>
    <row r="34" spans="1:5" s="1" customFormat="1" ht="15.75">
      <c r="A34" s="347" t="str">
        <f>'[2]1.mell. -mérleg'!A36</f>
        <v>3.1.1.</v>
      </c>
      <c r="B34" s="56" t="str">
        <f>'[2]1.mell. -mérleg'!B36</f>
        <v>       - Személyi juttatások</v>
      </c>
      <c r="C34" s="60">
        <f>'[2]1.mell. -mérleg'!C36</f>
        <v>24955551</v>
      </c>
      <c r="D34" s="1" t="str">
        <f>'[2]1.mell. -mérleg'!D36</f>
        <v> Ft</v>
      </c>
      <c r="E34" s="124">
        <f>'[2]1.mell. -mérleg'!E36</f>
        <v>0</v>
      </c>
    </row>
    <row r="35" spans="1:5" s="1" customFormat="1" ht="15.75">
      <c r="A35" s="347" t="str">
        <f>'[2]1.mell. -mérleg'!A37</f>
        <v>3.1.2</v>
      </c>
      <c r="B35" s="56" t="str">
        <f>'[2]1.mell. -mérleg'!B37</f>
        <v>       - Munkáltatót terhelő járulékok</v>
      </c>
      <c r="C35" s="60">
        <f>'[2]1.mell. -mérleg'!C37</f>
        <v>4359973</v>
      </c>
      <c r="D35" s="1" t="str">
        <f>'[2]1.mell. -mérleg'!D37</f>
        <v> Ft</v>
      </c>
      <c r="E35" s="124">
        <f>'[2]1.mell. -mérleg'!E37</f>
        <v>0</v>
      </c>
    </row>
    <row r="36" spans="1:5" s="1" customFormat="1" ht="15.75">
      <c r="A36" s="347" t="str">
        <f>'[2]1.mell. -mérleg'!A38</f>
        <v>3.1.3.</v>
      </c>
      <c r="B36" s="56" t="str">
        <f>'[2]1.mell. -mérleg'!B38</f>
        <v>       - Dologi kiadások</v>
      </c>
      <c r="C36" s="60">
        <f>'[2]1.mell. -mérleg'!C38</f>
        <v>31593596</v>
      </c>
      <c r="D36" s="1" t="str">
        <f>'[2]1.mell. -mérleg'!D38</f>
        <v> Ft</v>
      </c>
      <c r="E36" s="124">
        <f>'[2]1.mell. -mérleg'!E38</f>
        <v>0</v>
      </c>
    </row>
    <row r="37" spans="1:5" s="1" customFormat="1" ht="15.75">
      <c r="A37" s="347" t="str">
        <f>'[2]1.mell. -mérleg'!A39</f>
        <v>3.1.4.</v>
      </c>
      <c r="B37" s="128" t="str">
        <f>'[2]1.mell. -mérleg'!B39</f>
        <v>       - Ellátottak juttatásai</v>
      </c>
      <c r="C37" s="60">
        <f>'[2]1.mell. -mérleg'!C39</f>
        <v>2700000</v>
      </c>
      <c r="D37" s="1" t="str">
        <f>'[2]1.mell. -mérleg'!D39</f>
        <v> Ft</v>
      </c>
      <c r="E37" s="124">
        <f>'[2]1.mell. -mérleg'!E39</f>
        <v>0</v>
      </c>
    </row>
    <row r="38" spans="1:5" s="1" customFormat="1" ht="15.75">
      <c r="A38" s="347" t="str">
        <f>'[2]1.mell. -mérleg'!A40</f>
        <v>3.1.5.</v>
      </c>
      <c r="B38" s="56" t="str">
        <f>'[2]1.mell. -mérleg'!B40</f>
        <v>       - egyéb működési kiadások</v>
      </c>
      <c r="C38" s="60">
        <f>'[2]1.mell. -mérleg'!C40</f>
        <v>2570200</v>
      </c>
      <c r="D38" s="1" t="str">
        <f>'[2]1.mell. -mérleg'!D40</f>
        <v> Ft</v>
      </c>
      <c r="E38" s="124">
        <f>'[2]1.mell. -mérleg'!E40</f>
        <v>0</v>
      </c>
    </row>
    <row r="39" spans="1:5" s="1" customFormat="1" ht="15.75">
      <c r="A39" s="347" t="str">
        <f>'[2]1.mell. -mérleg'!A41</f>
        <v>3.1.6.</v>
      </c>
      <c r="B39" s="56" t="str">
        <f>'[2]1.mell. -mérleg'!B41</f>
        <v>       - Általános tartalék</v>
      </c>
      <c r="C39" s="61">
        <f>'[2]1.mell. -mérleg'!C41</f>
        <v>23404273</v>
      </c>
      <c r="D39" s="1" t="str">
        <f>'[2]1.mell. -mérleg'!D41</f>
        <v>Ft</v>
      </c>
      <c r="E39" s="124">
        <f>'[2]1.mell. -mérleg'!E41</f>
        <v>0</v>
      </c>
    </row>
    <row r="40" spans="1:6" s="1" customFormat="1" ht="15.75">
      <c r="A40" s="347" t="str">
        <f>'[2]1.mell. -mérleg'!A42</f>
        <v>3.2</v>
      </c>
      <c r="B40" s="9" t="str">
        <f>'[2]1.mell. -mérleg'!B42</f>
        <v>FELHALMOZÁSI KIADÁSOK</v>
      </c>
      <c r="C40" s="60">
        <f>'[2]1.mell. -mérleg'!C42</f>
        <v>0</v>
      </c>
      <c r="E40" s="129">
        <f>'[2]1.mell. -mérleg'!E42</f>
        <v>214108080</v>
      </c>
      <c r="F40" s="1" t="str">
        <f>'[2]1.mell. -mérleg'!F42</f>
        <v> Ft</v>
      </c>
    </row>
    <row r="41" spans="1:5" s="1" customFormat="1" ht="15.75">
      <c r="A41" s="347"/>
      <c r="B41" s="8" t="str">
        <f>'[2]1.mell. -mérleg'!B43</f>
        <v> ebből:</v>
      </c>
      <c r="C41" s="60">
        <f>'[2]1.mell. -mérleg'!C43</f>
        <v>0</v>
      </c>
      <c r="E41" s="124">
        <f>'[2]1.mell. -mérleg'!E43</f>
        <v>0</v>
      </c>
    </row>
    <row r="42" spans="1:5" s="1" customFormat="1" ht="15.75">
      <c r="A42" s="347" t="str">
        <f>'[2]1.mell. -mérleg'!A44</f>
        <v>3.2.1.</v>
      </c>
      <c r="B42" s="56" t="str">
        <f>'[2]1.mell. -mérleg'!B44</f>
        <v>       - Beruházások</v>
      </c>
      <c r="C42" s="61">
        <f>'[2]1.mell. -mérleg'!C44</f>
        <v>127528307</v>
      </c>
      <c r="D42" s="1" t="str">
        <f>'[2]1.mell. -mérleg'!D44</f>
        <v> Ft</v>
      </c>
      <c r="E42" s="124">
        <f>'[2]1.mell. -mérleg'!E44</f>
        <v>0</v>
      </c>
    </row>
    <row r="43" spans="1:5" s="1" customFormat="1" ht="15.75">
      <c r="A43" s="347" t="str">
        <f>'[2]1.mell. -mérleg'!A45</f>
        <v>3.2.2.</v>
      </c>
      <c r="B43" s="56" t="str">
        <f>'[2]1.mell. -mérleg'!B45</f>
        <v>       - Felújítások</v>
      </c>
      <c r="C43" s="61">
        <f>'[2]1.mell. -mérleg'!C45</f>
        <v>82976200</v>
      </c>
      <c r="D43" s="1" t="str">
        <f>'[2]1.mell. -mérleg'!D45</f>
        <v> Ft</v>
      </c>
      <c r="E43" s="124">
        <f>'[2]1.mell. -mérleg'!E45</f>
        <v>0</v>
      </c>
    </row>
    <row r="44" spans="1:7" ht="13.5" customHeight="1">
      <c r="A44" s="347" t="str">
        <f>'[2]1.mell. -mérleg'!A46</f>
        <v>3.2.3</v>
      </c>
      <c r="B44" s="56" t="str">
        <f>'[2]1.mell. -mérleg'!B46</f>
        <v>       - egyéb felhalmozási kiadások</v>
      </c>
      <c r="C44" s="61">
        <f>'[2]1.mell. -mérleg'!C46</f>
        <v>3603573</v>
      </c>
      <c r="D44" s="1" t="str">
        <f>'[2]1.mell. -mérleg'!D46</f>
        <v> Ft</v>
      </c>
      <c r="E44" s="124">
        <f>'[2]1.mell. -mérleg'!E46</f>
        <v>0</v>
      </c>
      <c r="F44" s="1"/>
      <c r="G44" s="1"/>
    </row>
    <row r="45" spans="1:6" s="1" customFormat="1" ht="7.5" customHeight="1" hidden="1">
      <c r="A45" s="1">
        <f>'[2]1.mell. -mérleg'!A47</f>
        <v>0</v>
      </c>
      <c r="B45" s="1">
        <f>'[2]1.mell. -mérleg'!B47</f>
        <v>0</v>
      </c>
      <c r="C45" s="1">
        <f>'[2]1.mell. -mérleg'!C47</f>
        <v>0</v>
      </c>
      <c r="D45" s="1">
        <f>'[2]1.mell. -mérleg'!D47</f>
        <v>0</v>
      </c>
      <c r="E45" s="124">
        <f>'[2]1.mell. -mérleg'!E47</f>
        <v>0</v>
      </c>
      <c r="F45" s="1">
        <f>'[2]1.mell. -mérleg'!F47</f>
        <v>0</v>
      </c>
    </row>
    <row r="46" spans="1:6" s="1" customFormat="1" ht="15.75">
      <c r="A46" s="347" t="str">
        <f>'[2]1.mell. -mérleg'!A48</f>
        <v>4.</v>
      </c>
      <c r="B46" s="18" t="str">
        <f>'[2]1.mell. -mérleg'!B48</f>
        <v>FINANSZÍROZÁSI KIADÁSOK</v>
      </c>
      <c r="C46" s="61">
        <f>'[2]1.mell. -mérleg'!C48</f>
        <v>0</v>
      </c>
      <c r="E46" s="124">
        <f>'[2]1.mell. -mérleg'!E48</f>
        <v>1449359</v>
      </c>
      <c r="F46" s="1" t="str">
        <f>'[2]1.mell. -mérleg'!F48</f>
        <v> Ft</v>
      </c>
    </row>
    <row r="47" spans="1:5" s="1" customFormat="1" ht="15.75">
      <c r="A47" s="347" t="str">
        <f>'[2]1.mell. -mérleg'!A49</f>
        <v>4.1.</v>
      </c>
      <c r="B47" s="56" t="str">
        <f>'[2]1.mell. -mérleg'!B49</f>
        <v> ebből: fejlesztési célú hitelek törlesztése</v>
      </c>
      <c r="C47" s="60">
        <f>'[2]1.mell. -mérleg'!C49</f>
        <v>0</v>
      </c>
      <c r="D47" s="1" t="str">
        <f>'[2]1.mell. -mérleg'!D49</f>
        <v> Ft</v>
      </c>
      <c r="E47" s="124">
        <f>'[2]1.mell. -mérleg'!E49</f>
        <v>0</v>
      </c>
    </row>
    <row r="48" spans="1:7" s="6" customFormat="1" ht="18.75">
      <c r="A48" s="349" t="str">
        <f>'[2]1.mell. -mérleg'!A50</f>
        <v>4.2.</v>
      </c>
      <c r="B48" s="56" t="str">
        <f>'[2]1.mell. -mérleg'!B50</f>
        <v>           befektetési célú részesedések vásárlása</v>
      </c>
      <c r="C48" s="60">
        <f>'[2]1.mell. -mérleg'!C50</f>
        <v>0</v>
      </c>
      <c r="D48" s="1" t="str">
        <f>'[2]1.mell. -mérleg'!D50</f>
        <v> Ft</v>
      </c>
      <c r="E48" s="124">
        <f>'[2]1.mell. -mérleg'!E50</f>
        <v>0</v>
      </c>
      <c r="F48" s="1"/>
      <c r="G48" s="4"/>
    </row>
    <row r="49" spans="1:7" ht="15.75">
      <c r="A49" s="347" t="str">
        <f>'[2]1.mell. -mérleg'!A51</f>
        <v>4.3.</v>
      </c>
      <c r="B49" s="56" t="str">
        <f>'[2]1.mell. -mérleg'!B51</f>
        <v>          Áht-n belüli megelőlegezések visszafizetése</v>
      </c>
      <c r="C49" s="61">
        <f>'[2]1.mell. -mérleg'!C51</f>
        <v>1449359</v>
      </c>
      <c r="D49" s="1" t="str">
        <f>'[2]1.mell. -mérleg'!D51</f>
        <v> Ft</v>
      </c>
      <c r="E49" s="124">
        <f>'[2]1.mell. -mérleg'!E51</f>
        <v>0</v>
      </c>
      <c r="F49" s="1"/>
      <c r="G49" s="1"/>
    </row>
    <row r="50" spans="1:7" ht="15.75">
      <c r="A50" s="347" t="str">
        <f>'[2]1.mell. -mérleg'!A52</f>
        <v>5.</v>
      </c>
      <c r="B50" s="7" t="str">
        <f>'[2]1.mell. -mérleg'!B52</f>
        <v>TÁRGYÉVI KIADÁSOK ÖSSZESEN:</v>
      </c>
      <c r="C50" s="61">
        <f>'[2]1.mell. -mérleg'!C52</f>
        <v>0</v>
      </c>
      <c r="D50" s="1"/>
      <c r="E50" s="53">
        <f>'[2]1.mell. -mérleg'!E52</f>
        <v>305141032</v>
      </c>
      <c r="F50" s="4" t="str">
        <f>'[2]1.mell. -mérleg'!F52</f>
        <v> Ft</v>
      </c>
      <c r="G50" s="1"/>
    </row>
    <row r="51" spans="1:7" ht="15.75">
      <c r="A51" s="347"/>
      <c r="B51" s="56"/>
      <c r="C51" s="60">
        <f>'[2]1.mell. -mérleg'!C53</f>
        <v>0</v>
      </c>
      <c r="D51" s="1"/>
      <c r="E51" s="129">
        <f>'[2]1.mell. -mérleg'!E53</f>
        <v>0</v>
      </c>
      <c r="F51" s="1"/>
      <c r="G51" s="1"/>
    </row>
    <row r="52" spans="1:7" ht="18.75">
      <c r="A52" s="347" t="str">
        <f>'[2]1.mell. -mérleg'!A54</f>
        <v>6.</v>
      </c>
      <c r="B52" s="7" t="str">
        <f>'[2]1.mell. -mérleg'!B54</f>
        <v>TÁRGYÉVI BEVÉTELEK ÉS KIADÁSOK EGYENLEGE:</v>
      </c>
      <c r="C52" s="60">
        <f>'[2]1.mell. -mérleg'!C54</f>
        <v>0</v>
      </c>
      <c r="D52" s="1"/>
      <c r="E52" s="53">
        <f>'[2]1.mell. -mérleg'!E54</f>
        <v>-121676162</v>
      </c>
      <c r="F52" s="4" t="str">
        <f>'[2]1.mell. -mérleg'!F54</f>
        <v> Ft</v>
      </c>
      <c r="G52" s="6"/>
    </row>
    <row r="53" spans="1:5" ht="15.75">
      <c r="A53" s="347"/>
      <c r="B53" s="56"/>
      <c r="C53" s="60">
        <f>'[2]1.mell. -mérleg'!C55</f>
        <v>0</v>
      </c>
      <c r="D53" s="1"/>
      <c r="E53" s="53">
        <f>'[2]1.mell. -mérleg'!E55</f>
        <v>0</v>
      </c>
    </row>
    <row r="54" spans="1:6" ht="32.25">
      <c r="A54" s="347" t="str">
        <f>'[2]1.mell. -mérleg'!A56</f>
        <v>7.</v>
      </c>
      <c r="B54" s="117" t="str">
        <f>'[2]1.mell. -mérleg'!B56</f>
        <v>ELŐZŐ ÉVEK KÖLTSÉGVETÉSI MARADVÁNY IGÉNYBEVÉTELE </v>
      </c>
      <c r="C54" s="62">
        <f>'[2]1.mell. -mérleg'!C56</f>
        <v>0</v>
      </c>
      <c r="D54" s="6"/>
      <c r="E54" s="53">
        <f>'[2]1.mell. -mérleg'!E56</f>
        <v>120226803</v>
      </c>
      <c r="F54" s="4" t="str">
        <f>'[2]1.mell. -mérleg'!F56</f>
        <v> Ft</v>
      </c>
    </row>
    <row r="55" spans="1:7" s="1" customFormat="1" ht="15.75">
      <c r="A55" s="347" t="str">
        <f>'[2]1.mell. -mérleg'!A57</f>
        <v>8.</v>
      </c>
      <c r="B55" s="21" t="str">
        <f>'[2]1.mell. -mérleg'!B57</f>
        <v>2019.ÉVBEN MEGELŐLEGEZETT ÁLLAMI TÁMOGATÁS</v>
      </c>
      <c r="C55" s="59">
        <f>'[2]1.mell. -mérleg'!C57</f>
        <v>0</v>
      </c>
      <c r="D55" s="4"/>
      <c r="E55" s="53">
        <f>'[2]1.mell. -mérleg'!E57</f>
        <v>1449359</v>
      </c>
      <c r="F55" s="4" t="str">
        <f>'[2]1.mell. -mérleg'!F57</f>
        <v>Ft</v>
      </c>
      <c r="G55" s="4"/>
    </row>
    <row r="56" spans="1:6" ht="15.75">
      <c r="A56" s="350" t="str">
        <f>'[2]1.mell. -mérleg'!A58</f>
        <v>9.</v>
      </c>
      <c r="B56" s="7" t="str">
        <f>'[2]1.mell. -mérleg'!B58</f>
        <v>TÁRGYÉVI KÖLTSÉGVETÉS EGYENLEGE</v>
      </c>
      <c r="C56" s="59">
        <f>'[2]1.mell. -mérleg'!C58</f>
        <v>0</v>
      </c>
      <c r="E56" s="53">
        <f>'[2]1.mell. -mérleg'!E58</f>
        <v>0</v>
      </c>
      <c r="F56" s="4" t="str">
        <f>'[2]1.mell. -mérleg'!F58</f>
        <v> Ft</v>
      </c>
    </row>
    <row r="57" spans="2:5" s="1" customFormat="1" ht="10.5" customHeight="1">
      <c r="B57" s="5"/>
      <c r="C57" s="60"/>
      <c r="E57" s="24"/>
    </row>
    <row r="58" spans="2:6" ht="15.75">
      <c r="B58" s="5"/>
      <c r="C58" s="60"/>
      <c r="D58" s="1"/>
      <c r="E58" s="24"/>
      <c r="F58" s="7"/>
    </row>
    <row r="59" spans="2:6" ht="15.75">
      <c r="B59" s="7"/>
      <c r="E59" s="25"/>
      <c r="F59" s="7"/>
    </row>
  </sheetData>
  <sheetProtection/>
  <mergeCells count="5">
    <mergeCell ref="B1:F1"/>
    <mergeCell ref="B6:F6"/>
    <mergeCell ref="B4:F4"/>
    <mergeCell ref="B3:F3"/>
    <mergeCell ref="B5:F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0"/>
  <sheetViews>
    <sheetView zoomScalePageLayoutView="0" workbookViewId="0" topLeftCell="A109">
      <selection activeCell="D34" sqref="D34:F34"/>
    </sheetView>
  </sheetViews>
  <sheetFormatPr defaultColWidth="9.00390625" defaultRowHeight="12.75"/>
  <cols>
    <col min="1" max="1" width="4.25390625" style="69" customWidth="1"/>
    <col min="2" max="5" width="3.125" style="67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469" t="s">
        <v>496</v>
      </c>
      <c r="B1" s="469"/>
      <c r="C1" s="469"/>
      <c r="D1" s="469"/>
      <c r="E1" s="469"/>
      <c r="F1" s="469"/>
      <c r="G1" s="469"/>
      <c r="H1" s="469"/>
      <c r="I1" s="469"/>
    </row>
    <row r="2" spans="1:9" s="9" customFormat="1" ht="15.75">
      <c r="A2" s="494" t="s">
        <v>4</v>
      </c>
      <c r="B2" s="494"/>
      <c r="C2" s="494"/>
      <c r="D2" s="494"/>
      <c r="E2" s="494"/>
      <c r="F2" s="494"/>
      <c r="G2" s="494"/>
      <c r="H2" s="494"/>
      <c r="I2" s="494"/>
    </row>
    <row r="3" spans="1:9" s="9" customFormat="1" ht="15.75">
      <c r="A3" s="494" t="s">
        <v>33</v>
      </c>
      <c r="B3" s="494"/>
      <c r="C3" s="494"/>
      <c r="D3" s="494"/>
      <c r="E3" s="494"/>
      <c r="F3" s="494"/>
      <c r="G3" s="494"/>
      <c r="H3" s="494"/>
      <c r="I3" s="494"/>
    </row>
    <row r="4" spans="1:9" ht="15.75">
      <c r="A4" s="494" t="s">
        <v>477</v>
      </c>
      <c r="B4" s="494"/>
      <c r="C4" s="494"/>
      <c r="D4" s="494"/>
      <c r="E4" s="494"/>
      <c r="F4" s="494"/>
      <c r="G4" s="494"/>
      <c r="H4" s="494"/>
      <c r="I4" s="494"/>
    </row>
    <row r="5" ht="15.75" customHeight="1" hidden="1"/>
    <row r="6" spans="1:9" ht="15.75">
      <c r="A6" s="484"/>
      <c r="B6" s="484"/>
      <c r="C6" s="484"/>
      <c r="D6" s="484"/>
      <c r="E6" s="484"/>
      <c r="F6" s="484"/>
      <c r="G6" s="484"/>
      <c r="H6" s="484"/>
      <c r="I6" s="484"/>
    </row>
    <row r="7" spans="1:9" s="67" customFormat="1" ht="19.5" customHeight="1" thickBot="1">
      <c r="A7" s="69"/>
      <c r="F7" s="8"/>
      <c r="G7" s="8"/>
      <c r="H7" s="71"/>
      <c r="I7" s="72" t="s">
        <v>388</v>
      </c>
    </row>
    <row r="8" spans="1:9" ht="19.5" customHeight="1">
      <c r="A8" s="485" t="s">
        <v>17</v>
      </c>
      <c r="B8" s="486"/>
      <c r="C8" s="486"/>
      <c r="D8" s="486"/>
      <c r="E8" s="486"/>
      <c r="F8" s="487"/>
      <c r="G8" s="73" t="s">
        <v>15</v>
      </c>
      <c r="H8" s="73" t="s">
        <v>15</v>
      </c>
      <c r="I8" s="73" t="s">
        <v>16</v>
      </c>
    </row>
    <row r="9" spans="1:9" ht="19.5" customHeight="1">
      <c r="A9" s="488"/>
      <c r="B9" s="489"/>
      <c r="C9" s="489"/>
      <c r="D9" s="489"/>
      <c r="E9" s="489"/>
      <c r="F9" s="490"/>
      <c r="G9" s="74" t="s">
        <v>9</v>
      </c>
      <c r="H9" s="74" t="s">
        <v>9</v>
      </c>
      <c r="I9" s="74"/>
    </row>
    <row r="10" spans="1:9" ht="19.5" customHeight="1" thickBot="1">
      <c r="A10" s="491"/>
      <c r="B10" s="492"/>
      <c r="C10" s="492"/>
      <c r="D10" s="492"/>
      <c r="E10" s="492"/>
      <c r="F10" s="493"/>
      <c r="G10" s="75" t="s">
        <v>461</v>
      </c>
      <c r="H10" s="75" t="s">
        <v>477</v>
      </c>
      <c r="I10" s="75" t="s">
        <v>18</v>
      </c>
    </row>
    <row r="11" spans="1:9" ht="6.75" customHeight="1">
      <c r="A11" s="295"/>
      <c r="B11" s="295"/>
      <c r="C11" s="295"/>
      <c r="D11" s="295"/>
      <c r="E11" s="295"/>
      <c r="F11" s="295"/>
      <c r="G11" s="295"/>
      <c r="H11" s="295"/>
      <c r="I11" s="295"/>
    </row>
    <row r="12" spans="1:9" ht="15.75" customHeight="1">
      <c r="A12" s="18" t="s">
        <v>42</v>
      </c>
      <c r="B12" s="476" t="s">
        <v>73</v>
      </c>
      <c r="C12" s="476"/>
      <c r="D12" s="476"/>
      <c r="E12" s="476"/>
      <c r="F12" s="476"/>
      <c r="G12" s="108"/>
      <c r="H12" s="109"/>
      <c r="I12" s="108"/>
    </row>
    <row r="13" spans="1:9" ht="15.75">
      <c r="A13" s="18"/>
      <c r="B13" s="18" t="s">
        <v>42</v>
      </c>
      <c r="C13" s="18" t="s">
        <v>74</v>
      </c>
      <c r="D13" s="18"/>
      <c r="E13" s="18"/>
      <c r="F13" s="18"/>
      <c r="G13" s="51"/>
      <c r="H13" s="51"/>
      <c r="I13" s="18"/>
    </row>
    <row r="14" spans="1:9" ht="18" customHeight="1">
      <c r="A14" s="18"/>
      <c r="B14" s="18"/>
      <c r="C14" s="18" t="s">
        <v>39</v>
      </c>
      <c r="D14" s="476" t="s">
        <v>75</v>
      </c>
      <c r="E14" s="476"/>
      <c r="F14" s="476"/>
      <c r="G14" s="109"/>
      <c r="H14" s="109"/>
      <c r="I14" s="108"/>
    </row>
    <row r="15" spans="1:9" ht="21.75" customHeight="1">
      <c r="A15" s="18"/>
      <c r="B15" s="18"/>
      <c r="C15" s="18"/>
      <c r="D15" s="18" t="s">
        <v>39</v>
      </c>
      <c r="E15" s="476" t="s">
        <v>76</v>
      </c>
      <c r="F15" s="476"/>
      <c r="G15" s="109"/>
      <c r="H15" s="109"/>
      <c r="I15" s="108"/>
    </row>
    <row r="16" spans="1:9" ht="15.75">
      <c r="A16" s="21"/>
      <c r="B16" s="21"/>
      <c r="C16" s="21"/>
      <c r="D16" s="21"/>
      <c r="E16" s="21" t="s">
        <v>49</v>
      </c>
      <c r="F16" s="21" t="s">
        <v>43</v>
      </c>
      <c r="G16" s="50"/>
      <c r="H16" s="50"/>
      <c r="I16" s="110"/>
    </row>
    <row r="17" spans="1:9" ht="17.25" customHeight="1">
      <c r="A17" s="21"/>
      <c r="B17" s="21"/>
      <c r="C17" s="21"/>
      <c r="D17" s="21"/>
      <c r="E17" s="21"/>
      <c r="F17" s="21" t="s">
        <v>77</v>
      </c>
      <c r="G17" s="50"/>
      <c r="I17" s="110"/>
    </row>
    <row r="18" spans="1:9" ht="17.25" customHeight="1">
      <c r="A18" s="21"/>
      <c r="B18" s="21"/>
      <c r="C18" s="21"/>
      <c r="D18" s="21"/>
      <c r="E18" s="21" t="s">
        <v>50</v>
      </c>
      <c r="F18" s="111" t="s">
        <v>44</v>
      </c>
      <c r="G18" s="112"/>
      <c r="I18" s="110"/>
    </row>
    <row r="19" spans="1:9" ht="36.75" customHeight="1">
      <c r="A19" s="21"/>
      <c r="B19" s="21"/>
      <c r="C19" s="21"/>
      <c r="D19" s="21"/>
      <c r="E19" s="21" t="s">
        <v>78</v>
      </c>
      <c r="F19" s="111" t="s">
        <v>79</v>
      </c>
      <c r="G19" s="310">
        <f>2553350</f>
        <v>2553350</v>
      </c>
      <c r="H19" s="310">
        <v>2885400</v>
      </c>
      <c r="I19" s="110">
        <f>H19/G19*100</f>
        <v>113.00448430493273</v>
      </c>
    </row>
    <row r="20" spans="1:9" ht="15.75">
      <c r="A20" s="21"/>
      <c r="B20" s="21"/>
      <c r="C20" s="21"/>
      <c r="D20" s="21"/>
      <c r="E20" s="21"/>
      <c r="F20" s="21" t="s">
        <v>77</v>
      </c>
      <c r="G20" s="310"/>
      <c r="H20" s="310"/>
      <c r="I20" s="110"/>
    </row>
    <row r="21" spans="1:9" ht="15.75">
      <c r="A21" s="21"/>
      <c r="B21" s="21"/>
      <c r="C21" s="21"/>
      <c r="D21" s="21"/>
      <c r="E21" s="21" t="s">
        <v>80</v>
      </c>
      <c r="F21" s="111" t="s">
        <v>81</v>
      </c>
      <c r="G21" s="310">
        <v>3072000</v>
      </c>
      <c r="H21" s="310">
        <v>3072000</v>
      </c>
      <c r="I21" s="110">
        <f>H21/G21*100</f>
        <v>100</v>
      </c>
    </row>
    <row r="22" spans="1:9" ht="15.75">
      <c r="A22" s="21"/>
      <c r="B22" s="21"/>
      <c r="C22" s="21"/>
      <c r="D22" s="21"/>
      <c r="E22" s="21"/>
      <c r="F22" s="21" t="s">
        <v>77</v>
      </c>
      <c r="G22" s="310"/>
      <c r="H22" s="310"/>
      <c r="I22" s="110"/>
    </row>
    <row r="23" spans="1:9" ht="17.25" customHeight="1">
      <c r="A23" s="21"/>
      <c r="B23" s="21"/>
      <c r="C23" s="21"/>
      <c r="D23" s="21"/>
      <c r="E23" s="21" t="s">
        <v>82</v>
      </c>
      <c r="F23" s="111" t="s">
        <v>83</v>
      </c>
      <c r="G23" s="310">
        <v>100000</v>
      </c>
      <c r="H23" s="310">
        <v>100000</v>
      </c>
      <c r="I23" s="110">
        <f>H23/G23*100</f>
        <v>100</v>
      </c>
    </row>
    <row r="24" spans="1:9" ht="15.75">
      <c r="A24" s="21"/>
      <c r="B24" s="21"/>
      <c r="C24" s="21"/>
      <c r="D24" s="21"/>
      <c r="E24" s="21"/>
      <c r="F24" s="21" t="s">
        <v>77</v>
      </c>
      <c r="G24" s="310"/>
      <c r="H24" s="310"/>
      <c r="I24" s="110"/>
    </row>
    <row r="25" spans="1:9" ht="15.75">
      <c r="A25" s="21"/>
      <c r="B25" s="21"/>
      <c r="C25" s="21"/>
      <c r="D25" s="21"/>
      <c r="E25" s="21" t="s">
        <v>84</v>
      </c>
      <c r="F25" s="111" t="s">
        <v>85</v>
      </c>
      <c r="G25" s="310">
        <v>7506890</v>
      </c>
      <c r="H25" s="310">
        <v>7416090</v>
      </c>
      <c r="I25" s="110">
        <f>H25/G25*100</f>
        <v>98.79044451164198</v>
      </c>
    </row>
    <row r="26" spans="1:9" s="57" customFormat="1" ht="15.75">
      <c r="A26" s="21"/>
      <c r="B26" s="21"/>
      <c r="C26" s="21"/>
      <c r="D26" s="21"/>
      <c r="E26" s="21"/>
      <c r="F26" s="21" t="s">
        <v>77</v>
      </c>
      <c r="G26" s="311"/>
      <c r="H26" s="311"/>
      <c r="I26" s="110"/>
    </row>
    <row r="27" spans="1:9" ht="15.75">
      <c r="A27" s="21"/>
      <c r="B27" s="21"/>
      <c r="C27" s="21"/>
      <c r="D27" s="21" t="s">
        <v>51</v>
      </c>
      <c r="E27" s="21" t="s">
        <v>86</v>
      </c>
      <c r="F27" s="21"/>
      <c r="G27" s="310">
        <v>5000000</v>
      </c>
      <c r="H27" s="310">
        <v>5000000</v>
      </c>
      <c r="I27" s="110">
        <f>H27/G27*100</f>
        <v>100</v>
      </c>
    </row>
    <row r="28" spans="1:9" ht="15.75">
      <c r="A28" s="21"/>
      <c r="B28" s="21"/>
      <c r="C28" s="21"/>
      <c r="D28" s="21"/>
      <c r="E28" s="21"/>
      <c r="F28" s="21" t="s">
        <v>77</v>
      </c>
      <c r="G28" s="310"/>
      <c r="H28" s="310"/>
      <c r="I28" s="110"/>
    </row>
    <row r="29" spans="1:9" ht="15.75">
      <c r="A29" s="21"/>
      <c r="B29" s="21"/>
      <c r="C29" s="21"/>
      <c r="D29" s="21"/>
      <c r="E29" s="21" t="s">
        <v>389</v>
      </c>
      <c r="F29" s="21"/>
      <c r="G29" s="310"/>
      <c r="H29" s="310">
        <v>4231957</v>
      </c>
      <c r="I29" s="110"/>
    </row>
    <row r="30" spans="1:9" ht="15.75">
      <c r="A30" s="21"/>
      <c r="B30" s="21"/>
      <c r="C30" s="21"/>
      <c r="D30" s="21" t="s">
        <v>52</v>
      </c>
      <c r="E30" s="21" t="s">
        <v>139</v>
      </c>
      <c r="F30" s="21"/>
      <c r="G30" s="310">
        <v>17850</v>
      </c>
      <c r="H30" s="310">
        <v>17850</v>
      </c>
      <c r="I30" s="110">
        <f>H30/G30*100</f>
        <v>100</v>
      </c>
    </row>
    <row r="31" spans="1:9" ht="15.75">
      <c r="A31" s="21"/>
      <c r="B31" s="21"/>
      <c r="C31" s="21"/>
      <c r="D31" s="21" t="s">
        <v>140</v>
      </c>
      <c r="E31" s="21" t="s">
        <v>99</v>
      </c>
      <c r="F31" s="21"/>
      <c r="G31" s="310">
        <v>423800</v>
      </c>
      <c r="H31" s="310">
        <f>525200-417779</f>
        <v>107421</v>
      </c>
      <c r="I31" s="110">
        <f>H31/G31*100</f>
        <v>25.347097687588484</v>
      </c>
    </row>
    <row r="32" spans="1:9" ht="15.75" customHeight="1">
      <c r="A32" s="21"/>
      <c r="B32" s="21"/>
      <c r="C32" s="21" t="s">
        <v>22</v>
      </c>
      <c r="D32" s="477" t="s">
        <v>87</v>
      </c>
      <c r="E32" s="477"/>
      <c r="F32" s="477"/>
      <c r="G32" s="310">
        <v>3000</v>
      </c>
      <c r="H32" s="310"/>
      <c r="I32" s="110"/>
    </row>
    <row r="33" spans="1:9" ht="16.5" customHeight="1">
      <c r="A33" s="21"/>
      <c r="B33" s="21"/>
      <c r="C33" s="21" t="s">
        <v>98</v>
      </c>
      <c r="D33" s="21" t="s">
        <v>421</v>
      </c>
      <c r="E33" s="21"/>
      <c r="F33" s="21"/>
      <c r="G33" s="310">
        <v>1120500</v>
      </c>
      <c r="H33" s="310">
        <v>1024800</v>
      </c>
      <c r="I33" s="110">
        <f>H33/G33*100</f>
        <v>91.45917001338688</v>
      </c>
    </row>
    <row r="34" spans="1:9" ht="21" customHeight="1">
      <c r="A34" s="114"/>
      <c r="B34" s="114"/>
      <c r="C34" s="115"/>
      <c r="D34" s="479" t="s">
        <v>88</v>
      </c>
      <c r="E34" s="479"/>
      <c r="F34" s="479"/>
      <c r="G34" s="312">
        <f>SUM(G16:G33)</f>
        <v>19797390</v>
      </c>
      <c r="H34" s="312">
        <f>SUM(H16:H33)</f>
        <v>23855518</v>
      </c>
      <c r="I34" s="110">
        <f>H34/G34*100</f>
        <v>120.49829800796974</v>
      </c>
    </row>
    <row r="35" spans="1:9" ht="33" customHeight="1">
      <c r="A35" s="21"/>
      <c r="B35" s="18" t="s">
        <v>46</v>
      </c>
      <c r="C35" s="18" t="s">
        <v>40</v>
      </c>
      <c r="D35" s="476" t="s">
        <v>89</v>
      </c>
      <c r="E35" s="476"/>
      <c r="F35" s="476"/>
      <c r="G35" s="310"/>
      <c r="H35" s="310"/>
      <c r="I35" s="110"/>
    </row>
    <row r="36" spans="1:9" ht="15.75">
      <c r="A36" s="21"/>
      <c r="B36" s="21"/>
      <c r="C36" s="21"/>
      <c r="D36" s="21" t="s">
        <v>39</v>
      </c>
      <c r="E36" s="21" t="s">
        <v>141</v>
      </c>
      <c r="F36" s="21"/>
      <c r="G36" s="310"/>
      <c r="H36" s="310"/>
      <c r="I36" s="110"/>
    </row>
    <row r="37" spans="1:9" ht="30.75" customHeight="1">
      <c r="A37" s="21"/>
      <c r="B37" s="21"/>
      <c r="C37" s="21"/>
      <c r="D37" s="21" t="s">
        <v>22</v>
      </c>
      <c r="E37" s="477" t="s">
        <v>142</v>
      </c>
      <c r="F37" s="477"/>
      <c r="G37" s="310">
        <v>2728000</v>
      </c>
      <c r="H37" s="310">
        <v>3289000</v>
      </c>
      <c r="I37" s="110">
        <f>H37/G37*100</f>
        <v>120.56451612903226</v>
      </c>
    </row>
    <row r="38" spans="1:9" ht="15.75">
      <c r="A38" s="21"/>
      <c r="B38" s="21"/>
      <c r="C38" s="21"/>
      <c r="D38" s="21" t="s">
        <v>40</v>
      </c>
      <c r="E38" s="21" t="s">
        <v>90</v>
      </c>
      <c r="F38" s="21"/>
      <c r="G38" s="310">
        <v>719680</v>
      </c>
      <c r="H38" s="310">
        <f>849680+130720+15000</f>
        <v>995400</v>
      </c>
      <c r="I38" s="110">
        <f>H38/G38*100</f>
        <v>138.311471765229</v>
      </c>
    </row>
    <row r="39" spans="1:9" ht="15.75">
      <c r="A39" s="21"/>
      <c r="B39" s="21"/>
      <c r="C39" s="21"/>
      <c r="D39" s="21" t="s">
        <v>92</v>
      </c>
      <c r="E39" s="21" t="s">
        <v>93</v>
      </c>
      <c r="F39" s="21"/>
      <c r="G39" s="310"/>
      <c r="H39" s="310"/>
      <c r="I39" s="110"/>
    </row>
    <row r="40" spans="1:9" ht="31.5">
      <c r="A40" s="21"/>
      <c r="B40" s="21"/>
      <c r="C40" s="21"/>
      <c r="D40" s="21"/>
      <c r="E40" s="21" t="s">
        <v>49</v>
      </c>
      <c r="F40" s="111" t="s">
        <v>422</v>
      </c>
      <c r="G40" s="310">
        <v>1900000</v>
      </c>
      <c r="H40" s="310">
        <f>2288000-616000+133760</f>
        <v>1805760</v>
      </c>
      <c r="I40" s="110">
        <f>H40/G40*100</f>
        <v>95.04</v>
      </c>
    </row>
    <row r="41" spans="1:9" ht="15.75">
      <c r="A41" s="21"/>
      <c r="B41" s="21"/>
      <c r="C41" s="21"/>
      <c r="D41" s="21"/>
      <c r="E41" s="21" t="s">
        <v>50</v>
      </c>
      <c r="F41" s="21" t="s">
        <v>423</v>
      </c>
      <c r="G41" s="310">
        <v>4072068</v>
      </c>
      <c r="H41" s="310">
        <f>3733995-84730-632874</f>
        <v>3016391</v>
      </c>
      <c r="I41" s="110">
        <f>H41/G41*100</f>
        <v>74.07516279197695</v>
      </c>
    </row>
    <row r="42" spans="1:9" ht="33.75" customHeight="1">
      <c r="A42" s="114"/>
      <c r="B42" s="114"/>
      <c r="C42" s="479" t="s">
        <v>94</v>
      </c>
      <c r="D42" s="479"/>
      <c r="E42" s="479"/>
      <c r="F42" s="479"/>
      <c r="G42" s="313">
        <f>SUM(G36:G41)</f>
        <v>9419748</v>
      </c>
      <c r="H42" s="313">
        <f>SUM(H36:H41)</f>
        <v>9106551</v>
      </c>
      <c r="I42" s="110">
        <f>H42/G42*100</f>
        <v>96.67510213649028</v>
      </c>
    </row>
    <row r="43" spans="1:9" ht="3" customHeight="1">
      <c r="A43" s="114"/>
      <c r="B43" s="114"/>
      <c r="C43" s="293"/>
      <c r="D43" s="293"/>
      <c r="E43" s="293"/>
      <c r="F43" s="293"/>
      <c r="G43" s="313"/>
      <c r="H43" s="310"/>
      <c r="I43" s="110"/>
    </row>
    <row r="44" spans="1:9" ht="14.25" customHeight="1">
      <c r="A44" s="21"/>
      <c r="B44" s="21"/>
      <c r="C44" s="18" t="s">
        <v>91</v>
      </c>
      <c r="D44" s="476" t="s">
        <v>95</v>
      </c>
      <c r="E44" s="476"/>
      <c r="F44" s="476"/>
      <c r="G44" s="314"/>
      <c r="H44" s="310"/>
      <c r="I44" s="110"/>
    </row>
    <row r="45" spans="1:9" ht="15.75" customHeight="1">
      <c r="A45" s="21"/>
      <c r="B45" s="21"/>
      <c r="C45" s="21"/>
      <c r="D45" s="21" t="s">
        <v>39</v>
      </c>
      <c r="E45" s="477" t="s">
        <v>47</v>
      </c>
      <c r="F45" s="477"/>
      <c r="G45" s="315"/>
      <c r="H45" s="310"/>
      <c r="I45" s="110"/>
    </row>
    <row r="46" spans="1:9" ht="31.5">
      <c r="A46" s="21"/>
      <c r="B46" s="21"/>
      <c r="C46" s="21"/>
      <c r="D46" s="21"/>
      <c r="E46" s="21" t="s">
        <v>52</v>
      </c>
      <c r="F46" s="111" t="s">
        <v>96</v>
      </c>
      <c r="G46" s="315">
        <v>1800000</v>
      </c>
      <c r="H46" s="310">
        <f>1800000+319060</f>
        <v>2119060</v>
      </c>
      <c r="I46" s="110">
        <f>H46/G46*100</f>
        <v>117.72555555555554</v>
      </c>
    </row>
    <row r="47" spans="1:9" ht="30" customHeight="1">
      <c r="A47" s="114"/>
      <c r="B47" s="114"/>
      <c r="C47" s="483" t="s">
        <v>97</v>
      </c>
      <c r="D47" s="483"/>
      <c r="E47" s="483"/>
      <c r="F47" s="483"/>
      <c r="G47" s="313">
        <f>SUM(G46:G46)</f>
        <v>1800000</v>
      </c>
      <c r="H47" s="313">
        <f>SUM(H46:H46)</f>
        <v>2119060</v>
      </c>
      <c r="I47" s="110">
        <f>H47/G47*100</f>
        <v>117.72555555555554</v>
      </c>
    </row>
    <row r="48" spans="1:9" ht="15.75" customHeight="1">
      <c r="A48" s="114"/>
      <c r="B48" s="114"/>
      <c r="C48" s="107" t="s">
        <v>92</v>
      </c>
      <c r="D48" s="476" t="s">
        <v>525</v>
      </c>
      <c r="E48" s="798"/>
      <c r="F48" s="798"/>
      <c r="G48" s="318"/>
      <c r="H48" s="318"/>
      <c r="I48" s="110"/>
    </row>
    <row r="49" spans="1:9" ht="12" customHeight="1">
      <c r="A49" s="114"/>
      <c r="B49" s="114"/>
      <c r="C49" s="107"/>
      <c r="D49" s="117" t="s">
        <v>39</v>
      </c>
      <c r="E49" s="477" t="s">
        <v>526</v>
      </c>
      <c r="F49" s="798"/>
      <c r="G49" s="318"/>
      <c r="H49" s="460">
        <v>552400</v>
      </c>
      <c r="I49" s="110"/>
    </row>
    <row r="50" spans="1:9" ht="36" customHeight="1">
      <c r="A50" s="114"/>
      <c r="B50" s="114"/>
      <c r="C50" s="107"/>
      <c r="D50" s="117" t="s">
        <v>22</v>
      </c>
      <c r="E50" s="477" t="s">
        <v>516</v>
      </c>
      <c r="F50" s="478"/>
      <c r="G50" s="478"/>
      <c r="H50" s="460">
        <f>32100+206400</f>
        <v>238500</v>
      </c>
      <c r="I50" s="110"/>
    </row>
    <row r="51" spans="1:9" s="76" customFormat="1" ht="32.25" customHeight="1">
      <c r="A51" s="114"/>
      <c r="B51" s="114"/>
      <c r="C51" s="483" t="s">
        <v>527</v>
      </c>
      <c r="D51" s="817"/>
      <c r="E51" s="817"/>
      <c r="F51" s="817"/>
      <c r="G51" s="818"/>
      <c r="H51" s="461">
        <f>H49+H50</f>
        <v>790900</v>
      </c>
      <c r="I51" s="110"/>
    </row>
    <row r="52" spans="1:9" ht="15.75" customHeight="1">
      <c r="A52" s="116"/>
      <c r="B52" s="476" t="s">
        <v>100</v>
      </c>
      <c r="C52" s="476"/>
      <c r="D52" s="476"/>
      <c r="E52" s="476"/>
      <c r="F52" s="476"/>
      <c r="G52" s="318">
        <f>G34+G42+G47</f>
        <v>31017138</v>
      </c>
      <c r="H52" s="318">
        <f>H34+H42+H47+H51</f>
        <v>35872029</v>
      </c>
      <c r="I52" s="110">
        <f>H52/G52*100</f>
        <v>115.65228552034685</v>
      </c>
    </row>
    <row r="53" spans="1:9" ht="18" customHeight="1">
      <c r="A53" s="116"/>
      <c r="B53" s="107"/>
      <c r="C53" s="8"/>
      <c r="D53" s="8"/>
      <c r="E53" s="8"/>
      <c r="I53" s="110"/>
    </row>
    <row r="54" spans="1:9" ht="14.25" customHeight="1">
      <c r="A54" s="116"/>
      <c r="B54" s="107" t="s">
        <v>45</v>
      </c>
      <c r="C54" s="476" t="s">
        <v>515</v>
      </c>
      <c r="D54" s="474"/>
      <c r="E54" s="474"/>
      <c r="F54" s="474"/>
      <c r="G54" s="318"/>
      <c r="H54" s="318"/>
      <c r="I54" s="110"/>
    </row>
    <row r="55" spans="1:9" ht="15.75" customHeight="1">
      <c r="A55" s="116"/>
      <c r="B55" s="117"/>
      <c r="C55" s="117" t="s">
        <v>39</v>
      </c>
      <c r="D55" s="477" t="s">
        <v>517</v>
      </c>
      <c r="E55" s="478"/>
      <c r="F55" s="478"/>
      <c r="G55" s="460"/>
      <c r="H55" s="460">
        <v>128360</v>
      </c>
      <c r="I55" s="110"/>
    </row>
    <row r="56" spans="1:9" ht="35.25" customHeight="1">
      <c r="A56" s="116"/>
      <c r="B56" s="117"/>
      <c r="C56" s="477" t="s">
        <v>528</v>
      </c>
      <c r="D56" s="478"/>
      <c r="E56" s="478"/>
      <c r="F56" s="478"/>
      <c r="G56" s="460"/>
      <c r="H56" s="460">
        <v>121276</v>
      </c>
      <c r="I56" s="110"/>
    </row>
    <row r="57" spans="1:9" ht="30.75" customHeight="1">
      <c r="A57" s="116"/>
      <c r="B57" s="117"/>
      <c r="C57" s="477" t="s">
        <v>529</v>
      </c>
      <c r="D57" s="478"/>
      <c r="E57" s="478"/>
      <c r="F57" s="478"/>
      <c r="G57" s="460"/>
      <c r="H57" s="460">
        <v>100000</v>
      </c>
      <c r="I57" s="110"/>
    </row>
    <row r="58" spans="1:9" s="9" customFormat="1" ht="15.75" customHeight="1">
      <c r="A58" s="116"/>
      <c r="B58" s="479" t="s">
        <v>518</v>
      </c>
      <c r="C58" s="480"/>
      <c r="D58" s="480"/>
      <c r="E58" s="480"/>
      <c r="F58" s="480"/>
      <c r="G58" s="461"/>
      <c r="H58" s="461">
        <f>H56+H57+H55</f>
        <v>349636</v>
      </c>
      <c r="I58" s="110"/>
    </row>
    <row r="59" spans="1:9" ht="15.75">
      <c r="A59" s="21"/>
      <c r="B59" s="21"/>
      <c r="C59" s="21"/>
      <c r="D59" s="21"/>
      <c r="E59" s="21"/>
      <c r="F59" s="21"/>
      <c r="G59" s="316"/>
      <c r="H59" s="310"/>
      <c r="I59" s="110"/>
    </row>
    <row r="60" spans="1:9" ht="15.75" customHeight="1">
      <c r="A60" s="476" t="s">
        <v>101</v>
      </c>
      <c r="B60" s="476"/>
      <c r="C60" s="476"/>
      <c r="D60" s="476"/>
      <c r="E60" s="476"/>
      <c r="F60" s="476"/>
      <c r="G60" s="319">
        <f>G52</f>
        <v>31017138</v>
      </c>
      <c r="H60" s="319">
        <f>H52+H58</f>
        <v>36221665</v>
      </c>
      <c r="I60" s="110">
        <f>H60/G60*100</f>
        <v>116.77952040578342</v>
      </c>
    </row>
    <row r="61" spans="1:9" ht="15.75" customHeight="1">
      <c r="A61" s="18" t="s">
        <v>45</v>
      </c>
      <c r="B61" s="476" t="s">
        <v>102</v>
      </c>
      <c r="C61" s="476"/>
      <c r="D61" s="476"/>
      <c r="E61" s="476"/>
      <c r="F61" s="476"/>
      <c r="G61" s="319">
        <v>15833638</v>
      </c>
      <c r="H61" s="314">
        <f>4728810+117084290</f>
        <v>121813100</v>
      </c>
      <c r="I61" s="110">
        <f>H61/G61*100</f>
        <v>769.3310911870033</v>
      </c>
    </row>
    <row r="62" spans="1:9" ht="15.75">
      <c r="A62" s="107"/>
      <c r="B62" s="107"/>
      <c r="C62" s="107"/>
      <c r="D62" s="107"/>
      <c r="E62" s="107"/>
      <c r="F62" s="107"/>
      <c r="G62" s="318"/>
      <c r="H62" s="318"/>
      <c r="I62" s="110"/>
    </row>
    <row r="63" spans="1:9" ht="15.75">
      <c r="A63" s="18" t="s">
        <v>46</v>
      </c>
      <c r="B63" s="18" t="s">
        <v>103</v>
      </c>
      <c r="C63" s="18"/>
      <c r="D63" s="18"/>
      <c r="E63" s="18"/>
      <c r="F63" s="18"/>
      <c r="G63" s="320"/>
      <c r="H63" s="321"/>
      <c r="I63" s="110"/>
    </row>
    <row r="64" spans="1:9" ht="15.75">
      <c r="A64" s="21"/>
      <c r="B64" s="21" t="s">
        <v>39</v>
      </c>
      <c r="C64" s="21" t="s">
        <v>104</v>
      </c>
      <c r="D64" s="21"/>
      <c r="E64" s="21"/>
      <c r="F64" s="21"/>
      <c r="G64" s="322"/>
      <c r="H64" s="316"/>
      <c r="I64" s="110"/>
    </row>
    <row r="65" spans="1:9" ht="15.75">
      <c r="A65" s="21"/>
      <c r="B65" s="21"/>
      <c r="C65" s="21" t="s">
        <v>39</v>
      </c>
      <c r="D65" s="21" t="s">
        <v>105</v>
      </c>
      <c r="E65" s="21"/>
      <c r="F65" s="21"/>
      <c r="G65" s="316">
        <v>1500000</v>
      </c>
      <c r="H65" s="310">
        <v>1500000</v>
      </c>
      <c r="I65" s="110">
        <f>H65/G65*100</f>
        <v>100</v>
      </c>
    </row>
    <row r="66" spans="1:9" ht="15.75">
      <c r="A66" s="18"/>
      <c r="B66" s="18" t="s">
        <v>22</v>
      </c>
      <c r="C66" s="18" t="s">
        <v>106</v>
      </c>
      <c r="D66" s="18"/>
      <c r="E66" s="18"/>
      <c r="F66" s="18"/>
      <c r="G66" s="321"/>
      <c r="H66" s="310"/>
      <c r="I66" s="110"/>
    </row>
    <row r="67" spans="1:9" ht="15.75" customHeight="1">
      <c r="A67" s="21"/>
      <c r="B67" s="21"/>
      <c r="C67" s="21" t="s">
        <v>39</v>
      </c>
      <c r="D67" s="21" t="s">
        <v>107</v>
      </c>
      <c r="E67" s="21"/>
      <c r="F67" s="21"/>
      <c r="G67" s="316">
        <v>3900000</v>
      </c>
      <c r="H67" s="451">
        <v>4200000</v>
      </c>
      <c r="I67" s="110">
        <f>H67/G67*100</f>
        <v>107.6923076923077</v>
      </c>
    </row>
    <row r="68" spans="1:9" ht="15.75">
      <c r="A68" s="18"/>
      <c r="B68" s="18" t="s">
        <v>40</v>
      </c>
      <c r="C68" s="18" t="s">
        <v>108</v>
      </c>
      <c r="D68" s="18"/>
      <c r="E68" s="18"/>
      <c r="F68" s="18"/>
      <c r="G68" s="321"/>
      <c r="H68" s="310"/>
      <c r="I68" s="110"/>
    </row>
    <row r="69" spans="1:9" ht="15.75" customHeight="1">
      <c r="A69" s="21"/>
      <c r="B69" s="21"/>
      <c r="C69" s="21" t="s">
        <v>39</v>
      </c>
      <c r="D69" s="21" t="s">
        <v>109</v>
      </c>
      <c r="E69" s="21"/>
      <c r="F69" s="21"/>
      <c r="G69" s="316">
        <v>1913000</v>
      </c>
      <c r="H69" s="310"/>
      <c r="I69" s="110"/>
    </row>
    <row r="70" spans="1:9" s="9" customFormat="1" ht="15.75">
      <c r="A70" s="21"/>
      <c r="B70" s="18" t="s">
        <v>91</v>
      </c>
      <c r="C70" s="18" t="s">
        <v>110</v>
      </c>
      <c r="D70" s="21"/>
      <c r="E70" s="21"/>
      <c r="F70" s="21"/>
      <c r="G70" s="316"/>
      <c r="H70" s="310"/>
      <c r="I70" s="110"/>
    </row>
    <row r="71" spans="1:9" ht="12.75" customHeight="1">
      <c r="A71" s="21"/>
      <c r="B71" s="21"/>
      <c r="C71" s="21" t="s">
        <v>39</v>
      </c>
      <c r="D71" s="21" t="s">
        <v>111</v>
      </c>
      <c r="E71" s="21"/>
      <c r="F71" s="21"/>
      <c r="G71" s="316">
        <v>140000</v>
      </c>
      <c r="H71" s="310">
        <f>140000-71944</f>
        <v>68056</v>
      </c>
      <c r="I71" s="110">
        <f>H71/G71*100</f>
        <v>48.611428571428576</v>
      </c>
    </row>
    <row r="72" spans="1:9" ht="15.75">
      <c r="A72" s="21"/>
      <c r="B72" s="21"/>
      <c r="C72" s="18" t="s">
        <v>22</v>
      </c>
      <c r="D72" s="21" t="s">
        <v>72</v>
      </c>
      <c r="E72" s="21"/>
      <c r="F72" s="21"/>
      <c r="G72" s="316">
        <v>280000</v>
      </c>
      <c r="H72" s="310">
        <v>280000</v>
      </c>
      <c r="I72" s="110">
        <f>H72/G72*100</f>
        <v>100</v>
      </c>
    </row>
    <row r="73" spans="1:9" ht="15.75">
      <c r="A73" s="18"/>
      <c r="B73" s="18" t="s">
        <v>92</v>
      </c>
      <c r="C73" s="18" t="s">
        <v>112</v>
      </c>
      <c r="D73" s="18"/>
      <c r="E73" s="18"/>
      <c r="F73" s="18"/>
      <c r="G73" s="321"/>
      <c r="H73" s="310"/>
      <c r="I73" s="110"/>
    </row>
    <row r="74" spans="1:9" ht="15.75">
      <c r="A74" s="21"/>
      <c r="B74" s="21"/>
      <c r="C74" s="18" t="s">
        <v>39</v>
      </c>
      <c r="D74" s="21" t="s">
        <v>113</v>
      </c>
      <c r="E74" s="21"/>
      <c r="F74" s="21"/>
      <c r="G74" s="316">
        <v>5000</v>
      </c>
      <c r="H74" s="310">
        <v>5000</v>
      </c>
      <c r="I74" s="110">
        <f>H74/G74*100</f>
        <v>100</v>
      </c>
    </row>
    <row r="75" spans="1:9" ht="15.75">
      <c r="A75" s="116"/>
      <c r="B75" s="116"/>
      <c r="C75" s="116" t="s">
        <v>40</v>
      </c>
      <c r="D75" s="118" t="s">
        <v>112</v>
      </c>
      <c r="E75" s="116"/>
      <c r="F75" s="116"/>
      <c r="G75" s="317"/>
      <c r="H75" s="310"/>
      <c r="I75" s="110"/>
    </row>
    <row r="76" spans="1:9" ht="15.75">
      <c r="A76" s="21"/>
      <c r="B76" s="21"/>
      <c r="C76" s="18" t="s">
        <v>91</v>
      </c>
      <c r="D76" s="21" t="s">
        <v>114</v>
      </c>
      <c r="E76" s="21"/>
      <c r="F76" s="21"/>
      <c r="G76" s="316">
        <v>75000</v>
      </c>
      <c r="H76" s="310">
        <v>75000</v>
      </c>
      <c r="I76" s="110">
        <f>H76/G76*100</f>
        <v>100</v>
      </c>
    </row>
    <row r="77" spans="1:9" ht="15.75">
      <c r="A77" s="116"/>
      <c r="B77" s="116"/>
      <c r="C77" s="116"/>
      <c r="D77" s="116"/>
      <c r="E77" s="116"/>
      <c r="F77" s="116"/>
      <c r="G77" s="317"/>
      <c r="H77" s="310"/>
      <c r="I77" s="110"/>
    </row>
    <row r="78" spans="1:9" ht="15.75">
      <c r="A78" s="18" t="s">
        <v>63</v>
      </c>
      <c r="B78" s="116"/>
      <c r="C78" s="116"/>
      <c r="D78" s="116"/>
      <c r="E78" s="116"/>
      <c r="F78" s="116"/>
      <c r="G78" s="318">
        <f>G65+G67+G69+G71+G72+G74+G75+G76</f>
        <v>7813000</v>
      </c>
      <c r="H78" s="318">
        <f>H65+H67+H69+H71+H72+H74+H75+H76</f>
        <v>6128056</v>
      </c>
      <c r="I78" s="110">
        <f>H78/G78*100</f>
        <v>78.43409701779086</v>
      </c>
    </row>
    <row r="79" spans="1:9" ht="15.75">
      <c r="A79" s="116"/>
      <c r="B79" s="116"/>
      <c r="C79" s="116"/>
      <c r="D79" s="116"/>
      <c r="E79" s="116"/>
      <c r="F79" s="116"/>
      <c r="G79" s="317"/>
      <c r="H79" s="317"/>
      <c r="I79" s="110"/>
    </row>
    <row r="80" spans="1:9" ht="15.75">
      <c r="A80" s="18" t="s">
        <v>115</v>
      </c>
      <c r="B80" s="18" t="s">
        <v>48</v>
      </c>
      <c r="C80" s="18"/>
      <c r="D80" s="18"/>
      <c r="E80" s="18"/>
      <c r="F80" s="18"/>
      <c r="G80" s="320"/>
      <c r="H80" s="321"/>
      <c r="I80" s="110"/>
    </row>
    <row r="81" spans="1:9" ht="15.75">
      <c r="A81" s="116"/>
      <c r="B81" s="116" t="s">
        <v>39</v>
      </c>
      <c r="C81" s="475" t="s">
        <v>116</v>
      </c>
      <c r="D81" s="475"/>
      <c r="E81" s="475"/>
      <c r="F81" s="475"/>
      <c r="G81" s="317"/>
      <c r="H81" s="317"/>
      <c r="I81" s="110"/>
    </row>
    <row r="82" spans="1:9" ht="15.75">
      <c r="A82" s="116"/>
      <c r="B82" s="116"/>
      <c r="C82" s="116" t="s">
        <v>39</v>
      </c>
      <c r="D82" s="118" t="s">
        <v>127</v>
      </c>
      <c r="E82" s="118"/>
      <c r="F82" s="118"/>
      <c r="G82" s="317">
        <v>282128</v>
      </c>
      <c r="H82" s="310">
        <v>334191</v>
      </c>
      <c r="I82" s="110">
        <f>H82/G82*100</f>
        <v>118.45368059887711</v>
      </c>
    </row>
    <row r="83" spans="1:9" ht="15.75">
      <c r="A83" s="116"/>
      <c r="B83" s="116"/>
      <c r="C83" s="116" t="s">
        <v>22</v>
      </c>
      <c r="D83" s="118" t="s">
        <v>119</v>
      </c>
      <c r="E83" s="118"/>
      <c r="F83" s="118"/>
      <c r="G83" s="317"/>
      <c r="H83" s="386"/>
      <c r="I83" s="110"/>
    </row>
    <row r="84" spans="1:9" ht="15.75">
      <c r="A84" s="116"/>
      <c r="B84" s="116"/>
      <c r="C84" s="116"/>
      <c r="D84" s="118" t="s">
        <v>39</v>
      </c>
      <c r="E84" s="118" t="s">
        <v>120</v>
      </c>
      <c r="F84" s="118"/>
      <c r="G84" s="317">
        <v>20000</v>
      </c>
      <c r="H84" s="310">
        <f>20000+735000</f>
        <v>755000</v>
      </c>
      <c r="I84" s="110">
        <f>H84/G84*100</f>
        <v>3775</v>
      </c>
    </row>
    <row r="85" spans="1:9" ht="15.75">
      <c r="A85" s="116"/>
      <c r="B85" s="116"/>
      <c r="C85" s="116"/>
      <c r="D85" s="118" t="s">
        <v>22</v>
      </c>
      <c r="E85" s="118" t="s">
        <v>121</v>
      </c>
      <c r="F85" s="118"/>
      <c r="G85" s="317">
        <v>64680</v>
      </c>
      <c r="H85" s="310">
        <v>275000</v>
      </c>
      <c r="I85" s="110">
        <f>H85/G85*100</f>
        <v>425.17006802721085</v>
      </c>
    </row>
    <row r="86" spans="1:9" ht="15.75">
      <c r="A86" s="116"/>
      <c r="B86" s="116"/>
      <c r="C86" s="116"/>
      <c r="D86" s="118" t="s">
        <v>40</v>
      </c>
      <c r="E86" s="118" t="s">
        <v>122</v>
      </c>
      <c r="F86" s="118"/>
      <c r="G86" s="317">
        <v>2000</v>
      </c>
      <c r="H86" s="310">
        <v>2000</v>
      </c>
      <c r="I86" s="110">
        <f>H86/G86*100</f>
        <v>100</v>
      </c>
    </row>
    <row r="87" spans="1:9" ht="15.75">
      <c r="A87" s="116"/>
      <c r="B87" s="116"/>
      <c r="C87" s="116"/>
      <c r="D87" s="118" t="s">
        <v>91</v>
      </c>
      <c r="E87" s="118" t="s">
        <v>123</v>
      </c>
      <c r="F87" s="118"/>
      <c r="G87" s="317">
        <v>203028</v>
      </c>
      <c r="H87" s="310">
        <v>203028</v>
      </c>
      <c r="I87" s="110">
        <f>H87/G87*100</f>
        <v>100</v>
      </c>
    </row>
    <row r="88" spans="1:9" ht="15.75">
      <c r="A88" s="116"/>
      <c r="B88" s="116"/>
      <c r="C88" s="116" t="s">
        <v>40</v>
      </c>
      <c r="D88" s="118" t="s">
        <v>143</v>
      </c>
      <c r="E88" s="118"/>
      <c r="F88" s="118"/>
      <c r="G88" s="317"/>
      <c r="H88" s="386"/>
      <c r="I88" s="110"/>
    </row>
    <row r="89" spans="1:9" ht="15.75">
      <c r="A89" s="116"/>
      <c r="B89" s="116"/>
      <c r="D89" s="116" t="s">
        <v>39</v>
      </c>
      <c r="E89" s="118" t="s">
        <v>117</v>
      </c>
      <c r="F89" s="116"/>
      <c r="G89" s="317">
        <v>41000</v>
      </c>
      <c r="H89" s="310">
        <v>41000</v>
      </c>
      <c r="I89" s="110">
        <f>H89/G89*100</f>
        <v>100</v>
      </c>
    </row>
    <row r="90" spans="1:9" ht="24.75" customHeight="1">
      <c r="A90" s="116"/>
      <c r="B90" s="116"/>
      <c r="D90" s="116" t="s">
        <v>22</v>
      </c>
      <c r="E90" s="118" t="s">
        <v>118</v>
      </c>
      <c r="F90" s="118"/>
      <c r="G90" s="317">
        <v>411746</v>
      </c>
      <c r="H90" s="310">
        <v>220191</v>
      </c>
      <c r="I90" s="110">
        <f>H90/G90*100</f>
        <v>53.477386544131576</v>
      </c>
    </row>
    <row r="91" spans="4:9" ht="19.5" customHeight="1">
      <c r="D91" s="67" t="s">
        <v>40</v>
      </c>
      <c r="E91" s="118" t="s">
        <v>64</v>
      </c>
      <c r="G91" s="317">
        <v>521023</v>
      </c>
      <c r="H91" s="310">
        <v>521023</v>
      </c>
      <c r="I91" s="110">
        <f>H91/G91*100</f>
        <v>100</v>
      </c>
    </row>
    <row r="92" spans="1:11" ht="19.5" customHeight="1">
      <c r="A92" s="116"/>
      <c r="B92" s="116" t="s">
        <v>22</v>
      </c>
      <c r="C92" s="118" t="s">
        <v>124</v>
      </c>
      <c r="D92" s="118"/>
      <c r="E92" s="118"/>
      <c r="F92" s="118"/>
      <c r="G92" s="317"/>
      <c r="H92" s="386"/>
      <c r="I92" s="110"/>
      <c r="K92" s="309"/>
    </row>
    <row r="93" spans="1:9" ht="18" customHeight="1">
      <c r="A93" s="116"/>
      <c r="B93" s="116"/>
      <c r="C93" s="116" t="s">
        <v>39</v>
      </c>
      <c r="D93" s="118" t="s">
        <v>125</v>
      </c>
      <c r="E93" s="118"/>
      <c r="F93" s="118"/>
      <c r="G93" s="317">
        <v>4156873</v>
      </c>
      <c r="H93" s="310">
        <v>4156873</v>
      </c>
      <c r="I93" s="110">
        <f>H93/G93*100</f>
        <v>100</v>
      </c>
    </row>
    <row r="94" spans="1:9" ht="17.25" customHeight="1">
      <c r="A94" s="116"/>
      <c r="B94" s="116" t="s">
        <v>40</v>
      </c>
      <c r="C94" s="118" t="s">
        <v>126</v>
      </c>
      <c r="D94" s="118"/>
      <c r="E94" s="118"/>
      <c r="F94" s="118"/>
      <c r="G94" s="317"/>
      <c r="H94" s="386"/>
      <c r="I94" s="110"/>
    </row>
    <row r="95" spans="1:9" ht="15" customHeight="1">
      <c r="A95" s="116"/>
      <c r="B95" s="116"/>
      <c r="C95" s="116" t="s">
        <v>39</v>
      </c>
      <c r="D95" s="118" t="s">
        <v>70</v>
      </c>
      <c r="E95" s="118"/>
      <c r="F95" s="118"/>
      <c r="G95" s="317">
        <v>1098372</v>
      </c>
      <c r="H95" s="310">
        <v>1089620</v>
      </c>
      <c r="I95" s="110">
        <f aca="true" t="shared" si="0" ref="I95:I100">H95/G95*100</f>
        <v>99.20318434920046</v>
      </c>
    </row>
    <row r="96" spans="1:9" ht="15.75">
      <c r="A96" s="116"/>
      <c r="B96" s="116" t="s">
        <v>91</v>
      </c>
      <c r="C96" s="118" t="s">
        <v>128</v>
      </c>
      <c r="D96" s="116"/>
      <c r="E96" s="116"/>
      <c r="F96" s="116"/>
      <c r="G96" s="317">
        <v>1818495</v>
      </c>
      <c r="H96" s="310">
        <f>1122355+59452+90232+140676+294197+10800+253808</f>
        <v>1971520</v>
      </c>
      <c r="I96" s="110">
        <f t="shared" si="0"/>
        <v>108.4149255290776</v>
      </c>
    </row>
    <row r="97" spans="1:9" ht="24.75" customHeight="1">
      <c r="A97" s="116"/>
      <c r="B97" s="116" t="s">
        <v>92</v>
      </c>
      <c r="C97" s="118" t="s">
        <v>129</v>
      </c>
      <c r="D97" s="116"/>
      <c r="E97" s="116"/>
      <c r="F97" s="116"/>
      <c r="G97" s="317">
        <v>1484220</v>
      </c>
      <c r="H97" s="310">
        <f>1004191+59452+97770+81475+211836</f>
        <v>1454724</v>
      </c>
      <c r="I97" s="110">
        <f t="shared" si="0"/>
        <v>98.01269353599871</v>
      </c>
    </row>
    <row r="98" spans="1:9" ht="19.5" customHeight="1">
      <c r="A98" s="116"/>
      <c r="B98" s="116" t="s">
        <v>98</v>
      </c>
      <c r="C98" s="118" t="s">
        <v>130</v>
      </c>
      <c r="D98" s="116"/>
      <c r="E98" s="116"/>
      <c r="F98" s="116"/>
      <c r="G98" s="317">
        <v>2000</v>
      </c>
      <c r="H98" s="310"/>
      <c r="I98" s="110"/>
    </row>
    <row r="99" spans="1:9" ht="23.25" customHeight="1">
      <c r="A99" s="116"/>
      <c r="B99" s="342" t="s">
        <v>196</v>
      </c>
      <c r="C99" s="475" t="s">
        <v>396</v>
      </c>
      <c r="D99" s="475"/>
      <c r="E99" s="475"/>
      <c r="F99" s="475"/>
      <c r="G99" s="317"/>
      <c r="H99" s="310"/>
      <c r="I99" s="110"/>
    </row>
    <row r="100" spans="1:9" ht="17.25" customHeight="1">
      <c r="A100" s="18" t="s">
        <v>19</v>
      </c>
      <c r="B100" s="116"/>
      <c r="C100" s="116"/>
      <c r="D100" s="116"/>
      <c r="E100" s="116"/>
      <c r="F100" s="116"/>
      <c r="G100" s="318">
        <f>SUM(G81:G99)</f>
        <v>10105565</v>
      </c>
      <c r="H100" s="443">
        <f>SUM(H81:H99)</f>
        <v>11024170</v>
      </c>
      <c r="I100" s="110">
        <f t="shared" si="0"/>
        <v>109.09009046005839</v>
      </c>
    </row>
    <row r="101" spans="1:9" ht="12" customHeight="1">
      <c r="A101" s="116"/>
      <c r="B101" s="116"/>
      <c r="C101" s="116"/>
      <c r="D101" s="116"/>
      <c r="E101" s="116"/>
      <c r="F101" s="116"/>
      <c r="G101" s="317"/>
      <c r="H101" s="386"/>
      <c r="I101" s="110"/>
    </row>
    <row r="102" spans="1:9" ht="12.75" customHeight="1">
      <c r="A102" s="116"/>
      <c r="B102" s="116"/>
      <c r="C102" s="116"/>
      <c r="D102" s="116"/>
      <c r="E102" s="116"/>
      <c r="F102" s="116"/>
      <c r="G102" s="317"/>
      <c r="H102" s="386"/>
      <c r="I102" s="110"/>
    </row>
    <row r="103" spans="1:9" ht="7.5" customHeight="1">
      <c r="A103" s="116"/>
      <c r="B103" s="116"/>
      <c r="C103" s="116"/>
      <c r="D103" s="116"/>
      <c r="E103" s="116"/>
      <c r="F103" s="116"/>
      <c r="G103" s="317"/>
      <c r="H103" s="386"/>
      <c r="I103" s="110"/>
    </row>
    <row r="104" spans="1:9" ht="15.75">
      <c r="A104" s="116"/>
      <c r="B104" s="116"/>
      <c r="C104" s="116"/>
      <c r="D104" s="116"/>
      <c r="E104" s="116"/>
      <c r="F104" s="116"/>
      <c r="G104" s="317"/>
      <c r="H104" s="386"/>
      <c r="I104" s="110"/>
    </row>
    <row r="105" spans="1:9" ht="14.25" customHeight="1">
      <c r="A105" s="18" t="s">
        <v>53</v>
      </c>
      <c r="B105" s="18" t="s">
        <v>131</v>
      </c>
      <c r="C105" s="18"/>
      <c r="D105" s="18"/>
      <c r="E105" s="18"/>
      <c r="F105" s="18"/>
      <c r="G105" s="321"/>
      <c r="H105" s="386"/>
      <c r="I105" s="110"/>
    </row>
    <row r="106" spans="1:9" ht="15.75" customHeight="1">
      <c r="A106" s="21"/>
      <c r="B106" s="21" t="s">
        <v>39</v>
      </c>
      <c r="C106" s="477" t="s">
        <v>465</v>
      </c>
      <c r="D106" s="477"/>
      <c r="E106" s="477"/>
      <c r="F106" s="477"/>
      <c r="G106" s="315"/>
      <c r="H106" s="310">
        <v>1952679</v>
      </c>
      <c r="I106" s="110"/>
    </row>
    <row r="107" spans="1:9" ht="15.75" customHeight="1">
      <c r="A107" s="21"/>
      <c r="B107" s="21"/>
      <c r="C107" s="117" t="s">
        <v>39</v>
      </c>
      <c r="D107" s="477" t="s">
        <v>132</v>
      </c>
      <c r="E107" s="477"/>
      <c r="F107" s="477"/>
      <c r="G107" s="315">
        <v>346850</v>
      </c>
      <c r="H107" s="310">
        <v>325200</v>
      </c>
      <c r="I107" s="110">
        <f>H107/G107*100</f>
        <v>93.75810869251838</v>
      </c>
    </row>
    <row r="108" spans="1:9" ht="31.5" customHeight="1">
      <c r="A108" s="116"/>
      <c r="B108" s="116" t="s">
        <v>466</v>
      </c>
      <c r="C108" s="481" t="s">
        <v>467</v>
      </c>
      <c r="D108" s="474"/>
      <c r="E108" s="474"/>
      <c r="F108" s="474"/>
      <c r="G108" s="317">
        <v>6000000</v>
      </c>
      <c r="H108" s="310">
        <v>6000000</v>
      </c>
      <c r="I108" s="110"/>
    </row>
    <row r="109" spans="1:9" ht="15.75" customHeight="1">
      <c r="A109" s="482" t="s">
        <v>133</v>
      </c>
      <c r="B109" s="482"/>
      <c r="C109" s="482"/>
      <c r="D109" s="482"/>
      <c r="E109" s="482"/>
      <c r="F109" s="482"/>
      <c r="G109" s="320">
        <f>SUM(G107:G108)</f>
        <v>6346850</v>
      </c>
      <c r="H109" s="320">
        <f>SUM(H106:H108)</f>
        <v>8277879</v>
      </c>
      <c r="I109" s="110">
        <f>H109/G109*100</f>
        <v>130.42499822746717</v>
      </c>
    </row>
    <row r="110" spans="1:9" ht="36" customHeight="1">
      <c r="A110" s="116"/>
      <c r="B110" s="116"/>
      <c r="C110" s="116"/>
      <c r="D110" s="116"/>
      <c r="E110" s="116"/>
      <c r="F110" s="116"/>
      <c r="G110" s="317"/>
      <c r="H110" s="310"/>
      <c r="I110" s="110"/>
    </row>
    <row r="111" spans="1:9" ht="16.5" customHeight="1">
      <c r="A111" s="120" t="s">
        <v>134</v>
      </c>
      <c r="B111" s="120"/>
      <c r="C111" s="120"/>
      <c r="D111" s="120"/>
      <c r="E111" s="120"/>
      <c r="F111" s="120"/>
      <c r="G111" s="320">
        <f>G109+G100+G78+G60+G61</f>
        <v>71116191</v>
      </c>
      <c r="H111" s="320">
        <f>H109+H100+H78+H60+H61</f>
        <v>183464870</v>
      </c>
      <c r="I111" s="110">
        <f>H111/G111*100</f>
        <v>257.9790444626035</v>
      </c>
    </row>
    <row r="112" spans="1:9" ht="16.5" customHeight="1">
      <c r="A112" s="120"/>
      <c r="B112" s="120"/>
      <c r="C112" s="120"/>
      <c r="D112" s="120"/>
      <c r="E112" s="120"/>
      <c r="F112" s="120"/>
      <c r="G112" s="323"/>
      <c r="H112" s="310"/>
      <c r="I112" s="110"/>
    </row>
    <row r="113" spans="1:9" ht="15.75" customHeight="1">
      <c r="A113" s="121" t="s">
        <v>135</v>
      </c>
      <c r="B113" s="476" t="s">
        <v>136</v>
      </c>
      <c r="C113" s="476"/>
      <c r="D113" s="476"/>
      <c r="E113" s="476"/>
      <c r="F113" s="476"/>
      <c r="G113" s="315"/>
      <c r="H113" s="310"/>
      <c r="I113" s="110"/>
    </row>
    <row r="114" spans="1:9" ht="36" customHeight="1">
      <c r="A114" s="18"/>
      <c r="B114" s="107" t="s">
        <v>39</v>
      </c>
      <c r="C114" s="476" t="s">
        <v>137</v>
      </c>
      <c r="D114" s="476"/>
      <c r="E114" s="476"/>
      <c r="F114" s="476"/>
      <c r="G114" s="315"/>
      <c r="H114" s="310"/>
      <c r="I114" s="110"/>
    </row>
    <row r="115" spans="1:9" ht="15.75" customHeight="1">
      <c r="A115" s="18"/>
      <c r="B115" s="107"/>
      <c r="C115" s="117" t="s">
        <v>39</v>
      </c>
      <c r="D115" s="477" t="s">
        <v>493</v>
      </c>
      <c r="E115" s="477"/>
      <c r="F115" s="477"/>
      <c r="G115" s="315">
        <v>4976007</v>
      </c>
      <c r="H115" s="310">
        <f>90724266+663690</f>
        <v>91387956</v>
      </c>
      <c r="I115" s="110">
        <f>H115/G115*100</f>
        <v>1836.5720948543683</v>
      </c>
    </row>
    <row r="116" spans="1:9" ht="15.75" customHeight="1">
      <c r="A116" s="21"/>
      <c r="B116" s="21"/>
      <c r="C116" s="346" t="s">
        <v>22</v>
      </c>
      <c r="D116" s="473" t="s">
        <v>494</v>
      </c>
      <c r="E116" s="473"/>
      <c r="F116" s="473"/>
      <c r="G116" s="316"/>
      <c r="H116" s="310">
        <f>5484720+25+234696+104+964900+140000+289419</f>
        <v>7113864</v>
      </c>
      <c r="I116" s="110"/>
    </row>
    <row r="117" spans="1:9" ht="15.75" customHeight="1">
      <c r="A117" s="21"/>
      <c r="B117" s="21"/>
      <c r="C117" s="21" t="s">
        <v>40</v>
      </c>
      <c r="D117" s="473" t="s">
        <v>406</v>
      </c>
      <c r="E117" s="473"/>
      <c r="F117" s="473"/>
      <c r="G117" s="316">
        <v>1240566</v>
      </c>
      <c r="H117" s="442">
        <v>1449359</v>
      </c>
      <c r="I117" s="110">
        <f>H117/G117*100</f>
        <v>116.8304628693677</v>
      </c>
    </row>
    <row r="118" spans="1:9" ht="15.75" customHeight="1">
      <c r="A118" s="21"/>
      <c r="B118" s="21"/>
      <c r="C118" s="21" t="s">
        <v>91</v>
      </c>
      <c r="D118" s="473" t="s">
        <v>519</v>
      </c>
      <c r="E118" s="474"/>
      <c r="F118" s="474"/>
      <c r="G118" s="316"/>
      <c r="H118" s="442">
        <v>20902499</v>
      </c>
      <c r="I118" s="110"/>
    </row>
    <row r="119" spans="1:9" ht="15.75" customHeight="1">
      <c r="A119" s="21"/>
      <c r="B119" s="21"/>
      <c r="C119" s="21" t="s">
        <v>92</v>
      </c>
      <c r="D119" s="473" t="s">
        <v>520</v>
      </c>
      <c r="E119" s="474"/>
      <c r="F119" s="474"/>
      <c r="G119" s="316"/>
      <c r="H119" s="442">
        <v>822484</v>
      </c>
      <c r="I119" s="110"/>
    </row>
    <row r="120" spans="1:9" ht="16.5">
      <c r="A120" s="120" t="s">
        <v>136</v>
      </c>
      <c r="B120" s="120"/>
      <c r="C120" s="120"/>
      <c r="D120" s="120"/>
      <c r="E120" s="120"/>
      <c r="F120" s="120"/>
      <c r="G120" s="320">
        <f>G115+G116+G117</f>
        <v>6216573</v>
      </c>
      <c r="H120" s="320">
        <f>SUM(H115:H119)</f>
        <v>121676162</v>
      </c>
      <c r="I120" s="110">
        <f>H120/G120*100</f>
        <v>1957.2867880743938</v>
      </c>
    </row>
    <row r="121" spans="1:9" ht="15.75">
      <c r="A121" s="21"/>
      <c r="B121" s="21"/>
      <c r="C121" s="21"/>
      <c r="D121" s="21"/>
      <c r="E121" s="21"/>
      <c r="F121" s="21"/>
      <c r="G121" s="324"/>
      <c r="H121" s="322"/>
      <c r="I121" s="110"/>
    </row>
    <row r="122" spans="1:9" ht="18.75">
      <c r="A122" s="20" t="s">
        <v>138</v>
      </c>
      <c r="B122" s="20"/>
      <c r="C122" s="20"/>
      <c r="D122" s="20"/>
      <c r="E122" s="20"/>
      <c r="F122" s="20"/>
      <c r="G122" s="320">
        <f>G111+G120</f>
        <v>77332764</v>
      </c>
      <c r="H122" s="320">
        <f>H111+H120</f>
        <v>305141032</v>
      </c>
      <c r="I122" s="110">
        <f>H122/G122*100</f>
        <v>394.581825628268</v>
      </c>
    </row>
    <row r="123" spans="7:8" ht="15.75">
      <c r="G123" s="309"/>
      <c r="H123" s="309"/>
    </row>
    <row r="124" spans="7:8" ht="15.75">
      <c r="G124" s="309"/>
      <c r="H124" s="309"/>
    </row>
    <row r="125" spans="7:8" ht="15.75">
      <c r="G125" s="309"/>
      <c r="H125" s="309"/>
    </row>
    <row r="126" spans="7:8" ht="15.75">
      <c r="G126" s="309"/>
      <c r="H126" s="309"/>
    </row>
    <row r="127" spans="7:8" ht="15.75">
      <c r="G127" s="309"/>
      <c r="H127" s="309"/>
    </row>
    <row r="128" spans="7:8" ht="15.75">
      <c r="G128" s="309"/>
      <c r="H128" s="309"/>
    </row>
    <row r="129" spans="7:8" ht="15.75">
      <c r="G129" s="309"/>
      <c r="H129" s="309"/>
    </row>
    <row r="130" spans="7:8" ht="15.75">
      <c r="G130" s="309"/>
      <c r="H130" s="309"/>
    </row>
    <row r="131" spans="7:8" ht="15.75">
      <c r="G131" s="309"/>
      <c r="H131" s="309"/>
    </row>
    <row r="132" spans="7:8" ht="15.75">
      <c r="G132" s="309"/>
      <c r="H132" s="309"/>
    </row>
    <row r="133" spans="7:8" ht="15.75">
      <c r="G133" s="309"/>
      <c r="H133" s="309"/>
    </row>
    <row r="134" spans="7:8" ht="15.75">
      <c r="G134" s="309"/>
      <c r="H134" s="309"/>
    </row>
    <row r="135" spans="7:8" ht="15.75">
      <c r="G135" s="309"/>
      <c r="H135" s="309"/>
    </row>
    <row r="136" spans="7:8" ht="15.75">
      <c r="G136" s="309"/>
      <c r="H136" s="309"/>
    </row>
    <row r="137" spans="7:8" ht="15.75">
      <c r="G137" s="309"/>
      <c r="H137" s="309"/>
    </row>
    <row r="138" spans="7:8" ht="15.75">
      <c r="G138" s="309"/>
      <c r="H138" s="309"/>
    </row>
    <row r="139" spans="7:8" ht="15.75">
      <c r="G139" s="309"/>
      <c r="H139" s="309"/>
    </row>
    <row r="140" spans="7:8" ht="15.75">
      <c r="G140" s="309"/>
      <c r="H140" s="309"/>
    </row>
    <row r="141" spans="7:8" ht="15.75">
      <c r="G141" s="309"/>
      <c r="H141" s="309"/>
    </row>
    <row r="142" spans="7:8" ht="15.75">
      <c r="G142" s="309"/>
      <c r="H142" s="309"/>
    </row>
    <row r="143" spans="7:8" ht="15.75">
      <c r="G143" s="309"/>
      <c r="H143" s="309"/>
    </row>
    <row r="144" spans="7:8" ht="15.75">
      <c r="G144" s="309"/>
      <c r="H144" s="309"/>
    </row>
    <row r="145" spans="7:8" ht="15.75">
      <c r="G145" s="309"/>
      <c r="H145" s="309"/>
    </row>
    <row r="146" spans="7:8" ht="15.75">
      <c r="G146" s="309"/>
      <c r="H146" s="309"/>
    </row>
    <row r="147" spans="7:8" ht="15.75">
      <c r="G147" s="309"/>
      <c r="H147" s="309"/>
    </row>
    <row r="148" spans="7:8" ht="15.75">
      <c r="G148" s="309"/>
      <c r="H148" s="309"/>
    </row>
    <row r="149" spans="7:8" ht="15.75">
      <c r="G149" s="309"/>
      <c r="H149" s="309"/>
    </row>
    <row r="150" spans="7:8" ht="15.75">
      <c r="G150" s="309"/>
      <c r="H150" s="309"/>
    </row>
  </sheetData>
  <sheetProtection/>
  <mergeCells count="42">
    <mergeCell ref="C114:F114"/>
    <mergeCell ref="D119:F119"/>
    <mergeCell ref="C99:F99"/>
    <mergeCell ref="C106:F106"/>
    <mergeCell ref="D107:F107"/>
    <mergeCell ref="C108:F108"/>
    <mergeCell ref="A109:F109"/>
    <mergeCell ref="B113:F113"/>
    <mergeCell ref="C51:F51"/>
    <mergeCell ref="B52:F52"/>
    <mergeCell ref="C54:F54"/>
    <mergeCell ref="D55:F55"/>
    <mergeCell ref="C56:F56"/>
    <mergeCell ref="C57:F57"/>
    <mergeCell ref="D14:F14"/>
    <mergeCell ref="A1:I1"/>
    <mergeCell ref="A6:I6"/>
    <mergeCell ref="B12:F12"/>
    <mergeCell ref="A8:F10"/>
    <mergeCell ref="A2:I2"/>
    <mergeCell ref="A3:I3"/>
    <mergeCell ref="A4:I4"/>
    <mergeCell ref="E45:F45"/>
    <mergeCell ref="C47:F47"/>
    <mergeCell ref="C42:F42"/>
    <mergeCell ref="E15:F15"/>
    <mergeCell ref="D32:F32"/>
    <mergeCell ref="D34:F34"/>
    <mergeCell ref="D35:F35"/>
    <mergeCell ref="E37:F37"/>
    <mergeCell ref="D44:F44"/>
    <mergeCell ref="D48:F48"/>
    <mergeCell ref="E49:F49"/>
    <mergeCell ref="E50:G50"/>
    <mergeCell ref="B58:F58"/>
    <mergeCell ref="A60:F60"/>
    <mergeCell ref="B61:F61"/>
    <mergeCell ref="C81:F81"/>
    <mergeCell ref="D118:F118"/>
    <mergeCell ref="D115:F115"/>
    <mergeCell ref="D116:F116"/>
    <mergeCell ref="D117:F117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32"/>
  <sheetViews>
    <sheetView zoomScalePageLayoutView="0" workbookViewId="0" topLeftCell="A16">
      <selection activeCell="C37" sqref="C37"/>
    </sheetView>
  </sheetViews>
  <sheetFormatPr defaultColWidth="9.00390625" defaultRowHeight="12.75"/>
  <cols>
    <col min="1" max="1" width="3.875" style="193" customWidth="1"/>
    <col min="2" max="2" width="9.125" style="193" customWidth="1"/>
    <col min="3" max="3" width="61.125" style="193" customWidth="1"/>
    <col min="4" max="7" width="26.25390625" style="193" customWidth="1"/>
    <col min="8" max="16384" width="9.125" style="193" customWidth="1"/>
  </cols>
  <sheetData>
    <row r="2" spans="2:7" s="185" customFormat="1" ht="15.75">
      <c r="B2" s="517" t="s">
        <v>497</v>
      </c>
      <c r="C2" s="517"/>
      <c r="D2" s="517"/>
      <c r="E2" s="517"/>
      <c r="F2" s="517"/>
      <c r="G2" s="517"/>
    </row>
    <row r="3" spans="3:7" s="82" customFormat="1" ht="15" customHeight="1">
      <c r="C3" s="515"/>
      <c r="D3" s="515"/>
      <c r="E3" s="515"/>
      <c r="F3" s="515"/>
      <c r="G3" s="515"/>
    </row>
    <row r="4" spans="2:7" s="187" customFormat="1" ht="15" customHeight="1">
      <c r="B4" s="516"/>
      <c r="C4" s="516"/>
      <c r="D4" s="516"/>
      <c r="E4" s="516"/>
      <c r="F4" s="516"/>
      <c r="G4" s="516"/>
    </row>
    <row r="5" spans="2:7" s="140" customFormat="1" ht="15" customHeight="1">
      <c r="B5" s="516" t="s">
        <v>36</v>
      </c>
      <c r="C5" s="516"/>
      <c r="D5" s="516"/>
      <c r="E5" s="516"/>
      <c r="F5" s="516"/>
      <c r="G5" s="516"/>
    </row>
    <row r="6" spans="2:7" s="140" customFormat="1" ht="15.75" customHeight="1">
      <c r="B6" s="518" t="s">
        <v>215</v>
      </c>
      <c r="C6" s="518"/>
      <c r="D6" s="518"/>
      <c r="E6" s="518"/>
      <c r="F6" s="518"/>
      <c r="G6" s="518"/>
    </row>
    <row r="7" spans="3:7" s="140" customFormat="1" ht="15" customHeight="1">
      <c r="C7" s="516" t="s">
        <v>477</v>
      </c>
      <c r="D7" s="516"/>
      <c r="E7" s="516"/>
      <c r="F7" s="516"/>
      <c r="G7" s="516"/>
    </row>
    <row r="8" spans="3:7" s="185" customFormat="1" ht="12" customHeight="1" thickBot="1">
      <c r="C8" s="186"/>
      <c r="D8" s="190"/>
      <c r="E8" s="191"/>
      <c r="F8" s="191"/>
      <c r="G8" s="192"/>
    </row>
    <row r="9" spans="1:7" s="185" customFormat="1" ht="23.25" customHeight="1" thickBot="1">
      <c r="A9" s="495" t="s">
        <v>390</v>
      </c>
      <c r="B9" s="498" t="s">
        <v>145</v>
      </c>
      <c r="C9" s="501" t="s">
        <v>146</v>
      </c>
      <c r="D9" s="504" t="s">
        <v>216</v>
      </c>
      <c r="E9" s="507" t="s">
        <v>217</v>
      </c>
      <c r="F9" s="507"/>
      <c r="G9" s="508"/>
    </row>
    <row r="10" spans="1:7" s="185" customFormat="1" ht="39.75" customHeight="1" thickBot="1">
      <c r="A10" s="496"/>
      <c r="B10" s="499"/>
      <c r="C10" s="502"/>
      <c r="D10" s="505"/>
      <c r="E10" s="329" t="s">
        <v>218</v>
      </c>
      <c r="F10" s="330" t="s">
        <v>219</v>
      </c>
      <c r="G10" s="331" t="s">
        <v>220</v>
      </c>
    </row>
    <row r="11" spans="1:7" s="185" customFormat="1" ht="22.5" customHeight="1">
      <c r="A11" s="496"/>
      <c r="B11" s="499"/>
      <c r="C11" s="502"/>
      <c r="D11" s="505"/>
      <c r="E11" s="509" t="s">
        <v>221</v>
      </c>
      <c r="F11" s="510"/>
      <c r="G11" s="511"/>
    </row>
    <row r="12" spans="1:7" ht="21.75" customHeight="1" thickBot="1">
      <c r="A12" s="497"/>
      <c r="B12" s="500"/>
      <c r="C12" s="503"/>
      <c r="D12" s="506"/>
      <c r="E12" s="512"/>
      <c r="F12" s="513"/>
      <c r="G12" s="514"/>
    </row>
    <row r="13" spans="1:7" ht="13.5" customHeight="1">
      <c r="A13" s="332" t="s">
        <v>39</v>
      </c>
      <c r="B13" s="325" t="s">
        <v>162</v>
      </c>
      <c r="C13" s="194" t="s">
        <v>163</v>
      </c>
      <c r="D13" s="195">
        <f>SUM(E13:G13)</f>
        <v>2404155</v>
      </c>
      <c r="E13" s="195">
        <f>5000+121276</f>
        <v>126276</v>
      </c>
      <c r="F13" s="195">
        <v>2277879</v>
      </c>
      <c r="G13" s="196"/>
    </row>
    <row r="14" spans="1:7" ht="13.5" customHeight="1">
      <c r="A14" s="328" t="s">
        <v>22</v>
      </c>
      <c r="B14" s="326" t="s">
        <v>164</v>
      </c>
      <c r="C14" s="133" t="s">
        <v>31</v>
      </c>
      <c r="D14" s="197">
        <f aca="true" t="shared" si="0" ref="D14:D23">SUM(E14:G14)</f>
        <v>51800</v>
      </c>
      <c r="E14" s="197">
        <v>51800</v>
      </c>
      <c r="F14" s="197"/>
      <c r="G14" s="198"/>
    </row>
    <row r="15" spans="1:7" ht="12.75" customHeight="1">
      <c r="A15" s="328" t="s">
        <v>40</v>
      </c>
      <c r="B15" s="326" t="s">
        <v>165</v>
      </c>
      <c r="C15" s="133" t="s">
        <v>166</v>
      </c>
      <c r="D15" s="197">
        <f t="shared" si="0"/>
        <v>1488836</v>
      </c>
      <c r="E15" s="197">
        <v>275000</v>
      </c>
      <c r="F15" s="197">
        <v>1213836</v>
      </c>
      <c r="G15" s="198"/>
    </row>
    <row r="16" spans="1:7" ht="13.5" customHeight="1">
      <c r="A16" s="328" t="s">
        <v>91</v>
      </c>
      <c r="B16" s="326" t="s">
        <v>222</v>
      </c>
      <c r="C16" s="133" t="s">
        <v>223</v>
      </c>
      <c r="D16" s="197">
        <f t="shared" si="0"/>
        <v>36000389</v>
      </c>
      <c r="E16" s="197">
        <f>36233972-700730+130720+467820+128360-417779+32100-632874+552400+206400</f>
        <v>36000389</v>
      </c>
      <c r="F16" s="197"/>
      <c r="G16" s="198"/>
    </row>
    <row r="17" spans="1:7" ht="15">
      <c r="A17" s="328" t="s">
        <v>92</v>
      </c>
      <c r="B17" s="326" t="s">
        <v>392</v>
      </c>
      <c r="C17" s="133" t="s">
        <v>393</v>
      </c>
      <c r="D17" s="197">
        <f t="shared" si="0"/>
        <v>120853678</v>
      </c>
      <c r="E17" s="197">
        <f>98322035+25+234696+104+964900+20902499+140000+289419</f>
        <v>120853678</v>
      </c>
      <c r="F17" s="197"/>
      <c r="G17" s="198"/>
    </row>
    <row r="18" spans="1:7" ht="15">
      <c r="A18" s="328" t="s">
        <v>98</v>
      </c>
      <c r="B18" s="326" t="s">
        <v>394</v>
      </c>
      <c r="C18" s="133" t="s">
        <v>395</v>
      </c>
      <c r="D18" s="197">
        <f t="shared" si="0"/>
        <v>0</v>
      </c>
      <c r="E18" s="197"/>
      <c r="F18" s="197"/>
      <c r="G18" s="198"/>
    </row>
    <row r="19" spans="1:7" ht="15">
      <c r="A19" s="328" t="s">
        <v>196</v>
      </c>
      <c r="B19" s="326" t="s">
        <v>169</v>
      </c>
      <c r="C19" s="133" t="s">
        <v>170</v>
      </c>
      <c r="D19" s="197">
        <f t="shared" si="0"/>
        <v>6283419</v>
      </c>
      <c r="E19" s="197">
        <v>6283419</v>
      </c>
      <c r="F19" s="197"/>
      <c r="G19" s="198"/>
    </row>
    <row r="20" spans="1:7" ht="15">
      <c r="A20" s="328" t="s">
        <v>197</v>
      </c>
      <c r="B20" s="326" t="s">
        <v>177</v>
      </c>
      <c r="C20" s="133" t="s">
        <v>178</v>
      </c>
      <c r="D20" s="197">
        <f>SUM(E20:G20)</f>
        <v>127813100</v>
      </c>
      <c r="E20" s="197">
        <f>6000000+117084290+4728810</f>
        <v>127813100</v>
      </c>
      <c r="F20" s="197"/>
      <c r="G20" s="198"/>
    </row>
    <row r="21" spans="1:7" ht="30">
      <c r="A21" s="328" t="s">
        <v>198</v>
      </c>
      <c r="B21" s="326" t="s">
        <v>367</v>
      </c>
      <c r="C21" s="133" t="s">
        <v>368</v>
      </c>
      <c r="D21" s="197">
        <f>SUM(E21:G21)</f>
        <v>100000</v>
      </c>
      <c r="E21" s="197">
        <v>100000</v>
      </c>
      <c r="F21" s="197"/>
      <c r="G21" s="198"/>
    </row>
    <row r="22" spans="1:7" ht="15">
      <c r="A22" s="328" t="s">
        <v>199</v>
      </c>
      <c r="B22" s="327">
        <v>104051</v>
      </c>
      <c r="C22" s="133" t="s">
        <v>283</v>
      </c>
      <c r="D22" s="197">
        <f t="shared" si="0"/>
        <v>0</v>
      </c>
      <c r="E22" s="197"/>
      <c r="F22" s="197"/>
      <c r="G22" s="198"/>
    </row>
    <row r="23" spans="1:7" ht="30" customHeight="1" thickBot="1">
      <c r="A23" s="328" t="s">
        <v>200</v>
      </c>
      <c r="B23" s="327">
        <v>900020</v>
      </c>
      <c r="C23" s="133" t="s">
        <v>228</v>
      </c>
      <c r="D23" s="197">
        <f t="shared" si="0"/>
        <v>6123056</v>
      </c>
      <c r="E23" s="197">
        <f>8295000-2100000-140000+68056</f>
        <v>6123056</v>
      </c>
      <c r="F23" s="197"/>
      <c r="G23" s="198"/>
    </row>
    <row r="24" spans="1:7" ht="15" thickBot="1">
      <c r="A24" s="434" t="s">
        <v>201</v>
      </c>
      <c r="B24" s="435"/>
      <c r="C24" s="421" t="s">
        <v>428</v>
      </c>
      <c r="D24" s="423">
        <f>SUM(D13:D23)</f>
        <v>301118433</v>
      </c>
      <c r="E24" s="423">
        <f>SUM(E13:E23)</f>
        <v>297626718</v>
      </c>
      <c r="F24" s="423">
        <f>SUM(F13:F23)</f>
        <v>3491715</v>
      </c>
      <c r="G24" s="423">
        <f>SUM(G13:G23)</f>
        <v>0</v>
      </c>
    </row>
    <row r="25" spans="1:7" ht="14.25">
      <c r="A25" s="462"/>
      <c r="B25" s="462"/>
      <c r="C25" s="462"/>
      <c r="D25" s="463"/>
      <c r="E25" s="463"/>
      <c r="F25" s="463"/>
      <c r="G25" s="463"/>
    </row>
    <row r="26" spans="1:7" ht="15">
      <c r="A26" s="328" t="s">
        <v>202</v>
      </c>
      <c r="B26" s="326" t="s">
        <v>392</v>
      </c>
      <c r="C26" s="133" t="s">
        <v>393</v>
      </c>
      <c r="D26" s="197">
        <f>SUM(E26:G26)</f>
        <v>822484</v>
      </c>
      <c r="E26" s="197">
        <v>822484</v>
      </c>
      <c r="F26" s="450"/>
      <c r="G26" s="450"/>
    </row>
    <row r="27" spans="1:7" ht="15.75" thickBot="1">
      <c r="A27" s="415" t="s">
        <v>203</v>
      </c>
      <c r="B27" s="326" t="s">
        <v>224</v>
      </c>
      <c r="C27" s="133" t="s">
        <v>225</v>
      </c>
      <c r="D27" s="197">
        <f>SUM(E27:G27)</f>
        <v>339094</v>
      </c>
      <c r="E27" s="197">
        <v>339094</v>
      </c>
      <c r="F27" s="197"/>
      <c r="G27" s="198"/>
    </row>
    <row r="28" spans="1:7" ht="15.75" thickBot="1">
      <c r="A28" s="199" t="s">
        <v>204</v>
      </c>
      <c r="B28" s="326" t="s">
        <v>226</v>
      </c>
      <c r="C28" s="133" t="s">
        <v>227</v>
      </c>
      <c r="D28" s="197">
        <f>SUM(E28:G28)</f>
        <v>522193</v>
      </c>
      <c r="E28" s="197"/>
      <c r="F28" s="197">
        <v>522193</v>
      </c>
      <c r="G28" s="198"/>
    </row>
    <row r="29" spans="1:7" ht="15.75" thickBot="1">
      <c r="A29" s="199" t="s">
        <v>206</v>
      </c>
      <c r="B29" s="326" t="s">
        <v>226</v>
      </c>
      <c r="C29" s="135" t="s">
        <v>365</v>
      </c>
      <c r="D29" s="197">
        <f>SUM(E29:G29)</f>
        <v>743175</v>
      </c>
      <c r="E29" s="197"/>
      <c r="F29" s="197">
        <v>743175</v>
      </c>
      <c r="G29" s="198"/>
    </row>
    <row r="30" spans="1:7" ht="15.75" thickBot="1">
      <c r="A30" s="199" t="s">
        <v>207</v>
      </c>
      <c r="B30" s="327" t="s">
        <v>186</v>
      </c>
      <c r="C30" s="395" t="s">
        <v>281</v>
      </c>
      <c r="D30" s="419">
        <f>SUM(E30:G30)</f>
        <v>1595653</v>
      </c>
      <c r="E30" s="419">
        <v>1595653</v>
      </c>
      <c r="F30" s="419"/>
      <c r="G30" s="420"/>
    </row>
    <row r="31" spans="1:7" ht="15" thickBot="1">
      <c r="A31" s="199" t="s">
        <v>208</v>
      </c>
      <c r="B31" s="199"/>
      <c r="C31" s="408" t="s">
        <v>431</v>
      </c>
      <c r="D31" s="436">
        <f>D27+D28+D29+D30+D26</f>
        <v>4022599</v>
      </c>
      <c r="E31" s="436">
        <f>E27+E28+E29+E30</f>
        <v>1934747</v>
      </c>
      <c r="F31" s="436">
        <f>F27+F28+F29+F30</f>
        <v>1265368</v>
      </c>
      <c r="G31" s="436">
        <f>G27+G28+G29+G30</f>
        <v>0</v>
      </c>
    </row>
    <row r="32" spans="1:7" ht="16.5" thickBot="1">
      <c r="A32" s="444" t="s">
        <v>275</v>
      </c>
      <c r="B32" s="199"/>
      <c r="C32" s="409" t="s">
        <v>432</v>
      </c>
      <c r="D32" s="436">
        <f>D24+D31</f>
        <v>305141032</v>
      </c>
      <c r="E32" s="436">
        <f>E24+E31</f>
        <v>299561465</v>
      </c>
      <c r="F32" s="436">
        <f>F24+F31</f>
        <v>4757083</v>
      </c>
      <c r="G32" s="436">
        <f>G24+G31</f>
        <v>0</v>
      </c>
    </row>
  </sheetData>
  <sheetProtection/>
  <mergeCells count="12">
    <mergeCell ref="C3:G3"/>
    <mergeCell ref="C7:G7"/>
    <mergeCell ref="B2:G2"/>
    <mergeCell ref="B4:G4"/>
    <mergeCell ref="B5:G5"/>
    <mergeCell ref="B6:G6"/>
    <mergeCell ref="A9:A12"/>
    <mergeCell ref="B9:B12"/>
    <mergeCell ref="C9:C12"/>
    <mergeCell ref="D9:D12"/>
    <mergeCell ref="E9:G9"/>
    <mergeCell ref="E11:G12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49"/>
  <sheetViews>
    <sheetView zoomScalePageLayoutView="0" workbookViewId="0" topLeftCell="F1">
      <selection activeCell="D39" sqref="D39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0.25390625" style="10" customWidth="1"/>
    <col min="10" max="10" width="12.25390625" style="10" customWidth="1"/>
    <col min="11" max="11" width="13.003906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11.25390625" style="10" customWidth="1"/>
    <col min="17" max="17" width="10.625" style="10" customWidth="1"/>
    <col min="18" max="18" width="11.00390625" style="10" customWidth="1"/>
    <col min="19" max="19" width="10.875" style="10" customWidth="1"/>
    <col min="20" max="16384" width="9.125" style="10" customWidth="1"/>
  </cols>
  <sheetData>
    <row r="1" spans="2:20" ht="15.75">
      <c r="B1" s="517" t="s">
        <v>498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</row>
    <row r="2" spans="2:17" ht="15.75" customHeight="1"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</row>
    <row r="3" spans="2:20" s="131" customFormat="1" ht="15.75" customHeight="1"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</row>
    <row r="4" spans="2:17" s="131" customFormat="1" ht="15.7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2:21" s="131" customFormat="1" ht="15.75" customHeight="1">
      <c r="B5" s="523" t="s">
        <v>36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</row>
    <row r="6" spans="2:21" s="131" customFormat="1" ht="15.75" customHeight="1">
      <c r="B6" s="523" t="s">
        <v>144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</row>
    <row r="7" spans="2:21" s="131" customFormat="1" ht="15.75" customHeight="1">
      <c r="B7" s="523" t="s">
        <v>476</v>
      </c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</row>
    <row r="8" spans="20:21" s="131" customFormat="1" ht="15.75" thickBot="1">
      <c r="T8" s="524" t="s">
        <v>391</v>
      </c>
      <c r="U8" s="524"/>
    </row>
    <row r="9" spans="1:21" s="132" customFormat="1" ht="20.25" customHeight="1" thickBot="1">
      <c r="A9" s="539" t="s">
        <v>390</v>
      </c>
      <c r="B9" s="536" t="s">
        <v>145</v>
      </c>
      <c r="C9" s="530" t="s">
        <v>146</v>
      </c>
      <c r="D9" s="533" t="s">
        <v>147</v>
      </c>
      <c r="E9" s="525" t="s">
        <v>148</v>
      </c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7"/>
      <c r="T9" s="528" t="s">
        <v>3</v>
      </c>
      <c r="U9" s="529"/>
    </row>
    <row r="10" spans="1:21" s="132" customFormat="1" ht="38.25" customHeight="1" thickBot="1">
      <c r="A10" s="540"/>
      <c r="B10" s="537"/>
      <c r="C10" s="531"/>
      <c r="D10" s="534"/>
      <c r="E10" s="542" t="s">
        <v>65</v>
      </c>
      <c r="F10" s="543"/>
      <c r="G10" s="543"/>
      <c r="H10" s="543"/>
      <c r="I10" s="543"/>
      <c r="J10" s="543"/>
      <c r="K10" s="544"/>
      <c r="L10" s="548" t="s">
        <v>66</v>
      </c>
      <c r="M10" s="549"/>
      <c r="N10" s="549"/>
      <c r="O10" s="550"/>
      <c r="P10" s="551" t="s">
        <v>149</v>
      </c>
      <c r="Q10" s="552"/>
      <c r="R10" s="552"/>
      <c r="S10" s="553"/>
      <c r="T10" s="521" t="s">
        <v>7</v>
      </c>
      <c r="U10" s="522"/>
    </row>
    <row r="11" spans="1:21" s="132" customFormat="1" ht="21" customHeight="1" thickBot="1">
      <c r="A11" s="540"/>
      <c r="B11" s="537"/>
      <c r="C11" s="531"/>
      <c r="D11" s="534"/>
      <c r="E11" s="533" t="s">
        <v>150</v>
      </c>
      <c r="F11" s="533" t="s">
        <v>151</v>
      </c>
      <c r="G11" s="533" t="s">
        <v>152</v>
      </c>
      <c r="H11" s="533" t="s">
        <v>153</v>
      </c>
      <c r="I11" s="533" t="s">
        <v>154</v>
      </c>
      <c r="J11" s="533" t="s">
        <v>521</v>
      </c>
      <c r="K11" s="554" t="s">
        <v>155</v>
      </c>
      <c r="L11" s="557" t="s">
        <v>156</v>
      </c>
      <c r="M11" s="557" t="s">
        <v>67</v>
      </c>
      <c r="N11" s="533" t="s">
        <v>229</v>
      </c>
      <c r="O11" s="545" t="s">
        <v>230</v>
      </c>
      <c r="P11" s="533" t="s">
        <v>366</v>
      </c>
      <c r="Q11" s="533" t="s">
        <v>157</v>
      </c>
      <c r="R11" s="533" t="s">
        <v>158</v>
      </c>
      <c r="S11" s="545" t="s">
        <v>231</v>
      </c>
      <c r="T11" s="183" t="s">
        <v>159</v>
      </c>
      <c r="U11" s="184" t="s">
        <v>160</v>
      </c>
    </row>
    <row r="12" spans="1:21" s="132" customFormat="1" ht="18.75" customHeight="1">
      <c r="A12" s="540"/>
      <c r="B12" s="537"/>
      <c r="C12" s="531"/>
      <c r="D12" s="534"/>
      <c r="E12" s="534"/>
      <c r="F12" s="534"/>
      <c r="G12" s="534"/>
      <c r="H12" s="534"/>
      <c r="I12" s="534"/>
      <c r="J12" s="560"/>
      <c r="K12" s="555"/>
      <c r="L12" s="558"/>
      <c r="M12" s="558"/>
      <c r="N12" s="534"/>
      <c r="O12" s="546"/>
      <c r="P12" s="534"/>
      <c r="Q12" s="534"/>
      <c r="R12" s="534"/>
      <c r="S12" s="546"/>
      <c r="T12" s="519" t="s">
        <v>161</v>
      </c>
      <c r="U12" s="520"/>
    </row>
    <row r="13" spans="1:21" s="132" customFormat="1" ht="20.25" customHeight="1" thickBot="1">
      <c r="A13" s="541"/>
      <c r="B13" s="538"/>
      <c r="C13" s="532"/>
      <c r="D13" s="535"/>
      <c r="E13" s="535"/>
      <c r="F13" s="535"/>
      <c r="G13" s="535"/>
      <c r="H13" s="535"/>
      <c r="I13" s="535"/>
      <c r="J13" s="561"/>
      <c r="K13" s="556"/>
      <c r="L13" s="559"/>
      <c r="M13" s="559"/>
      <c r="N13" s="535"/>
      <c r="O13" s="547"/>
      <c r="P13" s="535"/>
      <c r="Q13" s="535"/>
      <c r="R13" s="535"/>
      <c r="S13" s="547"/>
      <c r="T13" s="521"/>
      <c r="U13" s="522"/>
    </row>
    <row r="14" spans="1:21" s="131" customFormat="1" ht="30">
      <c r="A14" s="374" t="s">
        <v>39</v>
      </c>
      <c r="B14" s="372" t="s">
        <v>162</v>
      </c>
      <c r="C14" s="133" t="s">
        <v>163</v>
      </c>
      <c r="D14" s="341">
        <f>K14+O14+Q14+R14</f>
        <v>46341601</v>
      </c>
      <c r="E14" s="333">
        <f>13212033+4108+105000</f>
        <v>13321141</v>
      </c>
      <c r="F14" s="334">
        <f>2600726-4108+16276</f>
        <v>2612894</v>
      </c>
      <c r="G14" s="334">
        <f>3859180+140000-337700+191440</f>
        <v>3852920</v>
      </c>
      <c r="H14" s="334"/>
      <c r="I14" s="334">
        <f>445200+20902499-700730+130720+467820+128360-40640-128360+32100-2100000-140000+68056-18619825</f>
        <v>445200</v>
      </c>
      <c r="J14" s="334">
        <f>18619825-632874+206400-1238250-677368+4098290+3028250</f>
        <v>23404273</v>
      </c>
      <c r="K14" s="335">
        <f>SUM(E14:J14)</f>
        <v>43636428</v>
      </c>
      <c r="L14" s="336">
        <v>101600</v>
      </c>
      <c r="M14" s="336"/>
      <c r="N14" s="336">
        <v>2603573</v>
      </c>
      <c r="O14" s="337">
        <f>SUM(L14:N14)</f>
        <v>2705173</v>
      </c>
      <c r="P14" s="337"/>
      <c r="Q14" s="338"/>
      <c r="R14" s="339"/>
      <c r="S14" s="339"/>
      <c r="T14" s="378">
        <f>0.5+0.1+0.2-0.3</f>
        <v>0.5</v>
      </c>
      <c r="U14" s="379">
        <v>0.5</v>
      </c>
    </row>
    <row r="15" spans="1:21" s="131" customFormat="1" ht="15">
      <c r="A15" s="374" t="s">
        <v>22</v>
      </c>
      <c r="B15" s="326" t="s">
        <v>164</v>
      </c>
      <c r="C15" s="133" t="s">
        <v>31</v>
      </c>
      <c r="D15" s="341">
        <f aca="true" t="shared" si="0" ref="D15:D37">K15+O15+Q15+R15</f>
        <v>68150</v>
      </c>
      <c r="E15" s="333"/>
      <c r="F15" s="334"/>
      <c r="G15" s="334">
        <v>68150</v>
      </c>
      <c r="H15" s="334"/>
      <c r="I15" s="334"/>
      <c r="J15" s="334"/>
      <c r="K15" s="335">
        <f aca="true" t="shared" si="1" ref="K15:K22">SUM(E15:I15)</f>
        <v>68150</v>
      </c>
      <c r="L15" s="336"/>
      <c r="M15" s="336"/>
      <c r="N15" s="336"/>
      <c r="O15" s="337"/>
      <c r="P15" s="337"/>
      <c r="Q15" s="338"/>
      <c r="R15" s="339"/>
      <c r="S15" s="339"/>
      <c r="T15" s="380"/>
      <c r="U15" s="381"/>
    </row>
    <row r="16" spans="1:21" s="131" customFormat="1" ht="29.25" customHeight="1">
      <c r="A16" s="374" t="s">
        <v>40</v>
      </c>
      <c r="B16" s="326" t="s">
        <v>165</v>
      </c>
      <c r="C16" s="133" t="s">
        <v>166</v>
      </c>
      <c r="D16" s="341">
        <f>K16+O16+S16</f>
        <v>507808</v>
      </c>
      <c r="E16" s="333"/>
      <c r="F16" s="334"/>
      <c r="G16" s="334">
        <v>507808</v>
      </c>
      <c r="H16" s="334"/>
      <c r="I16" s="334"/>
      <c r="J16" s="334"/>
      <c r="K16" s="335">
        <f t="shared" si="1"/>
        <v>507808</v>
      </c>
      <c r="L16" s="336"/>
      <c r="M16" s="336"/>
      <c r="N16" s="336"/>
      <c r="O16" s="337">
        <f>SUM(L16:N16)</f>
        <v>0</v>
      </c>
      <c r="P16" s="337"/>
      <c r="Q16" s="338"/>
      <c r="R16" s="339"/>
      <c r="S16" s="339"/>
      <c r="T16" s="382"/>
      <c r="U16" s="381"/>
    </row>
    <row r="17" spans="1:21" s="131" customFormat="1" ht="30" customHeight="1">
      <c r="A17" s="374" t="s">
        <v>91</v>
      </c>
      <c r="B17" s="326" t="s">
        <v>222</v>
      </c>
      <c r="C17" s="133" t="s">
        <v>223</v>
      </c>
      <c r="D17" s="341">
        <f>K17+O17+S17</f>
        <v>1449359</v>
      </c>
      <c r="E17" s="333"/>
      <c r="F17" s="334"/>
      <c r="G17" s="334"/>
      <c r="H17" s="334"/>
      <c r="I17" s="334"/>
      <c r="J17" s="334"/>
      <c r="K17" s="335">
        <f t="shared" si="1"/>
        <v>0</v>
      </c>
      <c r="L17" s="336"/>
      <c r="M17" s="336"/>
      <c r="N17" s="336"/>
      <c r="O17" s="337">
        <f>SUM(L17:N17)</f>
        <v>0</v>
      </c>
      <c r="P17" s="337">
        <v>1449359</v>
      </c>
      <c r="Q17" s="338"/>
      <c r="R17" s="339"/>
      <c r="S17" s="339">
        <f>P17+Q17+R17</f>
        <v>1449359</v>
      </c>
      <c r="T17" s="378"/>
      <c r="U17" s="381"/>
    </row>
    <row r="18" spans="1:21" s="131" customFormat="1" ht="17.25" customHeight="1">
      <c r="A18" s="374" t="s">
        <v>92</v>
      </c>
      <c r="B18" s="326" t="s">
        <v>392</v>
      </c>
      <c r="C18" s="133" t="s">
        <v>393</v>
      </c>
      <c r="D18" s="341">
        <f>K18+O18+S18</f>
        <v>1300000</v>
      </c>
      <c r="E18" s="333"/>
      <c r="F18" s="334"/>
      <c r="G18" s="334"/>
      <c r="H18" s="334"/>
      <c r="I18" s="334">
        <f>1200000+100000</f>
        <v>1300000</v>
      </c>
      <c r="J18" s="334"/>
      <c r="K18" s="335">
        <f t="shared" si="1"/>
        <v>1300000</v>
      </c>
      <c r="L18" s="336"/>
      <c r="M18" s="336"/>
      <c r="N18" s="336"/>
      <c r="O18" s="337"/>
      <c r="P18" s="337"/>
      <c r="Q18" s="338"/>
      <c r="R18" s="339"/>
      <c r="S18" s="339"/>
      <c r="T18" s="378"/>
      <c r="U18" s="381"/>
    </row>
    <row r="19" spans="1:21" s="131" customFormat="1" ht="18.75" customHeight="1">
      <c r="A19" s="374" t="s">
        <v>98</v>
      </c>
      <c r="B19" s="326" t="s">
        <v>394</v>
      </c>
      <c r="C19" s="133" t="s">
        <v>395</v>
      </c>
      <c r="D19" s="341">
        <f>K19+O19+S19</f>
        <v>127000</v>
      </c>
      <c r="E19" s="333"/>
      <c r="F19" s="334"/>
      <c r="G19" s="334">
        <v>127000</v>
      </c>
      <c r="H19" s="334"/>
      <c r="I19" s="334"/>
      <c r="J19" s="334"/>
      <c r="K19" s="335">
        <f t="shared" si="1"/>
        <v>127000</v>
      </c>
      <c r="L19" s="336"/>
      <c r="M19" s="336"/>
      <c r="N19" s="336"/>
      <c r="O19" s="337">
        <f>SUM(L19:N19)</f>
        <v>0</v>
      </c>
      <c r="P19" s="337"/>
      <c r="Q19" s="338"/>
      <c r="R19" s="339"/>
      <c r="S19" s="339"/>
      <c r="T19" s="378"/>
      <c r="U19" s="381"/>
    </row>
    <row r="20" spans="1:21" s="131" customFormat="1" ht="24.75" customHeight="1">
      <c r="A20" s="374" t="s">
        <v>196</v>
      </c>
      <c r="B20" s="326" t="s">
        <v>167</v>
      </c>
      <c r="C20" s="133" t="s">
        <v>168</v>
      </c>
      <c r="D20" s="341">
        <f>K20+O20+Q20+R20</f>
        <v>36830</v>
      </c>
      <c r="E20" s="333"/>
      <c r="F20" s="334"/>
      <c r="G20" s="334">
        <f>26670+10160</f>
        <v>36830</v>
      </c>
      <c r="H20" s="334"/>
      <c r="I20" s="334"/>
      <c r="J20" s="334"/>
      <c r="K20" s="335">
        <f t="shared" si="1"/>
        <v>36830</v>
      </c>
      <c r="L20" s="336"/>
      <c r="M20" s="336"/>
      <c r="N20" s="336"/>
      <c r="O20" s="337">
        <f>SUM(L20:N20)</f>
        <v>0</v>
      </c>
      <c r="P20" s="337"/>
      <c r="Q20" s="338"/>
      <c r="R20" s="339"/>
      <c r="S20" s="339"/>
      <c r="T20" s="378"/>
      <c r="U20" s="381"/>
    </row>
    <row r="21" spans="1:21" s="131" customFormat="1" ht="15">
      <c r="A21" s="374" t="s">
        <v>197</v>
      </c>
      <c r="B21" s="326" t="s">
        <v>372</v>
      </c>
      <c r="C21" s="133" t="s">
        <v>373</v>
      </c>
      <c r="D21" s="341">
        <f>K21+O21+Q21+R21</f>
        <v>64516</v>
      </c>
      <c r="E21" s="333"/>
      <c r="F21" s="334"/>
      <c r="G21" s="334">
        <f>74676-10160</f>
        <v>64516</v>
      </c>
      <c r="H21" s="334"/>
      <c r="I21" s="334"/>
      <c r="J21" s="334"/>
      <c r="K21" s="335">
        <f t="shared" si="1"/>
        <v>64516</v>
      </c>
      <c r="L21" s="336"/>
      <c r="M21" s="336"/>
      <c r="N21" s="336"/>
      <c r="O21" s="337">
        <f>SUM(L21:N21)</f>
        <v>0</v>
      </c>
      <c r="P21" s="337"/>
      <c r="Q21" s="338"/>
      <c r="R21" s="339"/>
      <c r="S21" s="339"/>
      <c r="T21" s="378"/>
      <c r="U21" s="381"/>
    </row>
    <row r="22" spans="1:21" s="131" customFormat="1" ht="30">
      <c r="A22" s="374" t="s">
        <v>198</v>
      </c>
      <c r="B22" s="326" t="s">
        <v>169</v>
      </c>
      <c r="C22" s="133" t="s">
        <v>170</v>
      </c>
      <c r="D22" s="341">
        <f>K22+O22+Q22+R22</f>
        <v>6283419</v>
      </c>
      <c r="E22" s="333"/>
      <c r="F22" s="334"/>
      <c r="G22" s="334">
        <v>6283419</v>
      </c>
      <c r="H22" s="334"/>
      <c r="I22" s="334"/>
      <c r="J22" s="334"/>
      <c r="K22" s="335">
        <f t="shared" si="1"/>
        <v>6283419</v>
      </c>
      <c r="L22" s="336"/>
      <c r="M22" s="336"/>
      <c r="N22" s="336"/>
      <c r="O22" s="337">
        <f>SUM(L22:N22)</f>
        <v>0</v>
      </c>
      <c r="P22" s="337"/>
      <c r="Q22" s="338"/>
      <c r="R22" s="339"/>
      <c r="S22" s="339"/>
      <c r="T22" s="382"/>
      <c r="U22" s="381"/>
    </row>
    <row r="23" spans="1:21" s="131" customFormat="1" ht="15">
      <c r="A23" s="374" t="s">
        <v>199</v>
      </c>
      <c r="B23" s="326" t="s">
        <v>171</v>
      </c>
      <c r="C23" s="133" t="s">
        <v>172</v>
      </c>
      <c r="D23" s="341">
        <f>K23+O23+Q23+R23</f>
        <v>1000000</v>
      </c>
      <c r="E23" s="333"/>
      <c r="F23" s="334"/>
      <c r="G23" s="334"/>
      <c r="H23" s="334"/>
      <c r="I23" s="334"/>
      <c r="J23" s="334"/>
      <c r="K23" s="335"/>
      <c r="L23" s="336"/>
      <c r="M23" s="336"/>
      <c r="N23" s="336">
        <v>1000000</v>
      </c>
      <c r="O23" s="337">
        <f>SUM(L23:N23)</f>
        <v>1000000</v>
      </c>
      <c r="P23" s="337"/>
      <c r="Q23" s="338"/>
      <c r="R23" s="339"/>
      <c r="S23" s="339"/>
      <c r="T23" s="382"/>
      <c r="U23" s="381"/>
    </row>
    <row r="24" spans="1:21" s="131" customFormat="1" ht="15">
      <c r="A24" s="374" t="s">
        <v>200</v>
      </c>
      <c r="B24" s="326" t="s">
        <v>173</v>
      </c>
      <c r="C24" s="133" t="s">
        <v>174</v>
      </c>
      <c r="D24" s="341">
        <f t="shared" si="0"/>
        <v>1943100</v>
      </c>
      <c r="E24" s="333"/>
      <c r="F24" s="334"/>
      <c r="G24" s="334">
        <v>1943100</v>
      </c>
      <c r="H24" s="336"/>
      <c r="I24" s="334"/>
      <c r="J24" s="334"/>
      <c r="K24" s="335">
        <f aca="true" t="shared" si="2" ref="K24:K34">SUM(E24:I24)</f>
        <v>1943100</v>
      </c>
      <c r="L24" s="336"/>
      <c r="M24" s="336"/>
      <c r="N24" s="336"/>
      <c r="O24" s="337"/>
      <c r="P24" s="337"/>
      <c r="Q24" s="338"/>
      <c r="R24" s="339"/>
      <c r="S24" s="339"/>
      <c r="T24" s="382"/>
      <c r="U24" s="381"/>
    </row>
    <row r="25" spans="1:21" s="131" customFormat="1" ht="15">
      <c r="A25" s="374" t="s">
        <v>201</v>
      </c>
      <c r="B25" s="326" t="s">
        <v>175</v>
      </c>
      <c r="C25" s="133" t="s">
        <v>176</v>
      </c>
      <c r="D25" s="341">
        <f t="shared" si="0"/>
        <v>232410</v>
      </c>
      <c r="E25" s="333"/>
      <c r="F25" s="334"/>
      <c r="G25" s="334">
        <v>232410</v>
      </c>
      <c r="H25" s="336"/>
      <c r="I25" s="334"/>
      <c r="J25" s="334"/>
      <c r="K25" s="335">
        <f t="shared" si="2"/>
        <v>232410</v>
      </c>
      <c r="L25" s="336"/>
      <c r="M25" s="336"/>
      <c r="N25" s="336"/>
      <c r="O25" s="337"/>
      <c r="P25" s="337"/>
      <c r="Q25" s="338"/>
      <c r="R25" s="339"/>
      <c r="S25" s="339"/>
      <c r="T25" s="382"/>
      <c r="U25" s="381"/>
    </row>
    <row r="26" spans="1:21" s="131" customFormat="1" ht="30">
      <c r="A26" s="374" t="s">
        <v>202</v>
      </c>
      <c r="B26" s="326" t="s">
        <v>177</v>
      </c>
      <c r="C26" s="133" t="s">
        <v>178</v>
      </c>
      <c r="D26" s="341">
        <f t="shared" si="0"/>
        <v>219513226</v>
      </c>
      <c r="E26" s="333">
        <f>1974000+8217</f>
        <v>1982217</v>
      </c>
      <c r="F26" s="334">
        <f>353550-8217</f>
        <v>345333</v>
      </c>
      <c r="G26" s="334">
        <f>2944946+964900+4728810+1238250+300000-3028250</f>
        <v>7148656</v>
      </c>
      <c r="H26" s="336"/>
      <c r="I26" s="334"/>
      <c r="J26" s="334"/>
      <c r="K26" s="335">
        <f t="shared" si="2"/>
        <v>9476206</v>
      </c>
      <c r="L26" s="336">
        <f>9741809+25+234696+117084290+4098290-4098290</f>
        <v>127060820</v>
      </c>
      <c r="M26" s="336">
        <f>87074386+104-4098290</f>
        <v>82976200</v>
      </c>
      <c r="N26" s="336"/>
      <c r="O26" s="337">
        <f>SUM(L26:N26)</f>
        <v>210037020</v>
      </c>
      <c r="P26" s="337"/>
      <c r="Q26" s="338"/>
      <c r="R26" s="339"/>
      <c r="S26" s="339"/>
      <c r="T26" s="382">
        <v>1</v>
      </c>
      <c r="U26" s="381">
        <v>1</v>
      </c>
    </row>
    <row r="27" spans="1:21" s="131" customFormat="1" ht="15">
      <c r="A27" s="374" t="s">
        <v>203</v>
      </c>
      <c r="B27" s="326" t="s">
        <v>179</v>
      </c>
      <c r="C27" s="133" t="s">
        <v>29</v>
      </c>
      <c r="D27" s="341">
        <f t="shared" si="0"/>
        <v>146050</v>
      </c>
      <c r="E27" s="333"/>
      <c r="F27" s="334"/>
      <c r="G27" s="334">
        <v>146050</v>
      </c>
      <c r="H27" s="336"/>
      <c r="I27" s="334"/>
      <c r="J27" s="334"/>
      <c r="K27" s="335">
        <f t="shared" si="2"/>
        <v>146050</v>
      </c>
      <c r="L27" s="336"/>
      <c r="M27" s="336"/>
      <c r="N27" s="336"/>
      <c r="O27" s="337">
        <f aca="true" t="shared" si="3" ref="O27:O37">SUM(L27:N27)</f>
        <v>0</v>
      </c>
      <c r="P27" s="337"/>
      <c r="Q27" s="338"/>
      <c r="R27" s="339"/>
      <c r="S27" s="339"/>
      <c r="T27" s="382"/>
      <c r="U27" s="381"/>
    </row>
    <row r="28" spans="1:21" s="131" customFormat="1" ht="30">
      <c r="A28" s="374" t="s">
        <v>204</v>
      </c>
      <c r="B28" s="326" t="s">
        <v>522</v>
      </c>
      <c r="C28" s="133" t="s">
        <v>523</v>
      </c>
      <c r="D28" s="341">
        <f t="shared" si="0"/>
        <v>562896</v>
      </c>
      <c r="E28" s="333"/>
      <c r="F28" s="334"/>
      <c r="G28" s="334">
        <f>337700+39268</f>
        <v>376968</v>
      </c>
      <c r="H28" s="336"/>
      <c r="I28" s="334"/>
      <c r="J28" s="334"/>
      <c r="K28" s="335">
        <f t="shared" si="2"/>
        <v>376968</v>
      </c>
      <c r="L28" s="336">
        <v>185928</v>
      </c>
      <c r="M28" s="336"/>
      <c r="N28" s="336"/>
      <c r="O28" s="337">
        <f>SUM(L28:N28)</f>
        <v>185928</v>
      </c>
      <c r="P28" s="337"/>
      <c r="Q28" s="338"/>
      <c r="R28" s="339"/>
      <c r="S28" s="339"/>
      <c r="T28" s="382"/>
      <c r="U28" s="381"/>
    </row>
    <row r="29" spans="1:21" s="131" customFormat="1" ht="31.5" customHeight="1">
      <c r="A29" s="374" t="s">
        <v>206</v>
      </c>
      <c r="B29" s="326" t="s">
        <v>180</v>
      </c>
      <c r="C29" s="133" t="s">
        <v>181</v>
      </c>
      <c r="D29" s="341">
        <f t="shared" si="0"/>
        <v>675000</v>
      </c>
      <c r="E29" s="333"/>
      <c r="F29" s="334"/>
      <c r="G29" s="334"/>
      <c r="H29" s="334"/>
      <c r="I29" s="334">
        <v>675000</v>
      </c>
      <c r="J29" s="334"/>
      <c r="K29" s="335">
        <f t="shared" si="2"/>
        <v>675000</v>
      </c>
      <c r="L29" s="336"/>
      <c r="M29" s="336"/>
      <c r="N29" s="336"/>
      <c r="O29" s="337">
        <f t="shared" si="3"/>
        <v>0</v>
      </c>
      <c r="P29" s="337"/>
      <c r="Q29" s="338"/>
      <c r="R29" s="339"/>
      <c r="S29" s="339"/>
      <c r="T29" s="382"/>
      <c r="U29" s="381"/>
    </row>
    <row r="30" spans="1:21" s="131" customFormat="1" ht="15">
      <c r="A30" s="374" t="s">
        <v>207</v>
      </c>
      <c r="B30" s="326" t="s">
        <v>182</v>
      </c>
      <c r="C30" s="133" t="s">
        <v>32</v>
      </c>
      <c r="D30" s="341">
        <f t="shared" si="0"/>
        <v>1097824</v>
      </c>
      <c r="E30" s="333">
        <f>725740+1644</f>
        <v>727384</v>
      </c>
      <c r="F30" s="334">
        <f>128625-1644</f>
        <v>126981</v>
      </c>
      <c r="G30" s="334">
        <v>63500</v>
      </c>
      <c r="H30" s="334"/>
      <c r="I30" s="334"/>
      <c r="J30" s="334"/>
      <c r="K30" s="335">
        <f t="shared" si="2"/>
        <v>917865</v>
      </c>
      <c r="L30" s="336">
        <v>179959</v>
      </c>
      <c r="M30" s="336"/>
      <c r="N30" s="336"/>
      <c r="O30" s="337">
        <f t="shared" si="3"/>
        <v>179959</v>
      </c>
      <c r="P30" s="337"/>
      <c r="Q30" s="338"/>
      <c r="R30" s="339"/>
      <c r="S30" s="339"/>
      <c r="T30" s="382">
        <v>0.2</v>
      </c>
      <c r="U30" s="381">
        <v>0.2</v>
      </c>
    </row>
    <row r="31" spans="1:21" s="131" customFormat="1" ht="30">
      <c r="A31" s="374" t="s">
        <v>208</v>
      </c>
      <c r="B31" s="326" t="s">
        <v>367</v>
      </c>
      <c r="C31" s="133" t="s">
        <v>368</v>
      </c>
      <c r="D31" s="341">
        <f t="shared" si="0"/>
        <v>3606259</v>
      </c>
      <c r="E31" s="333">
        <f>2488610+2465</f>
        <v>2491075</v>
      </c>
      <c r="F31" s="334">
        <f>192937-2465</f>
        <v>190472</v>
      </c>
      <c r="G31" s="334">
        <f>863980+100000-39268</f>
        <v>924712</v>
      </c>
      <c r="H31" s="334"/>
      <c r="I31" s="334"/>
      <c r="J31" s="334"/>
      <c r="K31" s="335">
        <f t="shared" si="2"/>
        <v>3606259</v>
      </c>
      <c r="L31" s="336"/>
      <c r="M31" s="336"/>
      <c r="N31" s="336"/>
      <c r="O31" s="337">
        <f t="shared" si="3"/>
        <v>0</v>
      </c>
      <c r="P31" s="337"/>
      <c r="Q31" s="338"/>
      <c r="R31" s="339"/>
      <c r="S31" s="339"/>
      <c r="T31" s="382">
        <f>0.3</f>
        <v>0.3</v>
      </c>
      <c r="U31" s="381">
        <f>T31</f>
        <v>0.3</v>
      </c>
    </row>
    <row r="32" spans="1:21" s="131" customFormat="1" ht="15">
      <c r="A32" s="374" t="s">
        <v>275</v>
      </c>
      <c r="B32" s="326" t="s">
        <v>369</v>
      </c>
      <c r="C32" s="133" t="s">
        <v>370</v>
      </c>
      <c r="D32" s="341">
        <f t="shared" si="0"/>
        <v>231500</v>
      </c>
      <c r="E32" s="333">
        <v>200000</v>
      </c>
      <c r="F32" s="334">
        <v>31500</v>
      </c>
      <c r="G32" s="334"/>
      <c r="H32" s="334"/>
      <c r="I32" s="334"/>
      <c r="J32" s="334"/>
      <c r="K32" s="335">
        <f t="shared" si="2"/>
        <v>231500</v>
      </c>
      <c r="L32" s="336"/>
      <c r="M32" s="336"/>
      <c r="N32" s="336"/>
      <c r="O32" s="337">
        <f t="shared" si="3"/>
        <v>0</v>
      </c>
      <c r="P32" s="337"/>
      <c r="Q32" s="338"/>
      <c r="R32" s="339"/>
      <c r="S32" s="339"/>
      <c r="T32" s="382"/>
      <c r="U32" s="381"/>
    </row>
    <row r="33" spans="1:21" s="131" customFormat="1" ht="15">
      <c r="A33" s="374" t="s">
        <v>277</v>
      </c>
      <c r="B33" s="326" t="s">
        <v>183</v>
      </c>
      <c r="C33" s="133" t="s">
        <v>30</v>
      </c>
      <c r="D33" s="341">
        <f t="shared" si="0"/>
        <v>120000</v>
      </c>
      <c r="E33" s="333"/>
      <c r="F33" s="334"/>
      <c r="G33" s="334"/>
      <c r="H33" s="334"/>
      <c r="I33" s="334">
        <v>120000</v>
      </c>
      <c r="J33" s="334"/>
      <c r="K33" s="335">
        <f t="shared" si="2"/>
        <v>120000</v>
      </c>
      <c r="L33" s="336"/>
      <c r="M33" s="336"/>
      <c r="N33" s="336"/>
      <c r="O33" s="337">
        <f t="shared" si="3"/>
        <v>0</v>
      </c>
      <c r="P33" s="337"/>
      <c r="Q33" s="338"/>
      <c r="R33" s="339"/>
      <c r="S33" s="339"/>
      <c r="T33" s="382"/>
      <c r="U33" s="381"/>
    </row>
    <row r="34" spans="1:21" s="131" customFormat="1" ht="15">
      <c r="A34" s="374" t="s">
        <v>397</v>
      </c>
      <c r="B34" s="326" t="s">
        <v>184</v>
      </c>
      <c r="C34" s="133" t="s">
        <v>185</v>
      </c>
      <c r="D34" s="341">
        <f t="shared" si="0"/>
        <v>0</v>
      </c>
      <c r="E34" s="333"/>
      <c r="F34" s="334"/>
      <c r="G34" s="334"/>
      <c r="H34" s="334"/>
      <c r="I34" s="334"/>
      <c r="J34" s="334"/>
      <c r="K34" s="335">
        <f t="shared" si="2"/>
        <v>0</v>
      </c>
      <c r="L34" s="336"/>
      <c r="M34" s="336"/>
      <c r="N34" s="336"/>
      <c r="O34" s="337">
        <f t="shared" si="3"/>
        <v>0</v>
      </c>
      <c r="P34" s="337"/>
      <c r="Q34" s="338"/>
      <c r="R34" s="339"/>
      <c r="S34" s="339"/>
      <c r="T34" s="382"/>
      <c r="U34" s="381"/>
    </row>
    <row r="35" spans="1:21" s="131" customFormat="1" ht="30">
      <c r="A35" s="374" t="s">
        <v>398</v>
      </c>
      <c r="B35" s="326">
        <v>104051</v>
      </c>
      <c r="C35" s="133" t="s">
        <v>283</v>
      </c>
      <c r="D35" s="341"/>
      <c r="E35" s="333"/>
      <c r="F35" s="334"/>
      <c r="G35" s="334"/>
      <c r="H35" s="334"/>
      <c r="I35" s="334"/>
      <c r="J35" s="334"/>
      <c r="K35" s="335"/>
      <c r="L35" s="336"/>
      <c r="M35" s="336"/>
      <c r="N35" s="336"/>
      <c r="O35" s="337"/>
      <c r="P35" s="337"/>
      <c r="Q35" s="338"/>
      <c r="R35" s="339"/>
      <c r="S35" s="339"/>
      <c r="T35" s="382"/>
      <c r="U35" s="381"/>
    </row>
    <row r="36" spans="1:21" s="131" customFormat="1" ht="15">
      <c r="A36" s="374" t="s">
        <v>399</v>
      </c>
      <c r="B36" s="326">
        <v>107052</v>
      </c>
      <c r="C36" s="136" t="s">
        <v>187</v>
      </c>
      <c r="D36" s="341">
        <f t="shared" si="0"/>
        <v>132050</v>
      </c>
      <c r="E36" s="333"/>
      <c r="F36" s="334"/>
      <c r="G36" s="334">
        <v>132050</v>
      </c>
      <c r="H36" s="334"/>
      <c r="I36" s="334"/>
      <c r="J36" s="334"/>
      <c r="K36" s="335">
        <f>SUM(E36:I36)</f>
        <v>132050</v>
      </c>
      <c r="L36" s="336"/>
      <c r="M36" s="336"/>
      <c r="N36" s="336"/>
      <c r="O36" s="337">
        <f t="shared" si="3"/>
        <v>0</v>
      </c>
      <c r="P36" s="337"/>
      <c r="Q36" s="338"/>
      <c r="R36" s="339"/>
      <c r="S36" s="339"/>
      <c r="T36" s="382"/>
      <c r="U36" s="381"/>
    </row>
    <row r="37" spans="1:21" s="131" customFormat="1" ht="27.75" customHeight="1" thickBot="1">
      <c r="A37" s="374" t="s">
        <v>400</v>
      </c>
      <c r="B37" s="326">
        <v>107060</v>
      </c>
      <c r="C37" s="133" t="s">
        <v>188</v>
      </c>
      <c r="D37" s="341">
        <f t="shared" si="0"/>
        <v>3323040</v>
      </c>
      <c r="E37" s="333"/>
      <c r="F37" s="334"/>
      <c r="G37" s="334">
        <f>40640+552400</f>
        <v>593040</v>
      </c>
      <c r="H37" s="334">
        <v>2700000</v>
      </c>
      <c r="I37" s="334">
        <v>30000</v>
      </c>
      <c r="J37" s="334"/>
      <c r="K37" s="335">
        <f>SUM(E37:I37)</f>
        <v>3323040</v>
      </c>
      <c r="L37" s="336"/>
      <c r="M37" s="336"/>
      <c r="N37" s="336"/>
      <c r="O37" s="337">
        <f t="shared" si="3"/>
        <v>0</v>
      </c>
      <c r="P37" s="337"/>
      <c r="Q37" s="338"/>
      <c r="R37" s="339"/>
      <c r="S37" s="339"/>
      <c r="T37" s="378"/>
      <c r="U37" s="381"/>
    </row>
    <row r="38" spans="1:21" ht="15" thickBot="1">
      <c r="A38" s="406" t="s">
        <v>401</v>
      </c>
      <c r="B38" s="373"/>
      <c r="C38" s="200" t="s">
        <v>428</v>
      </c>
      <c r="D38" s="340">
        <f aca="true" t="shared" si="4" ref="D38:U38">SUM(D14:D37)</f>
        <v>288762038</v>
      </c>
      <c r="E38" s="340">
        <f t="shared" si="4"/>
        <v>18721817</v>
      </c>
      <c r="F38" s="340">
        <f t="shared" si="4"/>
        <v>3307180</v>
      </c>
      <c r="G38" s="340">
        <f t="shared" si="4"/>
        <v>22501129</v>
      </c>
      <c r="H38" s="340">
        <f t="shared" si="4"/>
        <v>2700000</v>
      </c>
      <c r="I38" s="340">
        <f t="shared" si="4"/>
        <v>2570200</v>
      </c>
      <c r="J38" s="340">
        <f t="shared" si="4"/>
        <v>23404273</v>
      </c>
      <c r="K38" s="340">
        <f>SUM(K14:K37)</f>
        <v>73204599</v>
      </c>
      <c r="L38" s="340">
        <f t="shared" si="4"/>
        <v>127528307</v>
      </c>
      <c r="M38" s="340">
        <f t="shared" si="4"/>
        <v>82976200</v>
      </c>
      <c r="N38" s="340">
        <f t="shared" si="4"/>
        <v>3603573</v>
      </c>
      <c r="O38" s="340">
        <f t="shared" si="4"/>
        <v>214108080</v>
      </c>
      <c r="P38" s="340">
        <f t="shared" si="4"/>
        <v>1449359</v>
      </c>
      <c r="Q38" s="340">
        <f t="shared" si="4"/>
        <v>0</v>
      </c>
      <c r="R38" s="340">
        <f t="shared" si="4"/>
        <v>0</v>
      </c>
      <c r="S38" s="340">
        <f t="shared" si="4"/>
        <v>1449359</v>
      </c>
      <c r="T38" s="383">
        <f t="shared" si="4"/>
        <v>2</v>
      </c>
      <c r="U38" s="383">
        <f t="shared" si="4"/>
        <v>2</v>
      </c>
    </row>
    <row r="39" spans="1:21" ht="14.25">
      <c r="A39" s="447"/>
      <c r="B39" s="410"/>
      <c r="C39" s="410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2"/>
      <c r="U39" s="412"/>
    </row>
    <row r="40" spans="1:21" ht="15">
      <c r="A40" s="374" t="s">
        <v>459</v>
      </c>
      <c r="B40" s="326" t="s">
        <v>392</v>
      </c>
      <c r="C40" s="133" t="s">
        <v>393</v>
      </c>
      <c r="D40" s="392">
        <f aca="true" t="shared" si="5" ref="D40:D45">K40+O40+Q40+R40</f>
        <v>89479</v>
      </c>
      <c r="E40" s="457"/>
      <c r="F40" s="448"/>
      <c r="G40" s="334">
        <v>89479</v>
      </c>
      <c r="H40" s="457"/>
      <c r="I40" s="457"/>
      <c r="J40" s="457"/>
      <c r="K40" s="335">
        <f aca="true" t="shared" si="6" ref="K40:K45">SUM(E40:I40)</f>
        <v>89479</v>
      </c>
      <c r="L40" s="457"/>
      <c r="M40" s="457"/>
      <c r="N40" s="457"/>
      <c r="O40" s="457"/>
      <c r="P40" s="457"/>
      <c r="Q40" s="457"/>
      <c r="R40" s="457"/>
      <c r="S40" s="457"/>
      <c r="T40" s="458"/>
      <c r="U40" s="458"/>
    </row>
    <row r="41" spans="1:21" ht="15">
      <c r="A41" s="374" t="s">
        <v>403</v>
      </c>
      <c r="B41" s="326" t="s">
        <v>426</v>
      </c>
      <c r="C41" s="133" t="s">
        <v>427</v>
      </c>
      <c r="D41" s="392">
        <f t="shared" si="5"/>
        <v>0</v>
      </c>
      <c r="E41" s="448">
        <f>82280-82280</f>
        <v>0</v>
      </c>
      <c r="F41" s="448">
        <f>7199-7199</f>
        <v>0</v>
      </c>
      <c r="G41" s="448"/>
      <c r="H41" s="448"/>
      <c r="I41" s="448"/>
      <c r="J41" s="448"/>
      <c r="K41" s="335">
        <f t="shared" si="6"/>
        <v>0</v>
      </c>
      <c r="L41" s="448"/>
      <c r="M41" s="448"/>
      <c r="N41" s="448"/>
      <c r="O41" s="448"/>
      <c r="P41" s="448"/>
      <c r="Q41" s="448"/>
      <c r="R41" s="448"/>
      <c r="S41" s="448"/>
      <c r="T41" s="449"/>
      <c r="U41" s="449"/>
    </row>
    <row r="42" spans="1:21" ht="19.5" customHeight="1">
      <c r="A42" s="374" t="s">
        <v>411</v>
      </c>
      <c r="B42" s="326" t="s">
        <v>224</v>
      </c>
      <c r="C42" s="133" t="s">
        <v>225</v>
      </c>
      <c r="D42" s="392">
        <f t="shared" si="5"/>
        <v>8226029</v>
      </c>
      <c r="E42" s="391">
        <f>3232996+8546</f>
        <v>3241542</v>
      </c>
      <c r="F42" s="334">
        <f>555998-8546</f>
        <v>547452</v>
      </c>
      <c r="G42" s="334">
        <f>4009344+427691</f>
        <v>4437035</v>
      </c>
      <c r="H42" s="334"/>
      <c r="I42" s="334"/>
      <c r="J42" s="334"/>
      <c r="K42" s="335">
        <f t="shared" si="6"/>
        <v>8226029</v>
      </c>
      <c r="L42" s="336"/>
      <c r="M42" s="336"/>
      <c r="N42" s="336"/>
      <c r="O42" s="337">
        <f>SUM(L42:N42)</f>
        <v>0</v>
      </c>
      <c r="P42" s="337"/>
      <c r="Q42" s="338"/>
      <c r="R42" s="339"/>
      <c r="S42" s="339"/>
      <c r="T42" s="382">
        <v>1</v>
      </c>
      <c r="U42" s="381">
        <v>1</v>
      </c>
    </row>
    <row r="43" spans="1:21" ht="30">
      <c r="A43" s="394" t="s">
        <v>429</v>
      </c>
      <c r="B43" s="326" t="s">
        <v>226</v>
      </c>
      <c r="C43" s="133" t="s">
        <v>227</v>
      </c>
      <c r="D43" s="393">
        <f t="shared" si="5"/>
        <v>1974827</v>
      </c>
      <c r="E43" s="391">
        <f>746076+1972</f>
        <v>748048</v>
      </c>
      <c r="F43" s="334">
        <f>128307-1972</f>
        <v>126335</v>
      </c>
      <c r="G43" s="334">
        <f>1001745+98699</f>
        <v>1100444</v>
      </c>
      <c r="H43" s="334"/>
      <c r="I43" s="334"/>
      <c r="J43" s="334"/>
      <c r="K43" s="335">
        <f t="shared" si="6"/>
        <v>1974827</v>
      </c>
      <c r="L43" s="336"/>
      <c r="M43" s="336"/>
      <c r="N43" s="336"/>
      <c r="O43" s="337">
        <f>SUM(L43:N43)</f>
        <v>0</v>
      </c>
      <c r="P43" s="337"/>
      <c r="Q43" s="338"/>
      <c r="R43" s="339"/>
      <c r="S43" s="339"/>
      <c r="T43" s="382"/>
      <c r="U43" s="381"/>
    </row>
    <row r="44" spans="1:21" ht="15">
      <c r="A44" s="394" t="s">
        <v>430</v>
      </c>
      <c r="B44" s="326" t="s">
        <v>282</v>
      </c>
      <c r="C44" s="135" t="s">
        <v>371</v>
      </c>
      <c r="D44" s="393">
        <f t="shared" si="5"/>
        <v>1711172</v>
      </c>
      <c r="E44" s="391">
        <f>621730+1643</f>
        <v>623373</v>
      </c>
      <c r="F44" s="334">
        <f>106923-1643</f>
        <v>105280</v>
      </c>
      <c r="G44" s="334">
        <f>900271+82248</f>
        <v>982519</v>
      </c>
      <c r="H44" s="334"/>
      <c r="I44" s="334"/>
      <c r="J44" s="334"/>
      <c r="K44" s="335">
        <f t="shared" si="6"/>
        <v>1711172</v>
      </c>
      <c r="L44" s="336"/>
      <c r="M44" s="336"/>
      <c r="N44" s="336"/>
      <c r="O44" s="337">
        <f>SUM(L44:N44)</f>
        <v>0</v>
      </c>
      <c r="P44" s="337"/>
      <c r="Q44" s="338"/>
      <c r="R44" s="339"/>
      <c r="S44" s="339"/>
      <c r="T44" s="382"/>
      <c r="U44" s="381"/>
    </row>
    <row r="45" spans="1:21" ht="16.5" customHeight="1" thickBot="1">
      <c r="A45" s="464" t="s">
        <v>460</v>
      </c>
      <c r="B45" s="327" t="s">
        <v>186</v>
      </c>
      <c r="C45" s="395" t="s">
        <v>281</v>
      </c>
      <c r="D45" s="396">
        <f t="shared" si="5"/>
        <v>4377487</v>
      </c>
      <c r="E45" s="397">
        <f>1616498+4273</f>
        <v>1620771</v>
      </c>
      <c r="F45" s="398">
        <f>277999-4273</f>
        <v>273726</v>
      </c>
      <c r="G45" s="398">
        <f>2269144+213846</f>
        <v>2482990</v>
      </c>
      <c r="H45" s="398"/>
      <c r="I45" s="398"/>
      <c r="J45" s="398"/>
      <c r="K45" s="399">
        <f t="shared" si="6"/>
        <v>4377487</v>
      </c>
      <c r="L45" s="400"/>
      <c r="M45" s="400"/>
      <c r="N45" s="400"/>
      <c r="O45" s="401">
        <f>SUM(L45:N45)</f>
        <v>0</v>
      </c>
      <c r="P45" s="401"/>
      <c r="Q45" s="402"/>
      <c r="R45" s="403"/>
      <c r="S45" s="403"/>
      <c r="T45" s="380">
        <v>1</v>
      </c>
      <c r="U45" s="404">
        <v>1</v>
      </c>
    </row>
    <row r="46" spans="1:21" ht="21.75" customHeight="1" thickBot="1">
      <c r="A46" s="407" t="s">
        <v>513</v>
      </c>
      <c r="B46" s="405"/>
      <c r="C46" s="408" t="s">
        <v>431</v>
      </c>
      <c r="D46" s="413">
        <f>D43+D44+D45+D42+D41+D40</f>
        <v>16378994</v>
      </c>
      <c r="E46" s="413">
        <f>E43+E44+E45+E42+E41</f>
        <v>6233734</v>
      </c>
      <c r="F46" s="413">
        <f>F43+F44+F45+F42+F41+F40</f>
        <v>1052793</v>
      </c>
      <c r="G46" s="413">
        <f>G43+G44+G45+G42+G41+G40</f>
        <v>9092467</v>
      </c>
      <c r="H46" s="413">
        <f>H43+H44+H45+H42+H41</f>
        <v>0</v>
      </c>
      <c r="I46" s="413">
        <f>I43+I44+I45+I42+I41</f>
        <v>0</v>
      </c>
      <c r="J46" s="413"/>
      <c r="K46" s="413">
        <f>K43+K44+K45+K42+K41+K40</f>
        <v>16378994</v>
      </c>
      <c r="L46" s="413">
        <f aca="true" t="shared" si="7" ref="L46:U46">L43+L44+L45+L42</f>
        <v>0</v>
      </c>
      <c r="M46" s="413">
        <f t="shared" si="7"/>
        <v>0</v>
      </c>
      <c r="N46" s="413">
        <f t="shared" si="7"/>
        <v>0</v>
      </c>
      <c r="O46" s="413">
        <f t="shared" si="7"/>
        <v>0</v>
      </c>
      <c r="P46" s="413">
        <f t="shared" si="7"/>
        <v>0</v>
      </c>
      <c r="Q46" s="413">
        <f t="shared" si="7"/>
        <v>0</v>
      </c>
      <c r="R46" s="413">
        <f t="shared" si="7"/>
        <v>0</v>
      </c>
      <c r="S46" s="413">
        <f t="shared" si="7"/>
        <v>0</v>
      </c>
      <c r="T46" s="446">
        <f t="shared" si="7"/>
        <v>2</v>
      </c>
      <c r="U46" s="446">
        <f t="shared" si="7"/>
        <v>2</v>
      </c>
    </row>
    <row r="47" spans="1:21" ht="16.5" thickBot="1">
      <c r="A47" s="407" t="s">
        <v>524</v>
      </c>
      <c r="B47" s="405"/>
      <c r="C47" s="409" t="s">
        <v>432</v>
      </c>
      <c r="D47" s="413">
        <f>D38+D46</f>
        <v>305141032</v>
      </c>
      <c r="E47" s="413">
        <f aca="true" t="shared" si="8" ref="E47:U47">E38+E46</f>
        <v>24955551</v>
      </c>
      <c r="F47" s="413">
        <f>F38+F46</f>
        <v>4359973</v>
      </c>
      <c r="G47" s="413">
        <f t="shared" si="8"/>
        <v>31593596</v>
      </c>
      <c r="H47" s="413">
        <f t="shared" si="8"/>
        <v>2700000</v>
      </c>
      <c r="I47" s="413">
        <f t="shared" si="8"/>
        <v>2570200</v>
      </c>
      <c r="J47" s="413">
        <f t="shared" si="8"/>
        <v>23404273</v>
      </c>
      <c r="K47" s="413">
        <f>K38+K46</f>
        <v>89583593</v>
      </c>
      <c r="L47" s="413">
        <f t="shared" si="8"/>
        <v>127528307</v>
      </c>
      <c r="M47" s="413">
        <f t="shared" si="8"/>
        <v>82976200</v>
      </c>
      <c r="N47" s="413">
        <f t="shared" si="8"/>
        <v>3603573</v>
      </c>
      <c r="O47" s="413">
        <f t="shared" si="8"/>
        <v>214108080</v>
      </c>
      <c r="P47" s="413">
        <f t="shared" si="8"/>
        <v>1449359</v>
      </c>
      <c r="Q47" s="413">
        <f t="shared" si="8"/>
        <v>0</v>
      </c>
      <c r="R47" s="413">
        <f t="shared" si="8"/>
        <v>0</v>
      </c>
      <c r="S47" s="413">
        <f t="shared" si="8"/>
        <v>1449359</v>
      </c>
      <c r="T47" s="446">
        <f t="shared" si="8"/>
        <v>4</v>
      </c>
      <c r="U47" s="446">
        <f t="shared" si="8"/>
        <v>4</v>
      </c>
    </row>
    <row r="48" spans="4:10" ht="12.75">
      <c r="D48" s="414"/>
      <c r="J48" s="414"/>
    </row>
    <row r="49" ht="12.75">
      <c r="D49" s="414"/>
    </row>
  </sheetData>
  <sheetProtection/>
  <mergeCells count="33">
    <mergeCell ref="B1:T1"/>
    <mergeCell ref="H11:H13"/>
    <mergeCell ref="Q11:Q13"/>
    <mergeCell ref="J11:J13"/>
    <mergeCell ref="P11:P13"/>
    <mergeCell ref="B2:Q2"/>
    <mergeCell ref="B3:T3"/>
    <mergeCell ref="R11:R13"/>
    <mergeCell ref="P10:S10"/>
    <mergeCell ref="T10:U10"/>
    <mergeCell ref="S11:S13"/>
    <mergeCell ref="K11:K13"/>
    <mergeCell ref="G11:G13"/>
    <mergeCell ref="L11:L13"/>
    <mergeCell ref="M11:M13"/>
    <mergeCell ref="A9:A13"/>
    <mergeCell ref="I11:I13"/>
    <mergeCell ref="D9:D13"/>
    <mergeCell ref="E10:K10"/>
    <mergeCell ref="N11:N13"/>
    <mergeCell ref="O11:O13"/>
    <mergeCell ref="E11:E13"/>
    <mergeCell ref="L10:O10"/>
    <mergeCell ref="T12:U13"/>
    <mergeCell ref="B5:U5"/>
    <mergeCell ref="B6:U6"/>
    <mergeCell ref="B7:U7"/>
    <mergeCell ref="T8:U8"/>
    <mergeCell ref="E9:S9"/>
    <mergeCell ref="T9:U9"/>
    <mergeCell ref="C9:C13"/>
    <mergeCell ref="F11:F13"/>
    <mergeCell ref="B9:B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6"/>
  <sheetViews>
    <sheetView zoomScalePageLayoutView="0" workbookViewId="0" topLeftCell="A1">
      <selection activeCell="A9" sqref="A9:G46"/>
    </sheetView>
  </sheetViews>
  <sheetFormatPr defaultColWidth="9.00390625" defaultRowHeight="12.75"/>
  <cols>
    <col min="1" max="1" width="4.125" style="193" customWidth="1"/>
    <col min="2" max="2" width="9.125" style="193" customWidth="1"/>
    <col min="3" max="3" width="63.125" style="193" customWidth="1"/>
    <col min="4" max="4" width="24.00390625" style="193" customWidth="1"/>
    <col min="5" max="7" width="26.25390625" style="193" customWidth="1"/>
    <col min="8" max="16384" width="9.125" style="193" customWidth="1"/>
  </cols>
  <sheetData>
    <row r="2" spans="2:7" s="185" customFormat="1" ht="15.75">
      <c r="B2" s="517" t="s">
        <v>499</v>
      </c>
      <c r="C2" s="517"/>
      <c r="D2" s="517"/>
      <c r="E2" s="517"/>
      <c r="F2" s="517"/>
      <c r="G2" s="517"/>
    </row>
    <row r="3" spans="3:7" s="82" customFormat="1" ht="15" customHeight="1">
      <c r="C3" s="515"/>
      <c r="D3" s="515"/>
      <c r="E3" s="515"/>
      <c r="F3" s="515"/>
      <c r="G3" s="515"/>
    </row>
    <row r="4" spans="4:7" s="187" customFormat="1" ht="15" customHeight="1">
      <c r="D4" s="188"/>
      <c r="E4" s="189"/>
      <c r="F4" s="189"/>
      <c r="G4" s="189"/>
    </row>
    <row r="5" spans="3:7" s="140" customFormat="1" ht="15" customHeight="1">
      <c r="C5" s="516" t="s">
        <v>36</v>
      </c>
      <c r="D5" s="516"/>
      <c r="E5" s="516"/>
      <c r="F5" s="516"/>
      <c r="G5" s="516"/>
    </row>
    <row r="6" spans="3:7" s="140" customFormat="1" ht="15.75" customHeight="1">
      <c r="C6" s="518" t="s">
        <v>233</v>
      </c>
      <c r="D6" s="518"/>
      <c r="E6" s="518"/>
      <c r="F6" s="518"/>
      <c r="G6" s="518"/>
    </row>
    <row r="7" spans="3:7" s="140" customFormat="1" ht="15" customHeight="1">
      <c r="C7" s="516" t="s">
        <v>477</v>
      </c>
      <c r="D7" s="516"/>
      <c r="E7" s="516"/>
      <c r="F7" s="516"/>
      <c r="G7" s="516"/>
    </row>
    <row r="8" spans="3:7" s="185" customFormat="1" ht="12" customHeight="1" thickBot="1">
      <c r="C8" s="186"/>
      <c r="D8" s="190"/>
      <c r="E8" s="191"/>
      <c r="F8" s="191"/>
      <c r="G8" s="192"/>
    </row>
    <row r="9" spans="1:7" s="185" customFormat="1" ht="19.5" customHeight="1" thickBot="1">
      <c r="A9" s="566" t="s">
        <v>404</v>
      </c>
      <c r="B9" s="568" t="s">
        <v>145</v>
      </c>
      <c r="C9" s="501" t="s">
        <v>146</v>
      </c>
      <c r="D9" s="504" t="s">
        <v>234</v>
      </c>
      <c r="E9" s="507" t="s">
        <v>217</v>
      </c>
      <c r="F9" s="507"/>
      <c r="G9" s="508"/>
    </row>
    <row r="10" spans="1:7" s="185" customFormat="1" ht="33" customHeight="1" thickBot="1">
      <c r="A10" s="567"/>
      <c r="B10" s="569"/>
      <c r="C10" s="502"/>
      <c r="D10" s="505"/>
      <c r="E10" s="329" t="s">
        <v>218</v>
      </c>
      <c r="F10" s="330" t="s">
        <v>219</v>
      </c>
      <c r="G10" s="331" t="s">
        <v>220</v>
      </c>
    </row>
    <row r="11" spans="1:7" s="185" customFormat="1" ht="22.5" customHeight="1">
      <c r="A11" s="567"/>
      <c r="B11" s="569"/>
      <c r="C11" s="502"/>
      <c r="D11" s="505"/>
      <c r="E11" s="509" t="s">
        <v>221</v>
      </c>
      <c r="F11" s="510"/>
      <c r="G11" s="511"/>
    </row>
    <row r="12" spans="1:7" ht="13.5" customHeight="1" thickBot="1">
      <c r="A12" s="567"/>
      <c r="B12" s="569"/>
      <c r="C12" s="502"/>
      <c r="D12" s="505"/>
      <c r="E12" s="563"/>
      <c r="F12" s="564"/>
      <c r="G12" s="565"/>
    </row>
    <row r="13" spans="1:7" ht="30">
      <c r="A13" s="819" t="s">
        <v>39</v>
      </c>
      <c r="B13" s="372" t="s">
        <v>162</v>
      </c>
      <c r="C13" s="820" t="s">
        <v>163</v>
      </c>
      <c r="D13" s="821">
        <f>SUM(E13:G13)</f>
        <v>46341601</v>
      </c>
      <c r="E13" s="822">
        <f>19073318+20902499-700730+130720+467820+140000+128360-40640-337700-128360+32100+68056-632874+206400-1238250-677368+191440+121276+4098290+3028250</f>
        <v>44832607</v>
      </c>
      <c r="F13" s="823">
        <f>1145421+2603573-2100000-140000</f>
        <v>1508994</v>
      </c>
      <c r="G13" s="824"/>
    </row>
    <row r="14" spans="1:7" ht="15">
      <c r="A14" s="332" t="s">
        <v>22</v>
      </c>
      <c r="B14" s="351" t="s">
        <v>164</v>
      </c>
      <c r="C14" s="352" t="s">
        <v>31</v>
      </c>
      <c r="D14" s="360">
        <f aca="true" t="shared" si="0" ref="D14:D35">SUM(E14:G14)</f>
        <v>68150</v>
      </c>
      <c r="E14" s="356">
        <v>68150</v>
      </c>
      <c r="F14" s="195"/>
      <c r="G14" s="196"/>
    </row>
    <row r="15" spans="1:7" ht="15">
      <c r="A15" s="328" t="s">
        <v>40</v>
      </c>
      <c r="B15" s="326" t="s">
        <v>165</v>
      </c>
      <c r="C15" s="133" t="s">
        <v>166</v>
      </c>
      <c r="D15" s="361">
        <f t="shared" si="0"/>
        <v>507808</v>
      </c>
      <c r="E15" s="357">
        <v>507808</v>
      </c>
      <c r="F15" s="197"/>
      <c r="G15" s="198"/>
    </row>
    <row r="16" spans="1:7" ht="15">
      <c r="A16" s="328" t="s">
        <v>91</v>
      </c>
      <c r="B16" s="326" t="s">
        <v>222</v>
      </c>
      <c r="C16" s="133" t="s">
        <v>223</v>
      </c>
      <c r="D16" s="361">
        <f>SUM(E16:G16)</f>
        <v>1449359</v>
      </c>
      <c r="E16" s="357">
        <v>1449359</v>
      </c>
      <c r="F16" s="197"/>
      <c r="G16" s="198"/>
    </row>
    <row r="17" spans="1:7" ht="15">
      <c r="A17" s="328" t="s">
        <v>92</v>
      </c>
      <c r="B17" s="326" t="s">
        <v>392</v>
      </c>
      <c r="C17" s="133" t="s">
        <v>393</v>
      </c>
      <c r="D17" s="361">
        <f>SUM(E17:G17)</f>
        <v>1300000</v>
      </c>
      <c r="E17" s="357">
        <v>1200000</v>
      </c>
      <c r="F17" s="197">
        <v>100000</v>
      </c>
      <c r="G17" s="198"/>
    </row>
    <row r="18" spans="1:7" ht="15">
      <c r="A18" s="328" t="s">
        <v>98</v>
      </c>
      <c r="B18" s="134" t="s">
        <v>394</v>
      </c>
      <c r="C18" s="133" t="s">
        <v>395</v>
      </c>
      <c r="D18" s="361">
        <f>SUM(E18:G18)</f>
        <v>127000</v>
      </c>
      <c r="E18" s="357">
        <v>127000</v>
      </c>
      <c r="F18" s="197"/>
      <c r="G18" s="198"/>
    </row>
    <row r="19" spans="1:7" ht="27" customHeight="1">
      <c r="A19" s="328" t="s">
        <v>196</v>
      </c>
      <c r="B19" s="326" t="s">
        <v>167</v>
      </c>
      <c r="C19" s="133" t="s">
        <v>168</v>
      </c>
      <c r="D19" s="361">
        <f t="shared" si="0"/>
        <v>36830</v>
      </c>
      <c r="E19" s="357">
        <f>26670+10160</f>
        <v>36830</v>
      </c>
      <c r="F19" s="197"/>
      <c r="G19" s="198"/>
    </row>
    <row r="20" spans="1:7" ht="15">
      <c r="A20" s="328" t="s">
        <v>197</v>
      </c>
      <c r="B20" s="326" t="s">
        <v>372</v>
      </c>
      <c r="C20" s="133" t="s">
        <v>373</v>
      </c>
      <c r="D20" s="361">
        <f t="shared" si="0"/>
        <v>64516</v>
      </c>
      <c r="E20" s="358">
        <f>74676-10160</f>
        <v>64516</v>
      </c>
      <c r="F20" s="139"/>
      <c r="G20" s="353"/>
    </row>
    <row r="21" spans="1:7" ht="15">
      <c r="A21" s="328" t="s">
        <v>198</v>
      </c>
      <c r="B21" s="326" t="s">
        <v>169</v>
      </c>
      <c r="C21" s="133" t="s">
        <v>170</v>
      </c>
      <c r="D21" s="361">
        <f t="shared" si="0"/>
        <v>6283419</v>
      </c>
      <c r="E21" s="357">
        <v>6283419</v>
      </c>
      <c r="F21" s="197"/>
      <c r="G21" s="198"/>
    </row>
    <row r="22" spans="1:7" ht="15">
      <c r="A22" s="328" t="s">
        <v>199</v>
      </c>
      <c r="B22" s="326" t="s">
        <v>171</v>
      </c>
      <c r="C22" s="133" t="s">
        <v>172</v>
      </c>
      <c r="D22" s="361">
        <f t="shared" si="0"/>
        <v>1000000</v>
      </c>
      <c r="E22" s="357"/>
      <c r="F22" s="197">
        <v>1000000</v>
      </c>
      <c r="G22" s="198"/>
    </row>
    <row r="23" spans="1:7" ht="15">
      <c r="A23" s="328" t="s">
        <v>200</v>
      </c>
      <c r="B23" s="326" t="s">
        <v>173</v>
      </c>
      <c r="C23" s="133" t="s">
        <v>174</v>
      </c>
      <c r="D23" s="361">
        <f t="shared" si="0"/>
        <v>1943100</v>
      </c>
      <c r="E23" s="357">
        <v>1943100</v>
      </c>
      <c r="F23" s="197"/>
      <c r="G23" s="198"/>
    </row>
    <row r="24" spans="1:7" ht="15">
      <c r="A24" s="328" t="s">
        <v>201</v>
      </c>
      <c r="B24" s="326" t="s">
        <v>175</v>
      </c>
      <c r="C24" s="133" t="s">
        <v>176</v>
      </c>
      <c r="D24" s="361">
        <f t="shared" si="0"/>
        <v>232410</v>
      </c>
      <c r="E24" s="357">
        <v>232410</v>
      </c>
      <c r="F24" s="197"/>
      <c r="G24" s="198"/>
    </row>
    <row r="25" spans="1:7" ht="15">
      <c r="A25" s="328" t="s">
        <v>202</v>
      </c>
      <c r="B25" s="326" t="s">
        <v>177</v>
      </c>
      <c r="C25" s="133" t="s">
        <v>178</v>
      </c>
      <c r="D25" s="361">
        <f t="shared" si="0"/>
        <v>219513226</v>
      </c>
      <c r="E25" s="357">
        <f>102017141+25+234696+104+964900+117084290+4728810+1238250+300000-4098290-3028250</f>
        <v>219441676</v>
      </c>
      <c r="F25" s="197">
        <v>71550</v>
      </c>
      <c r="G25" s="198"/>
    </row>
    <row r="26" spans="1:7" ht="15">
      <c r="A26" s="328" t="s">
        <v>203</v>
      </c>
      <c r="B26" s="326" t="s">
        <v>179</v>
      </c>
      <c r="C26" s="133" t="s">
        <v>29</v>
      </c>
      <c r="D26" s="361">
        <f t="shared" si="0"/>
        <v>146050</v>
      </c>
      <c r="E26" s="357">
        <v>146050</v>
      </c>
      <c r="F26" s="197"/>
      <c r="G26" s="198"/>
    </row>
    <row r="27" spans="1:7" ht="15">
      <c r="A27" s="328" t="s">
        <v>204</v>
      </c>
      <c r="B27" s="326" t="s">
        <v>522</v>
      </c>
      <c r="C27" s="133" t="s">
        <v>523</v>
      </c>
      <c r="D27" s="361">
        <f t="shared" si="0"/>
        <v>562896</v>
      </c>
      <c r="E27" s="357">
        <f>337700+185928+39268</f>
        <v>562896</v>
      </c>
      <c r="F27" s="197"/>
      <c r="G27" s="198"/>
    </row>
    <row r="28" spans="1:7" ht="15">
      <c r="A28" s="328" t="s">
        <v>206</v>
      </c>
      <c r="B28" s="326" t="s">
        <v>180</v>
      </c>
      <c r="C28" s="133" t="s">
        <v>181</v>
      </c>
      <c r="D28" s="361">
        <f t="shared" si="0"/>
        <v>675000</v>
      </c>
      <c r="E28" s="357">
        <v>675000</v>
      </c>
      <c r="F28" s="197"/>
      <c r="G28" s="198"/>
    </row>
    <row r="29" spans="1:7" ht="15">
      <c r="A29" s="328" t="s">
        <v>207</v>
      </c>
      <c r="B29" s="326" t="s">
        <v>182</v>
      </c>
      <c r="C29" s="133" t="s">
        <v>32</v>
      </c>
      <c r="D29" s="361">
        <f t="shared" si="0"/>
        <v>1097824</v>
      </c>
      <c r="E29" s="357">
        <v>1083514</v>
      </c>
      <c r="F29" s="197">
        <v>14310</v>
      </c>
      <c r="G29" s="198"/>
    </row>
    <row r="30" spans="1:7" ht="15">
      <c r="A30" s="328" t="s">
        <v>208</v>
      </c>
      <c r="B30" s="326" t="s">
        <v>367</v>
      </c>
      <c r="C30" s="133" t="s">
        <v>374</v>
      </c>
      <c r="D30" s="361">
        <f t="shared" si="0"/>
        <v>3606259</v>
      </c>
      <c r="E30" s="357">
        <f>3524062+100000-39268</f>
        <v>3584794</v>
      </c>
      <c r="F30" s="197">
        <v>21465</v>
      </c>
      <c r="G30" s="198"/>
    </row>
    <row r="31" spans="1:7" ht="15">
      <c r="A31" s="328" t="s">
        <v>275</v>
      </c>
      <c r="B31" s="326" t="s">
        <v>375</v>
      </c>
      <c r="C31" s="133" t="s">
        <v>376</v>
      </c>
      <c r="D31" s="361">
        <f t="shared" si="0"/>
        <v>231500</v>
      </c>
      <c r="E31" s="357">
        <v>231500</v>
      </c>
      <c r="F31" s="197"/>
      <c r="G31" s="198"/>
    </row>
    <row r="32" spans="1:7" ht="15">
      <c r="A32" s="328" t="s">
        <v>277</v>
      </c>
      <c r="B32" s="326" t="s">
        <v>183</v>
      </c>
      <c r="C32" s="133" t="s">
        <v>30</v>
      </c>
      <c r="D32" s="361">
        <f t="shared" si="0"/>
        <v>120000</v>
      </c>
      <c r="E32" s="357"/>
      <c r="F32" s="197">
        <v>120000</v>
      </c>
      <c r="G32" s="198"/>
    </row>
    <row r="33" spans="1:7" ht="15">
      <c r="A33" s="328" t="s">
        <v>397</v>
      </c>
      <c r="B33" s="326" t="s">
        <v>184</v>
      </c>
      <c r="C33" s="133" t="s">
        <v>185</v>
      </c>
      <c r="D33" s="361">
        <f t="shared" si="0"/>
        <v>0</v>
      </c>
      <c r="E33" s="357"/>
      <c r="F33" s="197">
        <f>100000-100000</f>
        <v>0</v>
      </c>
      <c r="G33" s="198"/>
    </row>
    <row r="34" spans="1:14" ht="15">
      <c r="A34" s="328" t="s">
        <v>398</v>
      </c>
      <c r="B34" s="326">
        <v>104051</v>
      </c>
      <c r="C34" s="136" t="s">
        <v>283</v>
      </c>
      <c r="D34" s="361">
        <f t="shared" si="0"/>
        <v>0</v>
      </c>
      <c r="E34" s="357"/>
      <c r="F34" s="197"/>
      <c r="G34" s="198"/>
      <c r="H34" s="306"/>
      <c r="I34" s="306"/>
      <c r="J34" s="307"/>
      <c r="K34" s="308"/>
      <c r="L34" s="308"/>
      <c r="M34" s="308"/>
      <c r="N34" s="307"/>
    </row>
    <row r="35" spans="1:7" ht="15">
      <c r="A35" s="328" t="s">
        <v>399</v>
      </c>
      <c r="B35" s="326">
        <v>107052</v>
      </c>
      <c r="C35" s="136" t="s">
        <v>187</v>
      </c>
      <c r="D35" s="361">
        <f t="shared" si="0"/>
        <v>132050</v>
      </c>
      <c r="E35" s="359">
        <v>132050</v>
      </c>
      <c r="F35" s="139"/>
      <c r="G35" s="353"/>
    </row>
    <row r="36" spans="1:7" ht="18.75" customHeight="1" thickBot="1">
      <c r="A36" s="354" t="s">
        <v>400</v>
      </c>
      <c r="B36" s="326">
        <v>107060</v>
      </c>
      <c r="C36" s="133" t="s">
        <v>188</v>
      </c>
      <c r="D36" s="361">
        <f>SUM(E36:G36)</f>
        <v>3323040</v>
      </c>
      <c r="E36" s="357">
        <f>2730000+40640+552400</f>
        <v>3323040</v>
      </c>
      <c r="F36" s="197"/>
      <c r="G36" s="198"/>
    </row>
    <row r="37" spans="1:7" ht="15" thickBot="1">
      <c r="A37" s="465" t="s">
        <v>401</v>
      </c>
      <c r="B37" s="343"/>
      <c r="C37" s="355" t="s">
        <v>433</v>
      </c>
      <c r="D37" s="423">
        <f>SUM(D13:D36)</f>
        <v>288762038</v>
      </c>
      <c r="E37" s="424">
        <f>SUM(E13:E36)</f>
        <v>285925719</v>
      </c>
      <c r="F37" s="423">
        <f>SUM(F13:F36)</f>
        <v>2836319</v>
      </c>
      <c r="G37" s="423">
        <f>SUM(G13:G36)</f>
        <v>0</v>
      </c>
    </row>
    <row r="38" ht="12.75">
      <c r="A38" s="305"/>
    </row>
    <row r="39" spans="1:7" ht="15">
      <c r="A39" s="328" t="s">
        <v>402</v>
      </c>
      <c r="B39" s="326" t="s">
        <v>392</v>
      </c>
      <c r="C39" s="133" t="s">
        <v>393</v>
      </c>
      <c r="D39" s="361">
        <f aca="true" t="shared" si="1" ref="D39:D44">SUM(E39:G39)</f>
        <v>89479</v>
      </c>
      <c r="E39" s="357">
        <v>89479</v>
      </c>
      <c r="F39" s="450"/>
      <c r="G39" s="450"/>
    </row>
    <row r="40" spans="1:7" ht="15">
      <c r="A40" s="328" t="s">
        <v>403</v>
      </c>
      <c r="B40" s="326" t="s">
        <v>426</v>
      </c>
      <c r="C40" s="133" t="s">
        <v>427</v>
      </c>
      <c r="D40" s="361">
        <f t="shared" si="1"/>
        <v>0</v>
      </c>
      <c r="E40" s="357">
        <f>89479-89479</f>
        <v>0</v>
      </c>
      <c r="F40" s="450"/>
      <c r="G40" s="450"/>
    </row>
    <row r="41" spans="1:7" ht="15">
      <c r="A41" s="328" t="s">
        <v>411</v>
      </c>
      <c r="B41" s="326" t="s">
        <v>224</v>
      </c>
      <c r="C41" s="133" t="s">
        <v>225</v>
      </c>
      <c r="D41" s="361">
        <f t="shared" si="1"/>
        <v>8226029</v>
      </c>
      <c r="E41" s="357">
        <f>7737176+427691</f>
        <v>8164867</v>
      </c>
      <c r="F41" s="197">
        <v>61162</v>
      </c>
      <c r="G41" s="198"/>
    </row>
    <row r="42" spans="1:7" ht="15">
      <c r="A42" s="415" t="s">
        <v>429</v>
      </c>
      <c r="B42" s="326" t="s">
        <v>226</v>
      </c>
      <c r="C42" s="133" t="s">
        <v>227</v>
      </c>
      <c r="D42" s="361">
        <f t="shared" si="1"/>
        <v>1974827</v>
      </c>
      <c r="E42" s="357"/>
      <c r="F42" s="197">
        <f>1876128+98699</f>
        <v>1974827</v>
      </c>
      <c r="G42" s="198"/>
    </row>
    <row r="43" spans="1:7" ht="18" customHeight="1">
      <c r="A43" s="415" t="s">
        <v>430</v>
      </c>
      <c r="B43" s="326" t="s">
        <v>226</v>
      </c>
      <c r="C43" s="133" t="s">
        <v>435</v>
      </c>
      <c r="D43" s="361">
        <f t="shared" si="1"/>
        <v>1711172</v>
      </c>
      <c r="E43" s="357"/>
      <c r="F43" s="197">
        <f>1628924+82248</f>
        <v>1711172</v>
      </c>
      <c r="G43" s="198"/>
    </row>
    <row r="44" spans="1:7" ht="24.75" customHeight="1" thickBot="1">
      <c r="A44" s="415" t="s">
        <v>460</v>
      </c>
      <c r="B44" s="327" t="s">
        <v>186</v>
      </c>
      <c r="C44" s="416" t="s">
        <v>434</v>
      </c>
      <c r="D44" s="417">
        <f t="shared" si="1"/>
        <v>4377487</v>
      </c>
      <c r="E44" s="418">
        <f>4133060+213846</f>
        <v>4346906</v>
      </c>
      <c r="F44" s="419">
        <v>30581</v>
      </c>
      <c r="G44" s="420"/>
    </row>
    <row r="45" spans="1:7" ht="15" thickBot="1">
      <c r="A45" s="421" t="s">
        <v>513</v>
      </c>
      <c r="B45" s="421"/>
      <c r="C45" s="408" t="s">
        <v>431</v>
      </c>
      <c r="D45" s="422">
        <f>D41+D42+D43+D44+D40+D39</f>
        <v>16378994</v>
      </c>
      <c r="E45" s="422">
        <f>E41+E42+E43+E44+E40+E39</f>
        <v>12601252</v>
      </c>
      <c r="F45" s="422">
        <f>F41+F42+F43+F44</f>
        <v>3777742</v>
      </c>
      <c r="G45" s="422">
        <f>G41+G42+G43+G44</f>
        <v>0</v>
      </c>
    </row>
    <row r="46" spans="1:7" ht="16.5" thickBot="1">
      <c r="A46" s="421" t="s">
        <v>524</v>
      </c>
      <c r="B46" s="421"/>
      <c r="C46" s="409" t="s">
        <v>432</v>
      </c>
      <c r="D46" s="422">
        <f>D37+D45</f>
        <v>305141032</v>
      </c>
      <c r="E46" s="422">
        <f>E37+E45</f>
        <v>298526971</v>
      </c>
      <c r="F46" s="422">
        <f>F37+F45</f>
        <v>6614061</v>
      </c>
      <c r="G46" s="422">
        <f>G37+G45</f>
        <v>0</v>
      </c>
    </row>
  </sheetData>
  <sheetProtection/>
  <mergeCells count="11">
    <mergeCell ref="A9:A12"/>
    <mergeCell ref="B9:B12"/>
    <mergeCell ref="C9:C12"/>
    <mergeCell ref="D9:D12"/>
    <mergeCell ref="E9:G9"/>
    <mergeCell ref="E11:G12"/>
    <mergeCell ref="C3:G3"/>
    <mergeCell ref="C5:G5"/>
    <mergeCell ref="C6:G6"/>
    <mergeCell ref="C7:G7"/>
    <mergeCell ref="B2:G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U3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10" ht="15.75">
      <c r="A1" s="517" t="s">
        <v>500</v>
      </c>
      <c r="B1" s="517"/>
      <c r="C1" s="517"/>
      <c r="D1" s="517"/>
      <c r="E1" s="517"/>
      <c r="F1" s="517"/>
      <c r="G1" s="105"/>
      <c r="H1" s="105"/>
      <c r="I1" s="105"/>
      <c r="J1" s="105"/>
    </row>
    <row r="2" spans="1:6" ht="15">
      <c r="A2" s="579"/>
      <c r="B2" s="579"/>
      <c r="C2" s="579"/>
      <c r="D2" s="579"/>
      <c r="E2" s="579"/>
      <c r="F2" s="579"/>
    </row>
    <row r="3" spans="1:6" ht="15">
      <c r="A3" s="579"/>
      <c r="B3" s="579"/>
      <c r="C3" s="579"/>
      <c r="D3" s="579"/>
      <c r="E3" s="579"/>
      <c r="F3" s="579"/>
    </row>
    <row r="4" ht="12.75" customHeight="1"/>
    <row r="5" spans="1:6" s="21" customFormat="1" ht="15.75">
      <c r="A5" s="580" t="s">
        <v>4</v>
      </c>
      <c r="B5" s="580"/>
      <c r="C5" s="580"/>
      <c r="D5" s="580"/>
      <c r="E5" s="580"/>
      <c r="F5" s="580"/>
    </row>
    <row r="6" spans="1:6" s="21" customFormat="1" ht="15.75">
      <c r="A6" s="580" t="s">
        <v>377</v>
      </c>
      <c r="B6" s="580"/>
      <c r="C6" s="580"/>
      <c r="D6" s="580"/>
      <c r="E6" s="580"/>
      <c r="F6" s="580"/>
    </row>
    <row r="7" spans="1:6" ht="15">
      <c r="A7" s="579" t="s">
        <v>478</v>
      </c>
      <c r="B7" s="579"/>
      <c r="C7" s="579"/>
      <c r="D7" s="579"/>
      <c r="E7" s="579"/>
      <c r="F7" s="579"/>
    </row>
    <row r="8" ht="15">
      <c r="F8" s="137" t="s">
        <v>388</v>
      </c>
    </row>
    <row r="9" spans="1:6" ht="15">
      <c r="A9" s="570" t="s">
        <v>0</v>
      </c>
      <c r="B9" s="571"/>
      <c r="C9" s="571"/>
      <c r="D9" s="571"/>
      <c r="E9" s="572"/>
      <c r="F9" s="584" t="s">
        <v>10</v>
      </c>
    </row>
    <row r="10" spans="1:6" ht="15">
      <c r="A10" s="573"/>
      <c r="B10" s="574"/>
      <c r="C10" s="574"/>
      <c r="D10" s="574"/>
      <c r="E10" s="575"/>
      <c r="F10" s="585"/>
    </row>
    <row r="11" spans="1:6" ht="15">
      <c r="A11" s="576"/>
      <c r="B11" s="577"/>
      <c r="C11" s="577"/>
      <c r="D11" s="577"/>
      <c r="E11" s="578"/>
      <c r="F11" s="586"/>
    </row>
    <row r="12" spans="1:6" ht="15">
      <c r="A12" s="13" t="s">
        <v>189</v>
      </c>
      <c r="E12" s="22"/>
      <c r="F12" s="23"/>
    </row>
    <row r="13" spans="1:2" s="13" customFormat="1" ht="15">
      <c r="A13" s="137"/>
      <c r="B13" s="11"/>
    </row>
    <row r="14" spans="1:5" ht="29.25" customHeight="1">
      <c r="A14" s="137"/>
      <c r="B14" s="482" t="s">
        <v>190</v>
      </c>
      <c r="C14" s="482"/>
      <c r="D14" s="482"/>
      <c r="E14" s="482"/>
    </row>
    <row r="15" spans="1:6" ht="15.75">
      <c r="A15" s="138" t="s">
        <v>39</v>
      </c>
      <c r="B15" s="15" t="s">
        <v>468</v>
      </c>
      <c r="F15" s="52">
        <v>74200</v>
      </c>
    </row>
    <row r="16" spans="1:6" ht="15">
      <c r="A16" s="12" t="s">
        <v>22</v>
      </c>
      <c r="B16" s="11" t="s">
        <v>23</v>
      </c>
      <c r="F16" s="52">
        <v>222600</v>
      </c>
    </row>
    <row r="17" spans="1:6" ht="15">
      <c r="A17" s="12" t="s">
        <v>40</v>
      </c>
      <c r="B17" s="11" t="s">
        <v>485</v>
      </c>
      <c r="F17" s="52">
        <v>148400</v>
      </c>
    </row>
    <row r="18" spans="1:6" ht="15.75">
      <c r="A18" s="12" t="s">
        <v>91</v>
      </c>
      <c r="B18" s="14" t="s">
        <v>418</v>
      </c>
      <c r="F18" s="52">
        <v>100000</v>
      </c>
    </row>
    <row r="19" spans="1:6" ht="37.5" customHeight="1">
      <c r="A19" s="425" t="s">
        <v>92</v>
      </c>
      <c r="B19" s="587" t="s">
        <v>436</v>
      </c>
      <c r="C19" s="582"/>
      <c r="D19" s="582"/>
      <c r="E19" s="582"/>
      <c r="F19" s="52">
        <v>1200000</v>
      </c>
    </row>
    <row r="20" ht="13.5" customHeight="1">
      <c r="F20" s="52"/>
    </row>
    <row r="21" spans="1:6" ht="33.75" customHeight="1">
      <c r="A21" s="13"/>
      <c r="B21" s="482" t="s">
        <v>191</v>
      </c>
      <c r="C21" s="482"/>
      <c r="D21" s="482"/>
      <c r="E21" s="482"/>
      <c r="F21" s="53">
        <f>SUM(F15:F20)</f>
        <v>1745200</v>
      </c>
    </row>
    <row r="22" ht="13.5" customHeight="1">
      <c r="F22" s="52"/>
    </row>
    <row r="23" spans="1:6" ht="33" customHeight="1">
      <c r="A23" s="13"/>
      <c r="B23" s="482" t="s">
        <v>192</v>
      </c>
      <c r="C23" s="482"/>
      <c r="D23" s="482"/>
      <c r="E23" s="482"/>
      <c r="F23" s="52"/>
    </row>
    <row r="24" spans="1:6" ht="13.5" customHeight="1">
      <c r="A24" s="12"/>
      <c r="F24" s="52"/>
    </row>
    <row r="25" spans="1:255" ht="15.75">
      <c r="A25" s="12" t="s">
        <v>39</v>
      </c>
      <c r="B25" s="17" t="s">
        <v>21</v>
      </c>
      <c r="C25" s="17"/>
      <c r="D25" s="17"/>
      <c r="E25" s="17"/>
      <c r="F25" s="52">
        <v>40000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ht="15.75">
      <c r="A26" s="12" t="s">
        <v>22</v>
      </c>
      <c r="B26" s="17" t="s">
        <v>469</v>
      </c>
      <c r="C26" s="17"/>
      <c r="D26" s="17"/>
      <c r="E26" s="17"/>
      <c r="F26" s="52">
        <v>40000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255" ht="15.75">
      <c r="A27" s="12" t="s">
        <v>40</v>
      </c>
      <c r="B27" s="17" t="s">
        <v>470</v>
      </c>
      <c r="C27" s="17"/>
      <c r="D27" s="17"/>
      <c r="E27" s="17"/>
      <c r="F27" s="52">
        <v>40000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ht="15.75">
      <c r="A28" s="12" t="s">
        <v>91</v>
      </c>
      <c r="B28" s="17" t="s">
        <v>41</v>
      </c>
      <c r="C28" s="17"/>
      <c r="D28" s="17"/>
      <c r="E28" s="17"/>
      <c r="F28" s="52">
        <v>75000</v>
      </c>
      <c r="G28" s="6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6" ht="13.5" customHeight="1">
      <c r="A29" s="12" t="s">
        <v>92</v>
      </c>
      <c r="B29" s="17" t="s">
        <v>68</v>
      </c>
      <c r="F29" s="52">
        <v>600000</v>
      </c>
    </row>
    <row r="30" spans="1:6" ht="13.5" customHeight="1">
      <c r="A30" s="452" t="s">
        <v>98</v>
      </c>
      <c r="B30" s="11" t="s">
        <v>471</v>
      </c>
      <c r="F30" s="52">
        <v>30000</v>
      </c>
    </row>
    <row r="31" spans="1:8" ht="32.25" customHeight="1">
      <c r="A31" s="13"/>
      <c r="B31" s="482" t="s">
        <v>193</v>
      </c>
      <c r="C31" s="482"/>
      <c r="D31" s="482"/>
      <c r="E31" s="482"/>
      <c r="F31" s="53">
        <f>SUM(F24:F30)</f>
        <v>825000</v>
      </c>
      <c r="G31" s="16"/>
      <c r="H31" s="16"/>
    </row>
    <row r="32" spans="1:8" ht="6.75" customHeight="1">
      <c r="A32" s="13"/>
      <c r="F32" s="52"/>
      <c r="G32" s="16"/>
      <c r="H32" s="16"/>
    </row>
    <row r="33" spans="1:7" s="18" customFormat="1" ht="15.75">
      <c r="A33" s="13" t="s">
        <v>194</v>
      </c>
      <c r="F33" s="53">
        <f>F31+F21</f>
        <v>2570200</v>
      </c>
      <c r="G33" s="19"/>
    </row>
    <row r="34" spans="1:7" s="18" customFormat="1" ht="15.75">
      <c r="A34" s="13"/>
      <c r="F34" s="53"/>
      <c r="G34" s="19"/>
    </row>
    <row r="35" spans="1:7" s="18" customFormat="1" ht="28.5" customHeight="1">
      <c r="A35" s="54"/>
      <c r="B35" s="581" t="s">
        <v>473</v>
      </c>
      <c r="C35" s="588"/>
      <c r="D35" s="588"/>
      <c r="E35" s="588"/>
      <c r="F35" s="52"/>
      <c r="G35" s="19"/>
    </row>
    <row r="36" spans="1:7" s="18" customFormat="1" ht="37.5" customHeight="1">
      <c r="A36" s="375" t="s">
        <v>203</v>
      </c>
      <c r="B36" s="583" t="s">
        <v>483</v>
      </c>
      <c r="C36" s="582"/>
      <c r="D36" s="582"/>
      <c r="E36" s="582"/>
      <c r="F36" s="52">
        <v>650894</v>
      </c>
      <c r="G36" s="19"/>
    </row>
    <row r="37" spans="1:6" s="20" customFormat="1" ht="39" customHeight="1">
      <c r="A37" s="375" t="s">
        <v>204</v>
      </c>
      <c r="B37" s="583" t="s">
        <v>484</v>
      </c>
      <c r="C37" s="582"/>
      <c r="D37" s="582"/>
      <c r="E37" s="582"/>
      <c r="F37" s="52">
        <v>1952679</v>
      </c>
    </row>
    <row r="38" ht="6" customHeight="1"/>
    <row r="39" spans="1:6" ht="52.5" customHeight="1">
      <c r="A39" s="581" t="s">
        <v>474</v>
      </c>
      <c r="B39" s="582"/>
      <c r="C39" s="582"/>
      <c r="D39" s="582"/>
      <c r="E39" s="582"/>
      <c r="F39" s="453">
        <f>F36+F37</f>
        <v>2603573</v>
      </c>
    </row>
  </sheetData>
  <sheetProtection/>
  <mergeCells count="17">
    <mergeCell ref="A39:E39"/>
    <mergeCell ref="B36:E36"/>
    <mergeCell ref="B37:E37"/>
    <mergeCell ref="B14:E14"/>
    <mergeCell ref="B21:E21"/>
    <mergeCell ref="F9:F11"/>
    <mergeCell ref="B19:E19"/>
    <mergeCell ref="B35:E35"/>
    <mergeCell ref="B23:E23"/>
    <mergeCell ref="B31:E31"/>
    <mergeCell ref="A9:E11"/>
    <mergeCell ref="A1:F1"/>
    <mergeCell ref="A2:F2"/>
    <mergeCell ref="A3:F3"/>
    <mergeCell ref="A5:F5"/>
    <mergeCell ref="A7:F7"/>
    <mergeCell ref="A6:F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7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4.125" style="39" customWidth="1"/>
    <col min="2" max="2" width="67.875" style="39" customWidth="1"/>
    <col min="3" max="3" width="18.00390625" style="39" customWidth="1"/>
    <col min="4" max="16384" width="9.125" style="39" customWidth="1"/>
  </cols>
  <sheetData>
    <row r="1" spans="2:4" ht="15.75">
      <c r="B1" s="517" t="s">
        <v>501</v>
      </c>
      <c r="C1" s="517"/>
      <c r="D1" s="105"/>
    </row>
    <row r="2" spans="2:4" ht="15">
      <c r="B2" s="106"/>
      <c r="C2" s="106"/>
      <c r="D2" s="105"/>
    </row>
    <row r="3" spans="2:3" ht="15.75" customHeight="1">
      <c r="B3" s="589"/>
      <c r="C3" s="589"/>
    </row>
    <row r="4" spans="2:3" ht="15">
      <c r="B4" s="40"/>
      <c r="C4" s="40"/>
    </row>
    <row r="5" spans="2:3" s="14" customFormat="1" ht="15.75" customHeight="1">
      <c r="B5" s="590" t="s">
        <v>34</v>
      </c>
      <c r="C5" s="590"/>
    </row>
    <row r="6" spans="2:6" s="21" customFormat="1" ht="15.75">
      <c r="B6" s="580" t="s">
        <v>35</v>
      </c>
      <c r="C6" s="580"/>
      <c r="D6" s="55"/>
      <c r="E6" s="55"/>
      <c r="F6" s="55"/>
    </row>
    <row r="7" spans="2:6" s="11" customFormat="1" ht="15">
      <c r="B7" s="579" t="s">
        <v>479</v>
      </c>
      <c r="C7" s="579"/>
      <c r="D7" s="54"/>
      <c r="E7" s="54"/>
      <c r="F7" s="54"/>
    </row>
    <row r="8" ht="15.75" customHeight="1" thickBot="1">
      <c r="C8" s="41"/>
    </row>
    <row r="9" spans="1:3" ht="15" customHeight="1">
      <c r="A9" s="591" t="s">
        <v>390</v>
      </c>
      <c r="B9" s="42"/>
      <c r="C9" s="43" t="s">
        <v>15</v>
      </c>
    </row>
    <row r="10" spans="1:3" ht="15.75" customHeight="1">
      <c r="A10" s="592"/>
      <c r="B10" s="44" t="s">
        <v>0</v>
      </c>
      <c r="C10" s="45"/>
    </row>
    <row r="11" spans="1:3" ht="15.75" thickBot="1">
      <c r="A11" s="593"/>
      <c r="B11" s="46"/>
      <c r="C11" s="47" t="s">
        <v>9</v>
      </c>
    </row>
    <row r="12" ht="11.25" customHeight="1"/>
    <row r="13" ht="11.25" customHeight="1">
      <c r="C13" s="52"/>
    </row>
    <row r="14" spans="1:3" ht="15">
      <c r="A14" s="39" t="s">
        <v>39</v>
      </c>
      <c r="B14" s="48" t="s">
        <v>24</v>
      </c>
      <c r="C14" s="52"/>
    </row>
    <row r="15" spans="2:3" ht="15">
      <c r="B15" s="48" t="s">
        <v>8</v>
      </c>
      <c r="C15" s="52"/>
    </row>
    <row r="16" spans="1:3" ht="28.5" customHeight="1">
      <c r="A16" s="375" t="s">
        <v>22</v>
      </c>
      <c r="B16" s="181" t="s">
        <v>287</v>
      </c>
      <c r="C16" s="53"/>
    </row>
    <row r="17" spans="1:3" ht="28.5" customHeight="1">
      <c r="A17" s="375"/>
      <c r="B17" s="181"/>
      <c r="C17" s="52"/>
    </row>
    <row r="18" spans="1:3" ht="15">
      <c r="A18" s="375" t="s">
        <v>40</v>
      </c>
      <c r="B18" s="39" t="s">
        <v>69</v>
      </c>
      <c r="C18" s="52">
        <v>400000</v>
      </c>
    </row>
    <row r="19" spans="1:3" ht="30">
      <c r="A19" s="375" t="s">
        <v>91</v>
      </c>
      <c r="B19" s="181" t="s">
        <v>284</v>
      </c>
      <c r="C19" s="52">
        <v>250000</v>
      </c>
    </row>
    <row r="20" spans="1:3" ht="15">
      <c r="A20" s="375" t="s">
        <v>92</v>
      </c>
      <c r="B20" s="181" t="s">
        <v>285</v>
      </c>
      <c r="C20" s="52">
        <v>400000</v>
      </c>
    </row>
    <row r="21" spans="1:3" ht="15">
      <c r="A21" s="375" t="s">
        <v>98</v>
      </c>
      <c r="B21" s="181" t="s">
        <v>286</v>
      </c>
      <c r="C21" s="52">
        <v>240000</v>
      </c>
    </row>
    <row r="23" spans="1:3" ht="15">
      <c r="A23" s="375" t="s">
        <v>196</v>
      </c>
      <c r="B23" s="39" t="s">
        <v>71</v>
      </c>
      <c r="C23" s="52">
        <v>210000</v>
      </c>
    </row>
    <row r="24" spans="1:3" ht="14.25" customHeight="1">
      <c r="A24" s="375" t="s">
        <v>197</v>
      </c>
      <c r="B24" s="39" t="s">
        <v>472</v>
      </c>
      <c r="C24" s="52">
        <v>1200000</v>
      </c>
    </row>
    <row r="25" spans="1:3" ht="15">
      <c r="A25" s="375" t="s">
        <v>198</v>
      </c>
      <c r="B25" s="48" t="s">
        <v>24</v>
      </c>
      <c r="C25" s="52"/>
    </row>
    <row r="26" spans="1:3" ht="15">
      <c r="A26" s="375"/>
      <c r="B26" s="48" t="s">
        <v>25</v>
      </c>
      <c r="C26" s="53">
        <f>SUM(C18:C25)</f>
        <v>2700000</v>
      </c>
    </row>
    <row r="27" spans="1:3" ht="11.25" customHeight="1">
      <c r="A27" s="375"/>
      <c r="C27" s="52"/>
    </row>
    <row r="28" spans="1:3" ht="15">
      <c r="A28" s="375" t="s">
        <v>199</v>
      </c>
      <c r="B28" s="48" t="s">
        <v>26</v>
      </c>
      <c r="C28" s="53">
        <f>C26+C16</f>
        <v>2700000</v>
      </c>
    </row>
    <row r="29" spans="1:3" ht="15">
      <c r="A29" s="375"/>
      <c r="B29" s="48"/>
      <c r="C29" s="53"/>
    </row>
    <row r="30" spans="1:5" ht="13.5" customHeight="1">
      <c r="A30" s="375"/>
      <c r="B30" s="14"/>
      <c r="C30" s="14"/>
      <c r="D30" s="11"/>
      <c r="E30" s="52"/>
    </row>
    <row r="31" spans="1:3" s="48" customFormat="1" ht="14.25">
      <c r="A31" s="376" t="s">
        <v>201</v>
      </c>
      <c r="B31" s="48" t="s">
        <v>209</v>
      </c>
      <c r="C31" s="53"/>
    </row>
    <row r="32" spans="1:3" ht="11.25" customHeight="1">
      <c r="A32" s="375"/>
      <c r="C32" s="52"/>
    </row>
    <row r="33" spans="1:3" ht="30" customHeight="1">
      <c r="A33" s="375" t="s">
        <v>202</v>
      </c>
      <c r="B33" s="181" t="s">
        <v>210</v>
      </c>
      <c r="C33" s="52">
        <v>1000000</v>
      </c>
    </row>
    <row r="34" spans="1:3" ht="18.75" customHeight="1">
      <c r="A34" s="375" t="s">
        <v>203</v>
      </c>
      <c r="B34" s="48" t="s">
        <v>211</v>
      </c>
      <c r="C34" s="53">
        <f>C33</f>
        <v>1000000</v>
      </c>
    </row>
    <row r="35" spans="1:3" ht="11.25" customHeight="1">
      <c r="A35" s="375"/>
      <c r="C35" s="52"/>
    </row>
    <row r="36" spans="1:3" s="49" customFormat="1" ht="16.5">
      <c r="A36" s="454" t="s">
        <v>204</v>
      </c>
      <c r="B36" s="455" t="s">
        <v>27</v>
      </c>
      <c r="C36" s="50"/>
    </row>
    <row r="37" spans="1:3" s="49" customFormat="1" ht="16.5">
      <c r="A37" s="454"/>
      <c r="B37" s="455" t="s">
        <v>28</v>
      </c>
      <c r="C37" s="51">
        <f>C28+C34</f>
        <v>3700000</v>
      </c>
    </row>
  </sheetData>
  <sheetProtection/>
  <mergeCells count="6">
    <mergeCell ref="B7:C7"/>
    <mergeCell ref="B6:C6"/>
    <mergeCell ref="B3:C3"/>
    <mergeCell ref="B5:C5"/>
    <mergeCell ref="B1:C1"/>
    <mergeCell ref="A9:A1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22">
      <selection activeCell="B40" sqref="B40"/>
    </sheetView>
  </sheetViews>
  <sheetFormatPr defaultColWidth="9.00390625" defaultRowHeight="12.75"/>
  <cols>
    <col min="1" max="1" width="6.125" style="15" customWidth="1"/>
    <col min="2" max="2" width="70.375" style="15" customWidth="1"/>
    <col min="3" max="3" width="20.00390625" style="15" customWidth="1"/>
    <col min="4" max="16384" width="9.125" style="15" customWidth="1"/>
  </cols>
  <sheetData>
    <row r="1" spans="2:5" s="201" customFormat="1" ht="15.75">
      <c r="B1" s="517" t="s">
        <v>502</v>
      </c>
      <c r="C1" s="517"/>
      <c r="D1" s="142"/>
      <c r="E1" s="368"/>
    </row>
    <row r="2" spans="2:5" s="201" customFormat="1" ht="15.75">
      <c r="B2" s="594"/>
      <c r="C2" s="594"/>
      <c r="D2" s="142"/>
      <c r="E2" s="368"/>
    </row>
    <row r="4" spans="2:5" s="203" customFormat="1" ht="18.75">
      <c r="B4" s="202" t="s">
        <v>235</v>
      </c>
      <c r="C4" s="202"/>
      <c r="D4" s="15"/>
      <c r="E4" s="15"/>
    </row>
    <row r="5" spans="2:5" s="203" customFormat="1" ht="18.75">
      <c r="B5" s="484" t="s">
        <v>236</v>
      </c>
      <c r="C5" s="484"/>
      <c r="D5" s="15"/>
      <c r="E5" s="15"/>
    </row>
    <row r="6" spans="2:5" s="203" customFormat="1" ht="18.75">
      <c r="B6" s="484" t="s">
        <v>477</v>
      </c>
      <c r="C6" s="484"/>
      <c r="D6" s="15"/>
      <c r="E6" s="15"/>
    </row>
    <row r="7" ht="16.5" thickBot="1"/>
    <row r="8" spans="1:3" ht="15.75" customHeight="1">
      <c r="A8" s="595" t="s">
        <v>390</v>
      </c>
      <c r="B8" s="204"/>
      <c r="C8" s="205" t="s">
        <v>9</v>
      </c>
    </row>
    <row r="9" spans="1:3" ht="15.75">
      <c r="A9" s="596"/>
      <c r="B9" s="206" t="s">
        <v>237</v>
      </c>
      <c r="C9" s="206"/>
    </row>
    <row r="10" spans="1:3" ht="16.5" thickBot="1">
      <c r="A10" s="597"/>
      <c r="B10" s="207"/>
      <c r="C10" s="208" t="s">
        <v>415</v>
      </c>
    </row>
    <row r="11" spans="2:3" ht="15.75">
      <c r="B11" s="209"/>
      <c r="C11" s="210"/>
    </row>
    <row r="12" spans="1:3" ht="31.5" customHeight="1">
      <c r="A12" s="377" t="s">
        <v>39</v>
      </c>
      <c r="B12" s="369" t="s">
        <v>416</v>
      </c>
      <c r="C12" s="210"/>
    </row>
    <row r="13" spans="1:3" ht="18" customHeight="1">
      <c r="A13" s="377" t="s">
        <v>407</v>
      </c>
      <c r="B13" s="211" t="s">
        <v>378</v>
      </c>
      <c r="C13" s="825">
        <v>80000</v>
      </c>
    </row>
    <row r="14" spans="1:3" ht="18" customHeight="1">
      <c r="A14" s="377"/>
      <c r="B14" s="211" t="s">
        <v>238</v>
      </c>
      <c r="C14" s="297">
        <v>21600</v>
      </c>
    </row>
    <row r="15" spans="1:3" ht="18" customHeight="1">
      <c r="A15" s="377"/>
      <c r="B15" s="209" t="s">
        <v>2</v>
      </c>
      <c r="C15" s="826">
        <f>SUM(C13:C14)</f>
        <v>101600</v>
      </c>
    </row>
    <row r="16" spans="1:3" ht="18" customHeight="1">
      <c r="A16" s="377"/>
      <c r="B16" s="209"/>
      <c r="C16" s="826"/>
    </row>
    <row r="17" spans="1:3" ht="18" customHeight="1">
      <c r="A17" s="377" t="s">
        <v>22</v>
      </c>
      <c r="B17" s="370" t="s">
        <v>379</v>
      </c>
      <c r="C17" s="826"/>
    </row>
    <row r="18" spans="1:3" ht="18" customHeight="1">
      <c r="A18" s="377" t="s">
        <v>417</v>
      </c>
      <c r="B18" s="211" t="s">
        <v>380</v>
      </c>
      <c r="C18" s="825">
        <v>141700</v>
      </c>
    </row>
    <row r="19" spans="1:3" ht="18" customHeight="1">
      <c r="A19" s="377"/>
      <c r="B19" s="211" t="s">
        <v>238</v>
      </c>
      <c r="C19" s="827">
        <v>38259</v>
      </c>
    </row>
    <row r="20" spans="1:3" ht="18" customHeight="1">
      <c r="A20" s="377"/>
      <c r="B20" s="209" t="s">
        <v>2</v>
      </c>
      <c r="C20" s="826">
        <f>SUM(C18:C19)</f>
        <v>179959</v>
      </c>
    </row>
    <row r="21" spans="1:3" ht="18" customHeight="1">
      <c r="A21" s="377"/>
      <c r="B21" s="209"/>
      <c r="C21" s="826"/>
    </row>
    <row r="22" spans="1:3" ht="18" customHeight="1">
      <c r="A22" s="377" t="s">
        <v>40</v>
      </c>
      <c r="B22" s="370" t="s">
        <v>462</v>
      </c>
      <c r="C22" s="210"/>
    </row>
    <row r="23" spans="1:3" ht="18" customHeight="1">
      <c r="A23" s="377" t="s">
        <v>410</v>
      </c>
      <c r="B23" s="371" t="s">
        <v>463</v>
      </c>
      <c r="C23" s="296">
        <v>6096007</v>
      </c>
    </row>
    <row r="24" spans="1:3" ht="18" customHeight="1">
      <c r="A24" s="377" t="s">
        <v>488</v>
      </c>
      <c r="B24" s="371" t="s">
        <v>487</v>
      </c>
      <c r="C24" s="296">
        <f>1574709+20</f>
        <v>1574729</v>
      </c>
    </row>
    <row r="25" spans="1:3" ht="18" customHeight="1">
      <c r="A25" s="459" t="s">
        <v>530</v>
      </c>
      <c r="B25" s="371" t="s">
        <v>514</v>
      </c>
      <c r="C25" s="296">
        <v>184800</v>
      </c>
    </row>
    <row r="26" spans="1:3" ht="32.25" customHeight="1">
      <c r="A26" s="459" t="s">
        <v>531</v>
      </c>
      <c r="B26" s="371" t="s">
        <v>492</v>
      </c>
      <c r="C26" s="296">
        <v>3227000</v>
      </c>
    </row>
    <row r="27" spans="1:3" ht="33.75" customHeight="1">
      <c r="A27" s="459" t="s">
        <v>532</v>
      </c>
      <c r="B27" s="371" t="s">
        <v>533</v>
      </c>
      <c r="C27" s="296">
        <v>87981890</v>
      </c>
    </row>
    <row r="28" spans="1:3" ht="29.25" customHeight="1">
      <c r="A28" s="459" t="s">
        <v>534</v>
      </c>
      <c r="B28" s="371" t="s">
        <v>535</v>
      </c>
      <c r="C28" s="296">
        <v>983464</v>
      </c>
    </row>
    <row r="29" spans="1:3" ht="18" customHeight="1">
      <c r="A29" s="377"/>
      <c r="B29" s="211" t="s">
        <v>238</v>
      </c>
      <c r="C29" s="297">
        <f>C23*0.27+C24*0.27+C25*0.27+C26*0.27+C27*0.27+C28*0.27</f>
        <v>27012930.3</v>
      </c>
    </row>
    <row r="30" spans="1:3" ht="18" customHeight="1">
      <c r="A30" s="377"/>
      <c r="B30" s="209" t="s">
        <v>2</v>
      </c>
      <c r="C30" s="826">
        <f>SUM(C23:C29)</f>
        <v>127060820.3</v>
      </c>
    </row>
    <row r="31" spans="1:3" ht="15.75">
      <c r="A31" s="377"/>
      <c r="B31" s="209"/>
      <c r="C31" s="826"/>
    </row>
    <row r="32" spans="1:3" ht="15.75">
      <c r="A32" s="377" t="s">
        <v>91</v>
      </c>
      <c r="B32" s="828" t="s">
        <v>536</v>
      </c>
      <c r="C32" s="826"/>
    </row>
    <row r="33" spans="1:3" ht="15.75">
      <c r="A33" s="459" t="s">
        <v>537</v>
      </c>
      <c r="B33" s="211" t="s">
        <v>378</v>
      </c>
      <c r="C33" s="825">
        <v>146400</v>
      </c>
    </row>
    <row r="34" spans="1:3" ht="15.75">
      <c r="A34" s="459" t="s">
        <v>538</v>
      </c>
      <c r="B34" s="211" t="s">
        <v>238</v>
      </c>
      <c r="C34" s="297">
        <f>C33*0.27</f>
        <v>39528</v>
      </c>
    </row>
    <row r="35" spans="1:3" ht="15.75">
      <c r="A35" s="377"/>
      <c r="B35" s="209" t="s">
        <v>2</v>
      </c>
      <c r="C35" s="826">
        <f>SUM(C33:C34)</f>
        <v>185928</v>
      </c>
    </row>
    <row r="36" spans="1:3" ht="15.75">
      <c r="A36" s="377"/>
      <c r="B36" s="209"/>
      <c r="C36" s="826"/>
    </row>
    <row r="37" spans="1:3" ht="15.75">
      <c r="A37" s="377"/>
      <c r="B37" s="209" t="s">
        <v>239</v>
      </c>
      <c r="C37" s="826">
        <f>C15+C20+C30+C35</f>
        <v>127528307.3</v>
      </c>
    </row>
  </sheetData>
  <sheetProtection/>
  <mergeCells count="5">
    <mergeCell ref="B5:C5"/>
    <mergeCell ref="B6:C6"/>
    <mergeCell ref="B2:C2"/>
    <mergeCell ref="B1:C1"/>
    <mergeCell ref="A8:A10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felhasznalo</cp:lastModifiedBy>
  <cp:lastPrinted>2020-02-13T12:10:02Z</cp:lastPrinted>
  <dcterms:created xsi:type="dcterms:W3CDTF">2002-11-26T17:22:50Z</dcterms:created>
  <dcterms:modified xsi:type="dcterms:W3CDTF">2020-12-16T17:08:14Z</dcterms:modified>
  <cp:category/>
  <cp:version/>
  <cp:contentType/>
  <cp:contentStatus/>
</cp:coreProperties>
</file>